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Проекти рішень\2023 проєкти\Грудень\грудень 2\"/>
    </mc:Choice>
  </mc:AlternateContent>
  <bookViews>
    <workbookView showSheetTabs="0" xWindow="0" yWindow="0" windowWidth="23250" windowHeight="12135" tabRatio="0"/>
  </bookViews>
  <sheets>
    <sheet name="TDSheet" sheetId="1" r:id="rId1"/>
  </sheets>
  <definedNames>
    <definedName name="_xlnm.Print_Titles" localSheetId="0">TDSheet!$9:$12</definedName>
    <definedName name="_xlnm.Print_Area" localSheetId="0">TDSheet!$A$1:$R$433</definedName>
  </definedNames>
  <calcPr calcId="152511"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98" i="1" l="1"/>
  <c r="L298" i="1"/>
  <c r="N283" i="1"/>
  <c r="L283" i="1"/>
  <c r="G376" i="1" l="1"/>
  <c r="M396" i="1" l="1"/>
  <c r="P422" i="1"/>
  <c r="N422" i="1"/>
  <c r="K422" i="1" s="1"/>
  <c r="O422" i="1" s="1"/>
  <c r="R422" i="1" s="1"/>
  <c r="L422" i="1"/>
  <c r="Q422" i="1" l="1"/>
  <c r="G152" i="1"/>
  <c r="G185" i="1"/>
  <c r="G196" i="1"/>
  <c r="G143" i="1" l="1"/>
  <c r="E67" i="1" l="1"/>
  <c r="E384" i="1"/>
  <c r="E180" i="1"/>
  <c r="J141" i="1"/>
  <c r="G177" i="1"/>
  <c r="E177" i="1"/>
  <c r="G175" i="1"/>
  <c r="E175" i="1"/>
  <c r="G172" i="1"/>
  <c r="G169" i="1"/>
  <c r="E188" i="1"/>
  <c r="K421" i="1" l="1"/>
  <c r="O421" i="1" s="1"/>
  <c r="G167" i="1" l="1"/>
  <c r="G369" i="1" l="1"/>
  <c r="G324" i="1"/>
  <c r="G310" i="1"/>
  <c r="G252" i="1"/>
  <c r="G183" i="1"/>
  <c r="G137" i="1"/>
  <c r="G136" i="1"/>
  <c r="G15" i="1"/>
  <c r="G104" i="1" l="1"/>
  <c r="G213" i="1" l="1"/>
  <c r="G217" i="1"/>
  <c r="G216" i="1"/>
  <c r="G212" i="1"/>
  <c r="G211" i="1"/>
  <c r="G210" i="1"/>
  <c r="G209" i="1"/>
  <c r="G174" i="1" l="1"/>
  <c r="E271" i="1" l="1"/>
  <c r="E250" i="1"/>
  <c r="E396" i="1" l="1"/>
  <c r="P395" i="1"/>
  <c r="G384" i="1"/>
  <c r="F395" i="1"/>
  <c r="I395" i="1" s="1"/>
  <c r="R395" i="1" s="1"/>
  <c r="G377" i="1"/>
  <c r="Q395" i="1" l="1"/>
  <c r="G347" i="1"/>
  <c r="G343" i="1"/>
  <c r="G329" i="1"/>
  <c r="G327" i="1"/>
  <c r="G157" i="1" l="1"/>
  <c r="G156" i="1"/>
  <c r="F152" i="1"/>
  <c r="G148" i="1"/>
  <c r="G64" i="1" l="1"/>
  <c r="G65" i="1"/>
  <c r="G54" i="1"/>
  <c r="G44" i="1"/>
  <c r="G41" i="1" s="1"/>
  <c r="P31" i="1"/>
  <c r="P30" i="1"/>
  <c r="P29" i="1"/>
  <c r="G25" i="1"/>
  <c r="G18" i="1" s="1"/>
  <c r="G345" i="1"/>
  <c r="P336" i="1"/>
  <c r="F336" i="1"/>
  <c r="Q336" i="1" s="1"/>
  <c r="G333" i="1"/>
  <c r="G334" i="1"/>
  <c r="E328" i="1"/>
  <c r="G328" i="1"/>
  <c r="G299" i="1"/>
  <c r="G293" i="1"/>
  <c r="F66" i="1"/>
  <c r="F67" i="1"/>
  <c r="I336" i="1" l="1"/>
  <c r="R336" i="1" s="1"/>
  <c r="G330" i="1"/>
  <c r="E382" i="1"/>
  <c r="E370" i="1" s="1"/>
  <c r="F204" i="1"/>
  <c r="F205" i="1"/>
  <c r="M384" i="1" l="1"/>
  <c r="N384" i="1"/>
  <c r="L384" i="1"/>
  <c r="N285" i="1"/>
  <c r="L285" i="1"/>
  <c r="K389" i="1"/>
  <c r="O389" i="1" s="1"/>
  <c r="R389" i="1" s="1"/>
  <c r="K390" i="1"/>
  <c r="Q390" i="1" s="1"/>
  <c r="P389" i="1"/>
  <c r="P390" i="1"/>
  <c r="Q389" i="1" l="1"/>
  <c r="O390" i="1"/>
  <c r="R390" i="1" s="1"/>
  <c r="G103" i="1"/>
  <c r="G101" i="1"/>
  <c r="G95" i="1"/>
  <c r="G118" i="1"/>
  <c r="G116" i="1"/>
  <c r="G115" i="1"/>
  <c r="G111" i="1"/>
  <c r="G105" i="1"/>
  <c r="G99" i="1"/>
  <c r="G92" i="1"/>
  <c r="G87" i="1"/>
  <c r="G80" i="1"/>
  <c r="G74" i="1"/>
  <c r="J68" i="1"/>
  <c r="E113" i="1"/>
  <c r="E110" i="1"/>
  <c r="E104" i="1"/>
  <c r="E97" i="1"/>
  <c r="E96" i="1"/>
  <c r="E86" i="1"/>
  <c r="E81" i="1"/>
  <c r="E71" i="1"/>
  <c r="G71" i="1"/>
  <c r="E218" i="1" l="1"/>
  <c r="G232" i="1"/>
  <c r="G218" i="1" s="1"/>
  <c r="F231" i="1"/>
  <c r="I231" i="1" s="1"/>
  <c r="R231" i="1" s="1"/>
  <c r="H13" i="1"/>
  <c r="H71" i="1"/>
  <c r="H68" i="1" s="1"/>
  <c r="H126" i="1"/>
  <c r="H164" i="1"/>
  <c r="H170" i="1"/>
  <c r="H181" i="1"/>
  <c r="H188" i="1"/>
  <c r="H203" i="1"/>
  <c r="H215" i="1"/>
  <c r="H218" i="1"/>
  <c r="H250" i="1"/>
  <c r="H271" i="1"/>
  <c r="H290" i="1"/>
  <c r="H305" i="1"/>
  <c r="H308" i="1"/>
  <c r="H320" i="1"/>
  <c r="H317" i="1" s="1"/>
  <c r="H325" i="1"/>
  <c r="H349" i="1"/>
  <c r="H338" i="1" s="1"/>
  <c r="H353" i="1"/>
  <c r="H367" i="1"/>
  <c r="H370" i="1"/>
  <c r="E16" i="1"/>
  <c r="E21" i="1"/>
  <c r="E18" i="1" s="1"/>
  <c r="E41" i="1"/>
  <c r="E50" i="1"/>
  <c r="E55" i="1"/>
  <c r="E59" i="1"/>
  <c r="E62" i="1"/>
  <c r="E79" i="1"/>
  <c r="E89" i="1"/>
  <c r="E94" i="1"/>
  <c r="E102" i="1"/>
  <c r="E108" i="1"/>
  <c r="E126" i="1"/>
  <c r="E168" i="1"/>
  <c r="E164" i="1" s="1"/>
  <c r="E181" i="1"/>
  <c r="E203" i="1"/>
  <c r="E215" i="1"/>
  <c r="E293" i="1"/>
  <c r="E290" i="1" s="1"/>
  <c r="E305" i="1"/>
  <c r="E308" i="1"/>
  <c r="E320" i="1"/>
  <c r="E317" i="1" s="1"/>
  <c r="E322" i="1"/>
  <c r="E330" i="1"/>
  <c r="E325" i="1" s="1"/>
  <c r="E342" i="1"/>
  <c r="E345" i="1"/>
  <c r="E349" i="1"/>
  <c r="E353" i="1"/>
  <c r="E367" i="1"/>
  <c r="E13" i="1" l="1"/>
  <c r="H163" i="1"/>
  <c r="E338" i="1"/>
  <c r="E170" i="1"/>
  <c r="E163" i="1" s="1"/>
  <c r="E141" i="1" s="1"/>
  <c r="E68" i="1"/>
  <c r="F218" i="1"/>
  <c r="I218" i="1" s="1"/>
  <c r="N406" i="1"/>
  <c r="K406" i="1" s="1"/>
  <c r="Q406" i="1" s="1"/>
  <c r="L406" i="1"/>
  <c r="P406" i="1"/>
  <c r="N413" i="1"/>
  <c r="K413" i="1" s="1"/>
  <c r="O413" i="1" s="1"/>
  <c r="R413" i="1" s="1"/>
  <c r="L413" i="1"/>
  <c r="P413" i="1"/>
  <c r="N403" i="1"/>
  <c r="L403" i="1"/>
  <c r="N414" i="1"/>
  <c r="L414" i="1"/>
  <c r="O397" i="1"/>
  <c r="P399" i="1"/>
  <c r="N399" i="1"/>
  <c r="N380" i="1"/>
  <c r="N373" i="1" s="1"/>
  <c r="L380" i="1"/>
  <c r="L373" i="1" s="1"/>
  <c r="N372" i="1"/>
  <c r="L372" i="1"/>
  <c r="N364" i="1"/>
  <c r="N362" i="1" s="1"/>
  <c r="L364" i="1"/>
  <c r="L362" i="1" s="1"/>
  <c r="N351" i="1"/>
  <c r="N349" i="1" s="1"/>
  <c r="L351" i="1"/>
  <c r="L349" i="1" s="1"/>
  <c r="N313" i="1"/>
  <c r="L313" i="1"/>
  <c r="M304" i="1"/>
  <c r="N303" i="1"/>
  <c r="N301" i="1" s="1"/>
  <c r="L303" i="1"/>
  <c r="L301" i="1" s="1"/>
  <c r="J290" i="1"/>
  <c r="K298" i="1"/>
  <c r="Q298" i="1" s="1"/>
  <c r="P298" i="1"/>
  <c r="J126" i="1"/>
  <c r="J181" i="1"/>
  <c r="J188" i="1"/>
  <c r="J203" i="1"/>
  <c r="J218" i="1"/>
  <c r="J250" i="1"/>
  <c r="M271" i="1"/>
  <c r="N289" i="1"/>
  <c r="K289" i="1" s="1"/>
  <c r="P289" i="1"/>
  <c r="F289" i="1"/>
  <c r="I289" i="1" s="1"/>
  <c r="N281" i="1"/>
  <c r="L281" i="1"/>
  <c r="N280" i="1"/>
  <c r="K280" i="1" s="1"/>
  <c r="L280" i="1"/>
  <c r="N278" i="1"/>
  <c r="L278" i="1"/>
  <c r="N268" i="1"/>
  <c r="M268" i="1"/>
  <c r="N266" i="1"/>
  <c r="K266" i="1" s="1"/>
  <c r="L266" i="1"/>
  <c r="L263" i="1" s="1"/>
  <c r="P266" i="1"/>
  <c r="N258" i="1"/>
  <c r="L258" i="1"/>
  <c r="M248" i="1"/>
  <c r="N245" i="1"/>
  <c r="N239" i="1" s="1"/>
  <c r="L245" i="1"/>
  <c r="L239" i="1" s="1"/>
  <c r="N235" i="1"/>
  <c r="L235" i="1"/>
  <c r="N211" i="1"/>
  <c r="L211" i="1"/>
  <c r="M202" i="1"/>
  <c r="N197" i="1"/>
  <c r="L197" i="1"/>
  <c r="N196" i="1"/>
  <c r="L196" i="1"/>
  <c r="N195" i="1"/>
  <c r="L195" i="1"/>
  <c r="M187" i="1"/>
  <c r="N178" i="1"/>
  <c r="L178" i="1"/>
  <c r="M164" i="1"/>
  <c r="M141" i="1" s="1"/>
  <c r="K168" i="1"/>
  <c r="O168" i="1" s="1"/>
  <c r="N169" i="1"/>
  <c r="K169" i="1" s="1"/>
  <c r="O169" i="1" s="1"/>
  <c r="L169" i="1"/>
  <c r="L164" i="1" s="1"/>
  <c r="N139" i="1"/>
  <c r="L139" i="1"/>
  <c r="N129" i="1"/>
  <c r="L129" i="1"/>
  <c r="K81" i="1"/>
  <c r="K82" i="1"/>
  <c r="K83" i="1"/>
  <c r="K84" i="1"/>
  <c r="K85" i="1"/>
  <c r="K86" i="1"/>
  <c r="K87" i="1"/>
  <c r="K88" i="1"/>
  <c r="K89" i="1"/>
  <c r="K90" i="1"/>
  <c r="K91" i="1"/>
  <c r="K92" i="1"/>
  <c r="K93" i="1"/>
  <c r="K95" i="1"/>
  <c r="K96" i="1"/>
  <c r="K97" i="1"/>
  <c r="K98" i="1"/>
  <c r="K99" i="1"/>
  <c r="K100" i="1"/>
  <c r="K101" i="1"/>
  <c r="K103" i="1"/>
  <c r="K104" i="1"/>
  <c r="K105" i="1"/>
  <c r="K106" i="1"/>
  <c r="K107" i="1"/>
  <c r="K108" i="1"/>
  <c r="K109" i="1"/>
  <c r="K110" i="1"/>
  <c r="K111" i="1"/>
  <c r="K112" i="1"/>
  <c r="K115" i="1"/>
  <c r="K116" i="1"/>
  <c r="K117" i="1"/>
  <c r="K119" i="1"/>
  <c r="K121" i="1"/>
  <c r="K122" i="1"/>
  <c r="K123" i="1"/>
  <c r="K124" i="1"/>
  <c r="K125" i="1"/>
  <c r="N80" i="1"/>
  <c r="N79" i="1" s="1"/>
  <c r="M80" i="1"/>
  <c r="L80" i="1"/>
  <c r="L79" i="1" s="1"/>
  <c r="N120" i="1"/>
  <c r="L120" i="1"/>
  <c r="N118" i="1"/>
  <c r="K118" i="1" s="1"/>
  <c r="L118" i="1"/>
  <c r="N114" i="1"/>
  <c r="K114" i="1" s="1"/>
  <c r="O114" i="1" s="1"/>
  <c r="R114" i="1" s="1"/>
  <c r="P114" i="1"/>
  <c r="N74" i="1"/>
  <c r="L74" i="1"/>
  <c r="N64" i="1"/>
  <c r="N61" i="1"/>
  <c r="N36" i="1"/>
  <c r="L64" i="1"/>
  <c r="M59" i="1"/>
  <c r="N59" i="1"/>
  <c r="L61" i="1"/>
  <c r="L59" i="1" s="1"/>
  <c r="L36" i="1"/>
  <c r="M373" i="1"/>
  <c r="M362" i="1"/>
  <c r="M349" i="1"/>
  <c r="L330" i="1"/>
  <c r="M301" i="1"/>
  <c r="M263" i="1"/>
  <c r="K236" i="1"/>
  <c r="K237" i="1"/>
  <c r="K238" i="1"/>
  <c r="M239" i="1"/>
  <c r="K399" i="1" l="1"/>
  <c r="O399" i="1" s="1"/>
  <c r="R399" i="1" s="1"/>
  <c r="N396" i="1"/>
  <c r="K396" i="1" s="1"/>
  <c r="L396" i="1"/>
  <c r="H161" i="1"/>
  <c r="H160" i="1" s="1"/>
  <c r="H141" i="1"/>
  <c r="H428" i="1" s="1"/>
  <c r="L141" i="1"/>
  <c r="N290" i="1"/>
  <c r="E428" i="1"/>
  <c r="K80" i="1"/>
  <c r="L271" i="1"/>
  <c r="N271" i="1"/>
  <c r="N164" i="1"/>
  <c r="N141" i="1" s="1"/>
  <c r="N263" i="1"/>
  <c r="M79" i="1"/>
  <c r="K79" i="1" s="1"/>
  <c r="K120" i="1"/>
  <c r="L290" i="1"/>
  <c r="M290" i="1"/>
  <c r="O406" i="1"/>
  <c r="R406" i="1" s="1"/>
  <c r="Q399" i="1"/>
  <c r="Q413" i="1"/>
  <c r="O298" i="1"/>
  <c r="R298" i="1" s="1"/>
  <c r="O289" i="1"/>
  <c r="R289" i="1" s="1"/>
  <c r="Q289" i="1"/>
  <c r="Q266" i="1"/>
  <c r="O266" i="1"/>
  <c r="R266" i="1" s="1"/>
  <c r="Q114" i="1"/>
  <c r="K75" i="1"/>
  <c r="O75" i="1" s="1"/>
  <c r="K76" i="1"/>
  <c r="O76" i="1" s="1"/>
  <c r="K77" i="1"/>
  <c r="O77" i="1" s="1"/>
  <c r="K78" i="1"/>
  <c r="O78" i="1" s="1"/>
  <c r="P77" i="1"/>
  <c r="M62" i="1"/>
  <c r="N62" i="1"/>
  <c r="L62" i="1"/>
  <c r="M50" i="1"/>
  <c r="N50" i="1"/>
  <c r="L50" i="1"/>
  <c r="M41" i="1"/>
  <c r="N41" i="1"/>
  <c r="L41" i="1"/>
  <c r="K36" i="1"/>
  <c r="J370" i="1"/>
  <c r="J367" i="1"/>
  <c r="J353" i="1"/>
  <c r="J338" i="1"/>
  <c r="J325" i="1"/>
  <c r="J308" i="1"/>
  <c r="J305" i="1"/>
  <c r="J271" i="1"/>
  <c r="J13" i="1"/>
  <c r="K164" i="1" l="1"/>
  <c r="J428" i="1"/>
  <c r="K50" i="1"/>
  <c r="F30" i="1" l="1"/>
  <c r="F31" i="1"/>
  <c r="F29" i="1"/>
  <c r="I29" i="1" l="1"/>
  <c r="Q29" i="1"/>
  <c r="R29" i="1" s="1"/>
  <c r="Q30" i="1"/>
  <c r="R30" i="1" s="1"/>
  <c r="I30" i="1"/>
  <c r="Q31" i="1"/>
  <c r="R31" i="1" s="1"/>
  <c r="I31" i="1"/>
  <c r="F83" i="1" l="1"/>
  <c r="I83" i="1" s="1"/>
  <c r="F77" i="1"/>
  <c r="I77" i="1" l="1"/>
  <c r="R77" i="1" s="1"/>
  <c r="Q77" i="1"/>
  <c r="P119" i="1"/>
  <c r="F119" i="1"/>
  <c r="I119" i="1" s="1"/>
  <c r="R119" i="1" s="1"/>
  <c r="P97" i="1"/>
  <c r="F97" i="1"/>
  <c r="I97" i="1" s="1"/>
  <c r="R97" i="1" s="1"/>
  <c r="P93" i="1"/>
  <c r="F93" i="1"/>
  <c r="Q93" i="1" s="1"/>
  <c r="P86" i="1"/>
  <c r="F86" i="1"/>
  <c r="Q86" i="1" s="1"/>
  <c r="P78" i="1"/>
  <c r="F78" i="1"/>
  <c r="I78" i="1" s="1"/>
  <c r="R78" i="1" s="1"/>
  <c r="Q119" i="1" l="1"/>
  <c r="Q97" i="1"/>
  <c r="I93" i="1"/>
  <c r="R93" i="1" s="1"/>
  <c r="I86" i="1"/>
  <c r="R86" i="1" s="1"/>
  <c r="Q78" i="1"/>
  <c r="K287" i="1"/>
  <c r="O287" i="1" s="1"/>
  <c r="R287" i="1" s="1"/>
  <c r="Q287" i="1" l="1"/>
  <c r="P420" i="1" l="1"/>
  <c r="Q420" i="1"/>
  <c r="R420" i="1"/>
  <c r="R256" i="1" l="1"/>
  <c r="Q67" i="1"/>
  <c r="Q69" i="1"/>
  <c r="Q127" i="1"/>
  <c r="Q153" i="1"/>
  <c r="Q180" i="1"/>
  <c r="Q233" i="1"/>
  <c r="Q236" i="1"/>
  <c r="Q256" i="1"/>
  <c r="Q276" i="1"/>
  <c r="Q385" i="1"/>
  <c r="Q386" i="1"/>
  <c r="Q387" i="1"/>
  <c r="P17" i="1"/>
  <c r="P19" i="1"/>
  <c r="P20" i="1"/>
  <c r="P22" i="1"/>
  <c r="P23" i="1"/>
  <c r="P24" i="1"/>
  <c r="P25" i="1"/>
  <c r="P26" i="1"/>
  <c r="P27" i="1"/>
  <c r="P28" i="1"/>
  <c r="P32" i="1"/>
  <c r="P33" i="1"/>
  <c r="P34" i="1"/>
  <c r="P35" i="1"/>
  <c r="P36" i="1"/>
  <c r="P37" i="1"/>
  <c r="P38" i="1"/>
  <c r="P39" i="1"/>
  <c r="P40" i="1"/>
  <c r="P42" i="1"/>
  <c r="P43" i="1"/>
  <c r="P44" i="1"/>
  <c r="P45" i="1"/>
  <c r="P46" i="1"/>
  <c r="P47" i="1"/>
  <c r="P48" i="1"/>
  <c r="P49" i="1"/>
  <c r="P51" i="1"/>
  <c r="P52" i="1"/>
  <c r="P53" i="1"/>
  <c r="P54" i="1"/>
  <c r="P56" i="1"/>
  <c r="P57" i="1"/>
  <c r="P58" i="1"/>
  <c r="P60" i="1"/>
  <c r="P61" i="1"/>
  <c r="P63" i="1"/>
  <c r="P64" i="1"/>
  <c r="P65" i="1"/>
  <c r="P66" i="1"/>
  <c r="P69" i="1"/>
  <c r="P70" i="1"/>
  <c r="P72" i="1"/>
  <c r="P73" i="1"/>
  <c r="P74" i="1"/>
  <c r="P75" i="1"/>
  <c r="P76" i="1"/>
  <c r="P81" i="1"/>
  <c r="P82" i="1"/>
  <c r="P84" i="1"/>
  <c r="P85" i="1"/>
  <c r="P87" i="1"/>
  <c r="P88" i="1"/>
  <c r="P90" i="1"/>
  <c r="P91" i="1"/>
  <c r="P92" i="1"/>
  <c r="P95" i="1"/>
  <c r="P96" i="1"/>
  <c r="P98" i="1"/>
  <c r="P99" i="1"/>
  <c r="P100" i="1"/>
  <c r="P101" i="1"/>
  <c r="P103" i="1"/>
  <c r="P104" i="1"/>
  <c r="P105" i="1"/>
  <c r="P106" i="1"/>
  <c r="P107" i="1"/>
  <c r="P109" i="1"/>
  <c r="P110" i="1"/>
  <c r="P111" i="1"/>
  <c r="P112" i="1"/>
  <c r="P113" i="1"/>
  <c r="P115" i="1"/>
  <c r="P116" i="1"/>
  <c r="P117" i="1"/>
  <c r="P118" i="1"/>
  <c r="P120" i="1"/>
  <c r="P121" i="1"/>
  <c r="P122" i="1"/>
  <c r="P123" i="1"/>
  <c r="P124" i="1"/>
  <c r="P125" i="1"/>
  <c r="P127" i="1"/>
  <c r="P128" i="1"/>
  <c r="P129" i="1"/>
  <c r="P130" i="1"/>
  <c r="P131" i="1"/>
  <c r="P132" i="1"/>
  <c r="P133" i="1"/>
  <c r="P134" i="1"/>
  <c r="P135" i="1"/>
  <c r="P136" i="1"/>
  <c r="P137" i="1"/>
  <c r="P138" i="1"/>
  <c r="P139" i="1"/>
  <c r="P140" i="1"/>
  <c r="P142" i="1"/>
  <c r="P143" i="1"/>
  <c r="P145" i="1"/>
  <c r="P146" i="1"/>
  <c r="P147" i="1"/>
  <c r="P148" i="1"/>
  <c r="P149" i="1"/>
  <c r="P150" i="1"/>
  <c r="P151" i="1"/>
  <c r="P152" i="1"/>
  <c r="P153" i="1"/>
  <c r="P154" i="1"/>
  <c r="P155" i="1"/>
  <c r="P156" i="1"/>
  <c r="P157" i="1"/>
  <c r="P158" i="1"/>
  <c r="P159" i="1"/>
  <c r="P160" i="1"/>
  <c r="P161" i="1"/>
  <c r="P162" i="1"/>
  <c r="P165" i="1"/>
  <c r="P166" i="1"/>
  <c r="P167" i="1"/>
  <c r="P169" i="1"/>
  <c r="P171" i="1"/>
  <c r="P174" i="1"/>
  <c r="P176" i="1"/>
  <c r="P177" i="1"/>
  <c r="P178" i="1"/>
  <c r="P179" i="1"/>
  <c r="P180" i="1"/>
  <c r="P182" i="1"/>
  <c r="P183" i="1"/>
  <c r="P184" i="1"/>
  <c r="P185" i="1"/>
  <c r="P186" i="1"/>
  <c r="P187" i="1"/>
  <c r="P189" i="1"/>
  <c r="P190" i="1"/>
  <c r="P191" i="1"/>
  <c r="P192" i="1"/>
  <c r="P193" i="1"/>
  <c r="P194" i="1"/>
  <c r="P195" i="1"/>
  <c r="P196" i="1"/>
  <c r="P197" i="1"/>
  <c r="P198" i="1"/>
  <c r="P199" i="1"/>
  <c r="P200" i="1"/>
  <c r="P201" i="1"/>
  <c r="P202" i="1"/>
  <c r="P204" i="1"/>
  <c r="P205" i="1"/>
  <c r="P207" i="1"/>
  <c r="P208" i="1"/>
  <c r="P209" i="1"/>
  <c r="P210" i="1"/>
  <c r="P211" i="1"/>
  <c r="P212" i="1"/>
  <c r="P213" i="1"/>
  <c r="P214" i="1"/>
  <c r="P216" i="1"/>
  <c r="P217" i="1"/>
  <c r="P219" i="1"/>
  <c r="P220" i="1"/>
  <c r="P221" i="1"/>
  <c r="P222" i="1"/>
  <c r="P223" i="1"/>
  <c r="P224" i="1"/>
  <c r="P225" i="1"/>
  <c r="P226" i="1"/>
  <c r="P227" i="1"/>
  <c r="P228" i="1"/>
  <c r="P229" i="1"/>
  <c r="P230" i="1"/>
  <c r="P233" i="1"/>
  <c r="P234" i="1"/>
  <c r="P235" i="1"/>
  <c r="P236" i="1"/>
  <c r="P237" i="1"/>
  <c r="P238" i="1"/>
  <c r="P239" i="1"/>
  <c r="P240" i="1"/>
  <c r="P241" i="1"/>
  <c r="P242" i="1"/>
  <c r="P243" i="1"/>
  <c r="P244" i="1"/>
  <c r="P245" i="1"/>
  <c r="P246" i="1"/>
  <c r="P247" i="1"/>
  <c r="P248" i="1"/>
  <c r="P249" i="1"/>
  <c r="P251" i="1"/>
  <c r="P252" i="1"/>
  <c r="P253" i="1"/>
  <c r="P254" i="1"/>
  <c r="P256" i="1"/>
  <c r="P257" i="1"/>
  <c r="P258" i="1"/>
  <c r="P259" i="1"/>
  <c r="P260" i="1"/>
  <c r="P261" i="1"/>
  <c r="P262" i="1"/>
  <c r="P263" i="1"/>
  <c r="P264" i="1"/>
  <c r="P265" i="1"/>
  <c r="P267" i="1"/>
  <c r="P268" i="1"/>
  <c r="P269" i="1"/>
  <c r="P270" i="1"/>
  <c r="P272" i="1"/>
  <c r="P273" i="1"/>
  <c r="P274" i="1"/>
  <c r="P276" i="1"/>
  <c r="P277" i="1"/>
  <c r="P278" i="1"/>
  <c r="P279" i="1"/>
  <c r="P280" i="1"/>
  <c r="P281" i="1"/>
  <c r="P282" i="1"/>
  <c r="P283" i="1"/>
  <c r="P284" i="1"/>
  <c r="P285" i="1"/>
  <c r="P286" i="1"/>
  <c r="P288" i="1"/>
  <c r="P291" i="1"/>
  <c r="P292" i="1"/>
  <c r="P294" i="1"/>
  <c r="P295" i="1"/>
  <c r="P296" i="1"/>
  <c r="P297" i="1"/>
  <c r="P299" i="1"/>
  <c r="P300" i="1"/>
  <c r="P301" i="1"/>
  <c r="P302" i="1"/>
  <c r="P303" i="1"/>
  <c r="P304" i="1"/>
  <c r="P306" i="1"/>
  <c r="P307" i="1"/>
  <c r="P309" i="1"/>
  <c r="P310" i="1"/>
  <c r="P311" i="1"/>
  <c r="P312" i="1"/>
  <c r="P313" i="1"/>
  <c r="P314" i="1"/>
  <c r="P316" i="1"/>
  <c r="P318" i="1"/>
  <c r="P319" i="1"/>
  <c r="P321" i="1"/>
  <c r="P323" i="1"/>
  <c r="P324" i="1"/>
  <c r="P326" i="1"/>
  <c r="P327" i="1"/>
  <c r="P329" i="1"/>
  <c r="P331" i="1"/>
  <c r="P332" i="1"/>
  <c r="P333" i="1"/>
  <c r="P334" i="1"/>
  <c r="P335" i="1"/>
  <c r="P337" i="1"/>
  <c r="P339" i="1"/>
  <c r="P340" i="1"/>
  <c r="P341" i="1"/>
  <c r="P343" i="1"/>
  <c r="P344" i="1"/>
  <c r="P346" i="1"/>
  <c r="P347" i="1"/>
  <c r="P348" i="1"/>
  <c r="P350" i="1"/>
  <c r="P351" i="1"/>
  <c r="P352" i="1"/>
  <c r="P354" i="1"/>
  <c r="P355" i="1"/>
  <c r="P356" i="1"/>
  <c r="P357" i="1"/>
  <c r="P358" i="1"/>
  <c r="P359" i="1"/>
  <c r="P360" i="1"/>
  <c r="P361" i="1"/>
  <c r="P362" i="1"/>
  <c r="P363" i="1"/>
  <c r="P364" i="1"/>
  <c r="P365" i="1"/>
  <c r="P366" i="1"/>
  <c r="P368" i="1"/>
  <c r="P369" i="1"/>
  <c r="P371" i="1"/>
  <c r="P374" i="1"/>
  <c r="P375" i="1"/>
  <c r="P378" i="1"/>
  <c r="P379" i="1"/>
  <c r="P380" i="1"/>
  <c r="P381" i="1"/>
  <c r="P383" i="1"/>
  <c r="P385" i="1"/>
  <c r="P386" i="1"/>
  <c r="P387" i="1"/>
  <c r="P388" i="1"/>
  <c r="P392" i="1"/>
  <c r="P393" i="1"/>
  <c r="P394" i="1"/>
  <c r="P397" i="1"/>
  <c r="P398" i="1"/>
  <c r="P400" i="1"/>
  <c r="P401" i="1"/>
  <c r="P402" i="1"/>
  <c r="P403" i="1"/>
  <c r="P404" i="1"/>
  <c r="P405" i="1"/>
  <c r="P407" i="1"/>
  <c r="P408" i="1"/>
  <c r="P409" i="1"/>
  <c r="P410" i="1"/>
  <c r="P411" i="1"/>
  <c r="P412" i="1"/>
  <c r="P414" i="1"/>
  <c r="P415" i="1"/>
  <c r="P416" i="1"/>
  <c r="P417" i="1"/>
  <c r="P418" i="1"/>
  <c r="P419" i="1"/>
  <c r="P421" i="1"/>
  <c r="P423" i="1"/>
  <c r="P424" i="1"/>
  <c r="P425" i="1"/>
  <c r="P426" i="1"/>
  <c r="P427" i="1"/>
  <c r="P15" i="1"/>
  <c r="R69" i="1" l="1"/>
  <c r="F27" i="1" l="1"/>
  <c r="I27" i="1" l="1"/>
  <c r="Q27" i="1"/>
  <c r="R27" i="1" s="1"/>
  <c r="F426" i="1"/>
  <c r="Q426" i="1" s="1"/>
  <c r="F425" i="1"/>
  <c r="Q425" i="1" s="1"/>
  <c r="F424" i="1"/>
  <c r="Q424" i="1" s="1"/>
  <c r="F423" i="1"/>
  <c r="Q423" i="1" s="1"/>
  <c r="F421" i="1"/>
  <c r="Q421" i="1" s="1"/>
  <c r="G108" i="1"/>
  <c r="F376" i="1"/>
  <c r="F394" i="1"/>
  <c r="G396" i="1" l="1"/>
  <c r="I394" i="1"/>
  <c r="R394" i="1" s="1"/>
  <c r="Q394" i="1"/>
  <c r="I421" i="1"/>
  <c r="R421" i="1" s="1"/>
  <c r="I423" i="1"/>
  <c r="R423" i="1" s="1"/>
  <c r="I424" i="1"/>
  <c r="R424" i="1" s="1"/>
  <c r="I425" i="1"/>
  <c r="R425" i="1" s="1"/>
  <c r="I426" i="1"/>
  <c r="R426" i="1" s="1"/>
  <c r="P382" i="1"/>
  <c r="G379" i="1"/>
  <c r="G373" i="1" s="1"/>
  <c r="G359" i="1"/>
  <c r="G323" i="1"/>
  <c r="P67" i="1"/>
  <c r="R67" i="1" s="1"/>
  <c r="F208" i="1" l="1"/>
  <c r="F207" i="1"/>
  <c r="Q207" i="1" s="1"/>
  <c r="F192" i="1"/>
  <c r="F184" i="1"/>
  <c r="G181" i="1"/>
  <c r="F155" i="1"/>
  <c r="F169" i="1"/>
  <c r="Q169" i="1" s="1"/>
  <c r="G164" i="1"/>
  <c r="P181" i="1" l="1"/>
  <c r="P188" i="1"/>
  <c r="I155" i="1"/>
  <c r="R155" i="1" s="1"/>
  <c r="Q155" i="1"/>
  <c r="I192" i="1"/>
  <c r="R192" i="1" s="1"/>
  <c r="Q192" i="1"/>
  <c r="I208" i="1"/>
  <c r="R208" i="1" s="1"/>
  <c r="Q208" i="1"/>
  <c r="I184" i="1"/>
  <c r="R184" i="1" s="1"/>
  <c r="Q184" i="1"/>
  <c r="I207" i="1"/>
  <c r="R207" i="1" s="1"/>
  <c r="F181" i="1"/>
  <c r="I169" i="1"/>
  <c r="R169" i="1" s="1"/>
  <c r="F164" i="1"/>
  <c r="I276" i="1"/>
  <c r="R276" i="1" s="1"/>
  <c r="F277" i="1"/>
  <c r="F257" i="1"/>
  <c r="Q257" i="1" s="1"/>
  <c r="I233" i="1"/>
  <c r="R233" i="1" s="1"/>
  <c r="F234" i="1"/>
  <c r="Q234" i="1" s="1"/>
  <c r="F224" i="1"/>
  <c r="F225" i="1"/>
  <c r="F226" i="1"/>
  <c r="F227" i="1"/>
  <c r="F228" i="1"/>
  <c r="F229" i="1"/>
  <c r="F249" i="1"/>
  <c r="I249" i="1" l="1"/>
  <c r="R249" i="1" s="1"/>
  <c r="Q249" i="1"/>
  <c r="G250" i="1"/>
  <c r="I228" i="1"/>
  <c r="R228" i="1" s="1"/>
  <c r="Q228" i="1"/>
  <c r="I226" i="1"/>
  <c r="R226" i="1" s="1"/>
  <c r="Q226" i="1"/>
  <c r="I224" i="1"/>
  <c r="R224" i="1" s="1"/>
  <c r="Q224" i="1"/>
  <c r="I277" i="1"/>
  <c r="R277" i="1" s="1"/>
  <c r="Q277" i="1"/>
  <c r="I181" i="1"/>
  <c r="I229" i="1"/>
  <c r="R229" i="1" s="1"/>
  <c r="Q229" i="1"/>
  <c r="I227" i="1"/>
  <c r="R227" i="1" s="1"/>
  <c r="Q227" i="1"/>
  <c r="I225" i="1"/>
  <c r="R225" i="1" s="1"/>
  <c r="Q225" i="1"/>
  <c r="I257" i="1"/>
  <c r="R257" i="1" s="1"/>
  <c r="I234" i="1"/>
  <c r="R234" i="1" s="1"/>
  <c r="F129" i="1"/>
  <c r="F131" i="1"/>
  <c r="G126" i="1" l="1"/>
  <c r="I131" i="1"/>
  <c r="R131" i="1" s="1"/>
  <c r="Q131" i="1"/>
  <c r="K269" i="1"/>
  <c r="Q269" i="1" s="1"/>
  <c r="K270" i="1"/>
  <c r="Q270" i="1" s="1"/>
  <c r="O270" i="1" l="1"/>
  <c r="R270" i="1" s="1"/>
  <c r="O269" i="1"/>
  <c r="R269" i="1" s="1"/>
  <c r="M250" i="1"/>
  <c r="K364" i="1"/>
  <c r="Q364" i="1" s="1"/>
  <c r="K363" i="1"/>
  <c r="K302" i="1"/>
  <c r="Q302" i="1" s="1"/>
  <c r="K303" i="1"/>
  <c r="Q303" i="1" s="1"/>
  <c r="K267" i="1"/>
  <c r="Q267" i="1" s="1"/>
  <c r="K265" i="1"/>
  <c r="Q265" i="1" s="1"/>
  <c r="K264" i="1"/>
  <c r="K240" i="1"/>
  <c r="Q240" i="1" s="1"/>
  <c r="K241" i="1"/>
  <c r="Q241" i="1" s="1"/>
  <c r="K242" i="1"/>
  <c r="Q242" i="1" s="1"/>
  <c r="K243" i="1"/>
  <c r="Q243" i="1" s="1"/>
  <c r="K244" i="1"/>
  <c r="K245" i="1"/>
  <c r="Q245" i="1" s="1"/>
  <c r="K246" i="1"/>
  <c r="Q246" i="1" s="1"/>
  <c r="K39" i="1"/>
  <c r="Q39" i="1" s="1"/>
  <c r="R39" i="1" s="1"/>
  <c r="K38" i="1"/>
  <c r="Q38" i="1" s="1"/>
  <c r="R38" i="1" s="1"/>
  <c r="Q121" i="1"/>
  <c r="M188" i="1"/>
  <c r="K398" i="1"/>
  <c r="O398" i="1" s="1"/>
  <c r="K401" i="1"/>
  <c r="Q401" i="1" s="1"/>
  <c r="K392" i="1"/>
  <c r="P391" i="1"/>
  <c r="K388" i="1"/>
  <c r="K391" i="1"/>
  <c r="Q391" i="1" s="1"/>
  <c r="K365" i="1"/>
  <c r="F365" i="1"/>
  <c r="N353" i="1"/>
  <c r="L353" i="1"/>
  <c r="K301" i="1"/>
  <c r="F301" i="1"/>
  <c r="K178" i="1"/>
  <c r="K161" i="1"/>
  <c r="O161" i="1" s="1"/>
  <c r="K160" i="1"/>
  <c r="O160" i="1" s="1"/>
  <c r="K159" i="1"/>
  <c r="K162" i="1"/>
  <c r="O162" i="1" s="1"/>
  <c r="K163" i="1"/>
  <c r="O163" i="1" s="1"/>
  <c r="K165" i="1"/>
  <c r="O165" i="1" s="1"/>
  <c r="K166" i="1"/>
  <c r="O166" i="1" s="1"/>
  <c r="K167" i="1"/>
  <c r="O167" i="1" s="1"/>
  <c r="F159" i="1"/>
  <c r="K129" i="1"/>
  <c r="Q129" i="1" s="1"/>
  <c r="N113" i="1"/>
  <c r="K113" i="1" s="1"/>
  <c r="L113" i="1"/>
  <c r="Q159" i="1" l="1"/>
  <c r="O164" i="1"/>
  <c r="Q164" i="1"/>
  <c r="I301" i="1"/>
  <c r="Q301" i="1"/>
  <c r="O388" i="1"/>
  <c r="Q388" i="1"/>
  <c r="O392" i="1"/>
  <c r="R392" i="1" s="1"/>
  <c r="Q392" i="1"/>
  <c r="O123" i="1"/>
  <c r="R123" i="1" s="1"/>
  <c r="Q123" i="1"/>
  <c r="O244" i="1"/>
  <c r="R244" i="1" s="1"/>
  <c r="Q244" i="1"/>
  <c r="O264" i="1"/>
  <c r="R264" i="1" s="1"/>
  <c r="Q264" i="1"/>
  <c r="O363" i="1"/>
  <c r="R363" i="1" s="1"/>
  <c r="Q363" i="1"/>
  <c r="O125" i="1"/>
  <c r="R125" i="1" s="1"/>
  <c r="Q125" i="1"/>
  <c r="O178" i="1"/>
  <c r="R178" i="1" s="1"/>
  <c r="Q178" i="1"/>
  <c r="I365" i="1"/>
  <c r="Q365" i="1"/>
  <c r="O122" i="1"/>
  <c r="R122" i="1" s="1"/>
  <c r="Q122" i="1"/>
  <c r="O302" i="1"/>
  <c r="R302" i="1" s="1"/>
  <c r="O364" i="1"/>
  <c r="R364" i="1" s="1"/>
  <c r="O303" i="1"/>
  <c r="R303" i="1" s="1"/>
  <c r="O265" i="1"/>
  <c r="R265" i="1" s="1"/>
  <c r="O267" i="1"/>
  <c r="R267" i="1" s="1"/>
  <c r="O38" i="1"/>
  <c r="M353" i="1"/>
  <c r="K400" i="1"/>
  <c r="O240" i="1"/>
  <c r="R240" i="1" s="1"/>
  <c r="O246" i="1"/>
  <c r="R246" i="1" s="1"/>
  <c r="O245" i="1"/>
  <c r="R245" i="1" s="1"/>
  <c r="O243" i="1"/>
  <c r="R243" i="1" s="1"/>
  <c r="O242" i="1"/>
  <c r="R242" i="1" s="1"/>
  <c r="O241" i="1"/>
  <c r="R241" i="1" s="1"/>
  <c r="O121" i="1"/>
  <c r="R121" i="1" s="1"/>
  <c r="O39" i="1"/>
  <c r="O401" i="1"/>
  <c r="R401" i="1" s="1"/>
  <c r="O391" i="1"/>
  <c r="R391" i="1" s="1"/>
  <c r="O365" i="1"/>
  <c r="O301" i="1"/>
  <c r="O159" i="1"/>
  <c r="I159" i="1"/>
  <c r="K288" i="1"/>
  <c r="Q288" i="1" s="1"/>
  <c r="K286" i="1"/>
  <c r="Q286" i="1" s="1"/>
  <c r="Q280" i="1"/>
  <c r="K279" i="1"/>
  <c r="Q279" i="1" s="1"/>
  <c r="K262" i="1"/>
  <c r="Q262" i="1" s="1"/>
  <c r="K261" i="1"/>
  <c r="Q261" i="1" s="1"/>
  <c r="K260" i="1"/>
  <c r="Q260" i="1" s="1"/>
  <c r="K259" i="1"/>
  <c r="Q238" i="1"/>
  <c r="O236" i="1"/>
  <c r="R236" i="1" s="1"/>
  <c r="K133" i="1"/>
  <c r="Q133" i="1" s="1"/>
  <c r="K132" i="1"/>
  <c r="Q132" i="1" s="1"/>
  <c r="K130" i="1"/>
  <c r="O130" i="1" l="1"/>
  <c r="R130" i="1" s="1"/>
  <c r="Q130" i="1"/>
  <c r="O237" i="1"/>
  <c r="R237" i="1" s="1"/>
  <c r="Q237" i="1"/>
  <c r="O259" i="1"/>
  <c r="R259" i="1" s="1"/>
  <c r="Q259" i="1"/>
  <c r="O400" i="1"/>
  <c r="Q400" i="1"/>
  <c r="R159" i="1"/>
  <c r="R365" i="1"/>
  <c r="R301" i="1"/>
  <c r="O288" i="1"/>
  <c r="R288" i="1" s="1"/>
  <c r="O280" i="1"/>
  <c r="R280" i="1" s="1"/>
  <c r="O286" i="1"/>
  <c r="R286" i="1" s="1"/>
  <c r="O261" i="1"/>
  <c r="R261" i="1" s="1"/>
  <c r="O279" i="1"/>
  <c r="R279" i="1" s="1"/>
  <c r="O260" i="1"/>
  <c r="R260" i="1" s="1"/>
  <c r="O262" i="1"/>
  <c r="R262" i="1" s="1"/>
  <c r="O238" i="1"/>
  <c r="R238" i="1" s="1"/>
  <c r="O133" i="1"/>
  <c r="R133" i="1" s="1"/>
  <c r="O132" i="1"/>
  <c r="R132" i="1" s="1"/>
  <c r="L250" i="1"/>
  <c r="L218" i="1"/>
  <c r="L126" i="1"/>
  <c r="K41" i="1"/>
  <c r="O41" i="1" s="1"/>
  <c r="K374" i="1"/>
  <c r="K375" i="1"/>
  <c r="K376" i="1"/>
  <c r="Q376" i="1" s="1"/>
  <c r="K377" i="1"/>
  <c r="K378" i="1"/>
  <c r="K379" i="1"/>
  <c r="O379" i="1" s="1"/>
  <c r="K380" i="1"/>
  <c r="R400" i="1" l="1"/>
  <c r="O380" i="1"/>
  <c r="R380" i="1" s="1"/>
  <c r="Q380" i="1"/>
  <c r="L188" i="1"/>
  <c r="F186" i="1" l="1"/>
  <c r="Q186" i="1" s="1"/>
  <c r="I186" i="1" l="1"/>
  <c r="R186" i="1" s="1"/>
  <c r="Q66" i="1"/>
  <c r="R66" i="1" s="1"/>
  <c r="I67" i="1" l="1"/>
  <c r="I66" i="1"/>
  <c r="F379" i="1"/>
  <c r="Q379" i="1" s="1"/>
  <c r="I379" i="1" l="1"/>
  <c r="R379" i="1" s="1"/>
  <c r="F427" i="1" l="1"/>
  <c r="Q427" i="1" s="1"/>
  <c r="F419" i="1"/>
  <c r="F418" i="1"/>
  <c r="Q418" i="1" s="1"/>
  <c r="F417" i="1"/>
  <c r="Q417" i="1" s="1"/>
  <c r="F415" i="1"/>
  <c r="F416" i="1"/>
  <c r="Q416" i="1" s="1"/>
  <c r="I419" i="1" l="1"/>
  <c r="R419" i="1" s="1"/>
  <c r="Q419" i="1"/>
  <c r="I417" i="1"/>
  <c r="R417" i="1" s="1"/>
  <c r="I418" i="1"/>
  <c r="R418" i="1" s="1"/>
  <c r="I427" i="1"/>
  <c r="R427" i="1" s="1"/>
  <c r="F398" i="1"/>
  <c r="Q398" i="1" l="1"/>
  <c r="I398" i="1"/>
  <c r="R398" i="1" s="1"/>
  <c r="O386" i="1"/>
  <c r="O387" i="1"/>
  <c r="K393" i="1"/>
  <c r="K384" i="1" s="1"/>
  <c r="F393" i="1"/>
  <c r="F396" i="1"/>
  <c r="F397" i="1"/>
  <c r="Q393" i="1" l="1"/>
  <c r="I397" i="1"/>
  <c r="R397" i="1" s="1"/>
  <c r="Q397" i="1"/>
  <c r="O393" i="1"/>
  <c r="O384" i="1" s="1"/>
  <c r="F384" i="1"/>
  <c r="G370" i="1"/>
  <c r="F28" i="1"/>
  <c r="F26" i="1"/>
  <c r="F25" i="1"/>
  <c r="Q384" i="1" l="1"/>
  <c r="I26" i="1"/>
  <c r="Q26" i="1"/>
  <c r="R26" i="1" s="1"/>
  <c r="I25" i="1"/>
  <c r="Q25" i="1"/>
  <c r="R25" i="1" s="1"/>
  <c r="I28" i="1"/>
  <c r="Q28" i="1"/>
  <c r="R28" i="1" s="1"/>
  <c r="G342" i="1"/>
  <c r="G62" i="1"/>
  <c r="G59" i="1"/>
  <c r="G50" i="1"/>
  <c r="G13" i="1" l="1"/>
  <c r="I416" i="1" l="1"/>
  <c r="R416" i="1" s="1"/>
  <c r="I415" i="1"/>
  <c r="F402" i="1"/>
  <c r="F403" i="1"/>
  <c r="F404" i="1"/>
  <c r="F405" i="1"/>
  <c r="F407" i="1"/>
  <c r="F408" i="1"/>
  <c r="F409" i="1"/>
  <c r="F410" i="1"/>
  <c r="F411" i="1"/>
  <c r="F414" i="1"/>
  <c r="F412" i="1"/>
  <c r="N370" i="1"/>
  <c r="I393" i="1"/>
  <c r="R393" i="1" s="1"/>
  <c r="I385" i="1"/>
  <c r="R385" i="1" s="1"/>
  <c r="I386" i="1"/>
  <c r="R386" i="1" s="1"/>
  <c r="I387" i="1"/>
  <c r="R387" i="1" s="1"/>
  <c r="I388" i="1"/>
  <c r="R388" i="1" s="1"/>
  <c r="P384" i="1"/>
  <c r="I414" i="1" l="1"/>
  <c r="I410" i="1"/>
  <c r="I408" i="1"/>
  <c r="I405" i="1"/>
  <c r="I403" i="1"/>
  <c r="I412" i="1"/>
  <c r="I411" i="1"/>
  <c r="I409" i="1"/>
  <c r="I407" i="1"/>
  <c r="I404" i="1"/>
  <c r="I402" i="1"/>
  <c r="I384" i="1"/>
  <c r="R384" i="1" s="1"/>
  <c r="G215" i="1"/>
  <c r="L215" i="1"/>
  <c r="M215" i="1"/>
  <c r="N215" i="1"/>
  <c r="P215" i="1"/>
  <c r="P102" i="1"/>
  <c r="K214" i="1"/>
  <c r="O214" i="1" s="1"/>
  <c r="O215" i="1" s="1"/>
  <c r="F214" i="1"/>
  <c r="G203" i="1"/>
  <c r="I214" i="1" l="1"/>
  <c r="Q214" i="1"/>
  <c r="K215" i="1"/>
  <c r="F215" i="1"/>
  <c r="F202" i="1"/>
  <c r="F201" i="1"/>
  <c r="F200" i="1"/>
  <c r="F199" i="1"/>
  <c r="F198" i="1"/>
  <c r="F197" i="1"/>
  <c r="F196" i="1"/>
  <c r="F195" i="1"/>
  <c r="F194" i="1"/>
  <c r="F193" i="1"/>
  <c r="F190" i="1"/>
  <c r="F189" i="1"/>
  <c r="F203" i="1"/>
  <c r="I194" i="1" l="1"/>
  <c r="I196" i="1"/>
  <c r="I198" i="1"/>
  <c r="I200" i="1"/>
  <c r="I202" i="1"/>
  <c r="I204" i="1"/>
  <c r="I189" i="1"/>
  <c r="I190" i="1"/>
  <c r="I193" i="1"/>
  <c r="I195" i="1"/>
  <c r="I197" i="1"/>
  <c r="I199" i="1"/>
  <c r="Q215" i="1"/>
  <c r="I215" i="1"/>
  <c r="R215" i="1" s="1"/>
  <c r="R214" i="1"/>
  <c r="G188" i="1"/>
  <c r="F188" i="1" s="1"/>
  <c r="F191" i="1"/>
  <c r="I191" i="1" l="1"/>
  <c r="I180" i="1"/>
  <c r="F179" i="1"/>
  <c r="F177" i="1"/>
  <c r="F176" i="1"/>
  <c r="F175" i="1"/>
  <c r="P175" i="1"/>
  <c r="F174" i="1"/>
  <c r="F173" i="1"/>
  <c r="P173" i="1"/>
  <c r="G170" i="1"/>
  <c r="G163" i="1" s="1"/>
  <c r="G141" i="1" s="1"/>
  <c r="P172" i="1"/>
  <c r="F171" i="1"/>
  <c r="F168" i="1"/>
  <c r="F167" i="1"/>
  <c r="F166" i="1"/>
  <c r="F165" i="1"/>
  <c r="F162" i="1"/>
  <c r="F158" i="1"/>
  <c r="F157" i="1"/>
  <c r="F156" i="1"/>
  <c r="F154" i="1"/>
  <c r="Q154" i="1" s="1"/>
  <c r="I153" i="1"/>
  <c r="R153" i="1" s="1"/>
  <c r="F151" i="1"/>
  <c r="F150" i="1"/>
  <c r="F149" i="1"/>
  <c r="F148" i="1"/>
  <c r="F147" i="1"/>
  <c r="F146" i="1"/>
  <c r="F145" i="1"/>
  <c r="P144" i="1"/>
  <c r="R180" i="1" l="1"/>
  <c r="I145" i="1"/>
  <c r="I147" i="1"/>
  <c r="I149" i="1"/>
  <c r="I152" i="1"/>
  <c r="I157" i="1"/>
  <c r="I162" i="1"/>
  <c r="R162" i="1" s="1"/>
  <c r="Q162" i="1"/>
  <c r="I166" i="1"/>
  <c r="R166" i="1" s="1"/>
  <c r="Q166" i="1"/>
  <c r="P168" i="1"/>
  <c r="I174" i="1"/>
  <c r="I177" i="1"/>
  <c r="I146" i="1"/>
  <c r="I148" i="1"/>
  <c r="I150" i="1"/>
  <c r="I151" i="1"/>
  <c r="I156" i="1"/>
  <c r="I158" i="1"/>
  <c r="I165" i="1"/>
  <c r="R165" i="1" s="1"/>
  <c r="Q165" i="1"/>
  <c r="I167" i="1"/>
  <c r="R167" i="1" s="1"/>
  <c r="Q167" i="1"/>
  <c r="I171" i="1"/>
  <c r="I176" i="1"/>
  <c r="I179" i="1"/>
  <c r="F144" i="1"/>
  <c r="I175" i="1"/>
  <c r="F172" i="1"/>
  <c r="I154" i="1"/>
  <c r="R154" i="1" s="1"/>
  <c r="I173" i="1"/>
  <c r="I168" i="1"/>
  <c r="I144" i="1" l="1"/>
  <c r="P170" i="1"/>
  <c r="F170" i="1"/>
  <c r="I170" i="1" s="1"/>
  <c r="I164" i="1"/>
  <c r="R164" i="1" s="1"/>
  <c r="P164" i="1"/>
  <c r="F163" i="1"/>
  <c r="Q163" i="1" s="1"/>
  <c r="I172" i="1"/>
  <c r="I163" i="1" l="1"/>
  <c r="R163" i="1" s="1"/>
  <c r="P141" i="1"/>
  <c r="P163" i="1"/>
  <c r="F161" i="1"/>
  <c r="Q161" i="1" s="1"/>
  <c r="F160" i="1"/>
  <c r="Q160" i="1" s="1"/>
  <c r="I160" i="1" l="1"/>
  <c r="R160" i="1" s="1"/>
  <c r="I161" i="1"/>
  <c r="R161" i="1" s="1"/>
  <c r="G94" i="1" l="1"/>
  <c r="F94" i="1" s="1"/>
  <c r="F75" i="1"/>
  <c r="F76" i="1"/>
  <c r="I75" i="1" l="1"/>
  <c r="R75" i="1" s="1"/>
  <c r="Q75" i="1"/>
  <c r="I76" i="1"/>
  <c r="R76" i="1" s="1"/>
  <c r="Q76" i="1"/>
  <c r="F82" i="1"/>
  <c r="Q82" i="1" s="1"/>
  <c r="F84" i="1"/>
  <c r="Q84" i="1" s="1"/>
  <c r="F85" i="1"/>
  <c r="Q85" i="1" s="1"/>
  <c r="F74" i="1"/>
  <c r="G79" i="1"/>
  <c r="F104" i="1"/>
  <c r="Q104" i="1" s="1"/>
  <c r="F96" i="1"/>
  <c r="Q96" i="1" s="1"/>
  <c r="I74" i="1" l="1"/>
  <c r="G102" i="1"/>
  <c r="I96" i="1"/>
  <c r="R96" i="1" s="1"/>
  <c r="I84" i="1"/>
  <c r="R84" i="1" s="1"/>
  <c r="I85" i="1"/>
  <c r="R85" i="1" s="1"/>
  <c r="I82" i="1"/>
  <c r="R82" i="1" s="1"/>
  <c r="I104" i="1"/>
  <c r="R104" i="1" s="1"/>
  <c r="F113" i="1" l="1"/>
  <c r="F90" i="1"/>
  <c r="F118" i="1"/>
  <c r="F115" i="1"/>
  <c r="F105" i="1"/>
  <c r="F107" i="1"/>
  <c r="F103" i="1"/>
  <c r="F81" i="1"/>
  <c r="F87" i="1"/>
  <c r="F88" i="1"/>
  <c r="F91" i="1"/>
  <c r="F92" i="1"/>
  <c r="F95" i="1"/>
  <c r="F98" i="1"/>
  <c r="F99" i="1"/>
  <c r="F100" i="1"/>
  <c r="F101" i="1"/>
  <c r="F102" i="1"/>
  <c r="F106" i="1"/>
  <c r="F110" i="1"/>
  <c r="F111" i="1"/>
  <c r="F112" i="1"/>
  <c r="F116" i="1"/>
  <c r="F117" i="1"/>
  <c r="F120" i="1"/>
  <c r="F124" i="1"/>
  <c r="F80" i="1"/>
  <c r="F73" i="1"/>
  <c r="I95" i="1" l="1"/>
  <c r="I105" i="1"/>
  <c r="F71" i="1"/>
  <c r="F79" i="1"/>
  <c r="G89" i="1"/>
  <c r="G68" i="1" s="1"/>
  <c r="F182" i="1"/>
  <c r="F183" i="1"/>
  <c r="F185" i="1"/>
  <c r="F187" i="1"/>
  <c r="F206" i="1"/>
  <c r="F209" i="1"/>
  <c r="F210" i="1"/>
  <c r="F211" i="1"/>
  <c r="F212" i="1"/>
  <c r="F213" i="1"/>
  <c r="F216" i="1"/>
  <c r="F219" i="1"/>
  <c r="Q219" i="1" s="1"/>
  <c r="F220" i="1"/>
  <c r="F230" i="1"/>
  <c r="F235" i="1"/>
  <c r="F239" i="1"/>
  <c r="F247" i="1"/>
  <c r="F248" i="1"/>
  <c r="F251" i="1"/>
  <c r="F252" i="1"/>
  <c r="F254" i="1"/>
  <c r="F258" i="1"/>
  <c r="F263" i="1"/>
  <c r="F268" i="1"/>
  <c r="F272" i="1"/>
  <c r="F273" i="1"/>
  <c r="F278" i="1"/>
  <c r="F281" i="1"/>
  <c r="F282" i="1"/>
  <c r="F283" i="1"/>
  <c r="F284" i="1"/>
  <c r="F285" i="1"/>
  <c r="F291" i="1"/>
  <c r="F292" i="1"/>
  <c r="F293" i="1"/>
  <c r="F294" i="1"/>
  <c r="F295" i="1"/>
  <c r="F296" i="1"/>
  <c r="F297" i="1"/>
  <c r="F299" i="1"/>
  <c r="F300" i="1"/>
  <c r="F304" i="1"/>
  <c r="F306" i="1"/>
  <c r="F307" i="1"/>
  <c r="F309" i="1"/>
  <c r="F310" i="1"/>
  <c r="F313" i="1"/>
  <c r="F314" i="1"/>
  <c r="F315" i="1"/>
  <c r="F316" i="1"/>
  <c r="F318" i="1"/>
  <c r="F319" i="1"/>
  <c r="F321" i="1"/>
  <c r="F322" i="1"/>
  <c r="F323" i="1"/>
  <c r="F324" i="1"/>
  <c r="F326" i="1"/>
  <c r="F327" i="1"/>
  <c r="F328" i="1"/>
  <c r="F329" i="1"/>
  <c r="F330" i="1"/>
  <c r="F331" i="1"/>
  <c r="F332" i="1"/>
  <c r="F333" i="1"/>
  <c r="F334" i="1"/>
  <c r="F335" i="1"/>
  <c r="F337" i="1"/>
  <c r="F339" i="1"/>
  <c r="F340" i="1"/>
  <c r="F341" i="1"/>
  <c r="F342" i="1"/>
  <c r="F343" i="1"/>
  <c r="F344" i="1"/>
  <c r="F345" i="1"/>
  <c r="F346" i="1"/>
  <c r="F347" i="1"/>
  <c r="F348" i="1"/>
  <c r="F350" i="1"/>
  <c r="F351" i="1"/>
  <c r="F352" i="1"/>
  <c r="F354" i="1"/>
  <c r="F355" i="1"/>
  <c r="F356" i="1"/>
  <c r="F357" i="1"/>
  <c r="F358" i="1"/>
  <c r="F359" i="1"/>
  <c r="F360" i="1"/>
  <c r="F361" i="1"/>
  <c r="F143" i="1"/>
  <c r="F141" i="1" s="1"/>
  <c r="I330" i="1" l="1"/>
  <c r="F89" i="1"/>
  <c r="K415" i="1"/>
  <c r="Q415" i="1" s="1"/>
  <c r="K414" i="1"/>
  <c r="K412" i="1"/>
  <c r="K411" i="1"/>
  <c r="Q411" i="1" s="1"/>
  <c r="K410" i="1"/>
  <c r="K409" i="1"/>
  <c r="Q409" i="1" s="1"/>
  <c r="K408" i="1"/>
  <c r="Q408" i="1" s="1"/>
  <c r="K407" i="1"/>
  <c r="K405" i="1"/>
  <c r="Q405" i="1" s="1"/>
  <c r="K404" i="1"/>
  <c r="K403" i="1"/>
  <c r="K402" i="1"/>
  <c r="Q402" i="1" s="1"/>
  <c r="K383" i="1"/>
  <c r="O383" i="1" s="1"/>
  <c r="K382" i="1"/>
  <c r="O382" i="1" s="1"/>
  <c r="K381" i="1"/>
  <c r="O381" i="1" s="1"/>
  <c r="M305" i="1"/>
  <c r="L305" i="1"/>
  <c r="K369" i="1"/>
  <c r="O369" i="1" s="1"/>
  <c r="K366" i="1"/>
  <c r="K362" i="1"/>
  <c r="O362" i="1" s="1"/>
  <c r="F362" i="1"/>
  <c r="K351" i="1"/>
  <c r="O351" i="1" s="1"/>
  <c r="M330" i="1"/>
  <c r="P330" i="1"/>
  <c r="N330" i="1"/>
  <c r="M308" i="1"/>
  <c r="L308" i="1"/>
  <c r="K316" i="1"/>
  <c r="Q316" i="1" s="1"/>
  <c r="I316" i="1"/>
  <c r="K314" i="1"/>
  <c r="O314" i="1" s="1"/>
  <c r="K313" i="1"/>
  <c r="Q313" i="1" s="1"/>
  <c r="K312" i="1"/>
  <c r="O312" i="1" s="1"/>
  <c r="K310" i="1"/>
  <c r="O310" i="1" s="1"/>
  <c r="K307" i="1"/>
  <c r="O307" i="1" s="1"/>
  <c r="K285" i="1"/>
  <c r="O285" i="1" s="1"/>
  <c r="K284" i="1"/>
  <c r="Q284" i="1" s="1"/>
  <c r="K283" i="1"/>
  <c r="O283" i="1" s="1"/>
  <c r="K281" i="1"/>
  <c r="O281" i="1" s="1"/>
  <c r="I281" i="1"/>
  <c r="K278" i="1"/>
  <c r="O278" i="1" s="1"/>
  <c r="I268" i="1"/>
  <c r="N250" i="1"/>
  <c r="M218" i="1"/>
  <c r="I247" i="1"/>
  <c r="K239" i="1"/>
  <c r="O239" i="1" s="1"/>
  <c r="I235" i="1"/>
  <c r="K202" i="1"/>
  <c r="Q202" i="1" s="1"/>
  <c r="K201" i="1"/>
  <c r="Q201" i="1" s="1"/>
  <c r="K191" i="1"/>
  <c r="K183" i="1"/>
  <c r="O183" i="1" s="1"/>
  <c r="K179" i="1"/>
  <c r="Q179" i="1" s="1"/>
  <c r="K139" i="1"/>
  <c r="Q139" i="1" s="1"/>
  <c r="K134" i="1"/>
  <c r="O134" i="1" s="1"/>
  <c r="Q120" i="1"/>
  <c r="Q117" i="1"/>
  <c r="I117" i="1"/>
  <c r="Q113" i="1"/>
  <c r="I113" i="1"/>
  <c r="K74" i="1"/>
  <c r="K64" i="1"/>
  <c r="O64" i="1" s="1"/>
  <c r="K43" i="1"/>
  <c r="O43" i="1" s="1"/>
  <c r="R14" i="1"/>
  <c r="K37" i="1"/>
  <c r="Q37" i="1" s="1"/>
  <c r="R37" i="1" s="1"/>
  <c r="Q36" i="1"/>
  <c r="R36" i="1" s="1"/>
  <c r="K15" i="1"/>
  <c r="F312" i="1"/>
  <c r="F311" i="1"/>
  <c r="F275" i="1"/>
  <c r="F255" i="1"/>
  <c r="F253" i="1"/>
  <c r="F232" i="1"/>
  <c r="F223" i="1"/>
  <c r="F221" i="1"/>
  <c r="O378" i="1"/>
  <c r="O377" i="1"/>
  <c r="O376" i="1"/>
  <c r="O375" i="1"/>
  <c r="O374" i="1"/>
  <c r="K372" i="1"/>
  <c r="K371" i="1"/>
  <c r="O371" i="1" s="1"/>
  <c r="K368" i="1"/>
  <c r="K361" i="1"/>
  <c r="O361" i="1" s="1"/>
  <c r="K360" i="1"/>
  <c r="O360" i="1" s="1"/>
  <c r="K359" i="1"/>
  <c r="O359" i="1" s="1"/>
  <c r="K358" i="1"/>
  <c r="O358" i="1" s="1"/>
  <c r="K357" i="1"/>
  <c r="O357" i="1" s="1"/>
  <c r="K356" i="1"/>
  <c r="O356" i="1" s="1"/>
  <c r="K355" i="1"/>
  <c r="O355" i="1" s="1"/>
  <c r="K354" i="1"/>
  <c r="O354" i="1" s="1"/>
  <c r="K352" i="1"/>
  <c r="O352" i="1" s="1"/>
  <c r="K350" i="1"/>
  <c r="O350" i="1" s="1"/>
  <c r="K348" i="1"/>
  <c r="O348" i="1" s="1"/>
  <c r="K347" i="1"/>
  <c r="O347" i="1" s="1"/>
  <c r="K346" i="1"/>
  <c r="O346" i="1" s="1"/>
  <c r="K345" i="1"/>
  <c r="O345" i="1" s="1"/>
  <c r="K344" i="1"/>
  <c r="O344" i="1" s="1"/>
  <c r="K343" i="1"/>
  <c r="O343" i="1" s="1"/>
  <c r="K342" i="1"/>
  <c r="O342" i="1" s="1"/>
  <c r="K341" i="1"/>
  <c r="O341" i="1" s="1"/>
  <c r="K340" i="1"/>
  <c r="O340" i="1" s="1"/>
  <c r="K339" i="1"/>
  <c r="O339" i="1" s="1"/>
  <c r="K337" i="1"/>
  <c r="O337" i="1" s="1"/>
  <c r="K334" i="1"/>
  <c r="O334" i="1" s="1"/>
  <c r="K333" i="1"/>
  <c r="O333" i="1" s="1"/>
  <c r="K332" i="1"/>
  <c r="O332" i="1" s="1"/>
  <c r="K331" i="1"/>
  <c r="O331" i="1" s="1"/>
  <c r="K329" i="1"/>
  <c r="O329" i="1" s="1"/>
  <c r="K328" i="1"/>
  <c r="O328" i="1" s="1"/>
  <c r="K327" i="1"/>
  <c r="O327" i="1" s="1"/>
  <c r="K326" i="1"/>
  <c r="O326" i="1" s="1"/>
  <c r="K324" i="1"/>
  <c r="O324" i="1" s="1"/>
  <c r="K323" i="1"/>
  <c r="O323" i="1" s="1"/>
  <c r="K322" i="1"/>
  <c r="O322" i="1" s="1"/>
  <c r="K321" i="1"/>
  <c r="O321" i="1" s="1"/>
  <c r="K319" i="1"/>
  <c r="Q319" i="1" s="1"/>
  <c r="K318" i="1"/>
  <c r="O318" i="1" s="1"/>
  <c r="K315" i="1"/>
  <c r="O315" i="1" s="1"/>
  <c r="K311" i="1"/>
  <c r="O311" i="1" s="1"/>
  <c r="K309" i="1"/>
  <c r="O309" i="1" s="1"/>
  <c r="K306" i="1"/>
  <c r="O306" i="1" s="1"/>
  <c r="K304" i="1"/>
  <c r="K300" i="1"/>
  <c r="O300" i="1" s="1"/>
  <c r="K299" i="1"/>
  <c r="O299" i="1" s="1"/>
  <c r="K296" i="1"/>
  <c r="O296" i="1" s="1"/>
  <c r="K295" i="1"/>
  <c r="O295" i="1" s="1"/>
  <c r="K294" i="1"/>
  <c r="O294" i="1" s="1"/>
  <c r="K293" i="1"/>
  <c r="O293" i="1" s="1"/>
  <c r="K292" i="1"/>
  <c r="Q292" i="1" s="1"/>
  <c r="K291" i="1"/>
  <c r="O291" i="1" s="1"/>
  <c r="K275" i="1"/>
  <c r="O275" i="1" s="1"/>
  <c r="K274" i="1"/>
  <c r="O274" i="1" s="1"/>
  <c r="K273" i="1"/>
  <c r="K272" i="1"/>
  <c r="O272" i="1" s="1"/>
  <c r="K255" i="1"/>
  <c r="O255" i="1" s="1"/>
  <c r="K254" i="1"/>
  <c r="O254" i="1" s="1"/>
  <c r="K253" i="1"/>
  <c r="O253" i="1" s="1"/>
  <c r="K252" i="1"/>
  <c r="O252" i="1" s="1"/>
  <c r="K251" i="1"/>
  <c r="Q251" i="1" s="1"/>
  <c r="K248" i="1"/>
  <c r="O248" i="1" s="1"/>
  <c r="K232" i="1"/>
  <c r="O232" i="1" s="1"/>
  <c r="K230" i="1"/>
  <c r="O230" i="1" s="1"/>
  <c r="K223" i="1"/>
  <c r="O223" i="1" s="1"/>
  <c r="K222" i="1"/>
  <c r="O222" i="1" s="1"/>
  <c r="K221" i="1"/>
  <c r="O221" i="1" s="1"/>
  <c r="K220" i="1"/>
  <c r="Q220" i="1" s="1"/>
  <c r="K217" i="1"/>
  <c r="O217" i="1" s="1"/>
  <c r="K216" i="1"/>
  <c r="O216" i="1" s="1"/>
  <c r="K212" i="1"/>
  <c r="O212" i="1" s="1"/>
  <c r="K211" i="1"/>
  <c r="O211" i="1" s="1"/>
  <c r="K210" i="1"/>
  <c r="O210" i="1" s="1"/>
  <c r="K209" i="1"/>
  <c r="O209" i="1" s="1"/>
  <c r="K206" i="1"/>
  <c r="O206" i="1" s="1"/>
  <c r="K205" i="1"/>
  <c r="K204" i="1"/>
  <c r="Q204" i="1" s="1"/>
  <c r="K200" i="1"/>
  <c r="K199" i="1"/>
  <c r="K198" i="1"/>
  <c r="K197" i="1"/>
  <c r="K196" i="1"/>
  <c r="K194" i="1"/>
  <c r="K193" i="1"/>
  <c r="K190" i="1"/>
  <c r="K189" i="1"/>
  <c r="K187" i="1"/>
  <c r="O187" i="1" s="1"/>
  <c r="K185" i="1"/>
  <c r="O185" i="1" s="1"/>
  <c r="K182" i="1"/>
  <c r="O182" i="1" s="1"/>
  <c r="K177" i="1"/>
  <c r="K176" i="1"/>
  <c r="K175" i="1"/>
  <c r="K174" i="1"/>
  <c r="K173" i="1"/>
  <c r="K172" i="1"/>
  <c r="K171" i="1"/>
  <c r="K170" i="1"/>
  <c r="K158" i="1"/>
  <c r="K157" i="1"/>
  <c r="K156" i="1"/>
  <c r="K152" i="1"/>
  <c r="K151" i="1"/>
  <c r="K150" i="1"/>
  <c r="K149" i="1"/>
  <c r="K148" i="1"/>
  <c r="K147" i="1"/>
  <c r="K146" i="1"/>
  <c r="K145" i="1"/>
  <c r="K144" i="1"/>
  <c r="Q144" i="1" s="1"/>
  <c r="K143" i="1"/>
  <c r="K142" i="1"/>
  <c r="K138" i="1"/>
  <c r="O138" i="1" s="1"/>
  <c r="K137" i="1"/>
  <c r="O137" i="1" s="1"/>
  <c r="K136" i="1"/>
  <c r="O136" i="1" s="1"/>
  <c r="K135" i="1"/>
  <c r="O135" i="1" s="1"/>
  <c r="K128" i="1"/>
  <c r="O109" i="1"/>
  <c r="O108" i="1"/>
  <c r="Q95" i="1"/>
  <c r="O89" i="1"/>
  <c r="K73" i="1"/>
  <c r="K72" i="1"/>
  <c r="K71" i="1"/>
  <c r="O71" i="1" s="1"/>
  <c r="K70" i="1"/>
  <c r="O69" i="1"/>
  <c r="F18" i="1"/>
  <c r="I18" i="1" s="1"/>
  <c r="K16" i="1"/>
  <c r="O16" i="1" s="1"/>
  <c r="K17" i="1"/>
  <c r="O17" i="1" s="1"/>
  <c r="K19" i="1"/>
  <c r="O19" i="1" s="1"/>
  <c r="K20" i="1"/>
  <c r="O20" i="1" s="1"/>
  <c r="K21" i="1"/>
  <c r="O21" i="1" s="1"/>
  <c r="K22" i="1"/>
  <c r="O22" i="1" s="1"/>
  <c r="K23" i="1"/>
  <c r="O23" i="1" s="1"/>
  <c r="K24" i="1"/>
  <c r="O24" i="1" s="1"/>
  <c r="K32" i="1"/>
  <c r="O32" i="1" s="1"/>
  <c r="K33" i="1"/>
  <c r="O33" i="1" s="1"/>
  <c r="K34" i="1"/>
  <c r="O34" i="1" s="1"/>
  <c r="K35" i="1"/>
  <c r="O35" i="1" s="1"/>
  <c r="K40" i="1"/>
  <c r="O40" i="1" s="1"/>
  <c r="K42" i="1"/>
  <c r="O42" i="1" s="1"/>
  <c r="K44" i="1"/>
  <c r="O44" i="1" s="1"/>
  <c r="K45" i="1"/>
  <c r="O45" i="1" s="1"/>
  <c r="K46" i="1"/>
  <c r="O46" i="1" s="1"/>
  <c r="K47" i="1"/>
  <c r="O47" i="1" s="1"/>
  <c r="K48" i="1"/>
  <c r="O48" i="1" s="1"/>
  <c r="K49" i="1"/>
  <c r="O49" i="1" s="1"/>
  <c r="O50" i="1"/>
  <c r="K51" i="1"/>
  <c r="O51" i="1" s="1"/>
  <c r="K52" i="1"/>
  <c r="O52" i="1" s="1"/>
  <c r="K53" i="1"/>
  <c r="O53" i="1" s="1"/>
  <c r="K54" i="1"/>
  <c r="O54" i="1" s="1"/>
  <c r="K55" i="1"/>
  <c r="O55" i="1" s="1"/>
  <c r="K56" i="1"/>
  <c r="O56" i="1" s="1"/>
  <c r="K57" i="1"/>
  <c r="O57" i="1" s="1"/>
  <c r="K58" i="1"/>
  <c r="O58" i="1" s="1"/>
  <c r="K59" i="1"/>
  <c r="O59" i="1" s="1"/>
  <c r="K60" i="1"/>
  <c r="O60" i="1" s="1"/>
  <c r="K61" i="1"/>
  <c r="O61" i="1" s="1"/>
  <c r="K63" i="1"/>
  <c r="O63" i="1" s="1"/>
  <c r="K65" i="1"/>
  <c r="O65" i="1" s="1"/>
  <c r="K141" i="1" l="1"/>
  <c r="O304" i="1"/>
  <c r="Q273" i="1"/>
  <c r="Q143" i="1"/>
  <c r="Q141" i="1"/>
  <c r="Q312" i="1"/>
  <c r="R281" i="1"/>
  <c r="O72" i="1"/>
  <c r="Q72" i="1"/>
  <c r="O81" i="1"/>
  <c r="Q81" i="1"/>
  <c r="O88" i="1"/>
  <c r="Q88" i="1"/>
  <c r="O90" i="1"/>
  <c r="Q90" i="1"/>
  <c r="O99" i="1"/>
  <c r="Q99" i="1"/>
  <c r="O101" i="1"/>
  <c r="Q101" i="1"/>
  <c r="O105" i="1"/>
  <c r="R105" i="1" s="1"/>
  <c r="Q105" i="1"/>
  <c r="O107" i="1"/>
  <c r="Q107" i="1"/>
  <c r="O111" i="1"/>
  <c r="Q111" i="1"/>
  <c r="O115" i="1"/>
  <c r="Q115" i="1"/>
  <c r="O142" i="1"/>
  <c r="Q142" i="1"/>
  <c r="O146" i="1"/>
  <c r="R146" i="1" s="1"/>
  <c r="Q146" i="1"/>
  <c r="O148" i="1"/>
  <c r="R148" i="1" s="1"/>
  <c r="Q148" i="1"/>
  <c r="O150" i="1"/>
  <c r="R150" i="1" s="1"/>
  <c r="Q150" i="1"/>
  <c r="O151" i="1"/>
  <c r="R151" i="1" s="1"/>
  <c r="Q151" i="1"/>
  <c r="O156" i="1"/>
  <c r="R156" i="1" s="1"/>
  <c r="Q156" i="1"/>
  <c r="O158" i="1"/>
  <c r="R158" i="1" s="1"/>
  <c r="Q158" i="1"/>
  <c r="O170" i="1"/>
  <c r="R170" i="1" s="1"/>
  <c r="Q170" i="1"/>
  <c r="O172" i="1"/>
  <c r="R172" i="1" s="1"/>
  <c r="Q172" i="1"/>
  <c r="O174" i="1"/>
  <c r="R174" i="1" s="1"/>
  <c r="Q174" i="1"/>
  <c r="O176" i="1"/>
  <c r="R176" i="1" s="1"/>
  <c r="Q176" i="1"/>
  <c r="O190" i="1"/>
  <c r="R190" i="1" s="1"/>
  <c r="Q190" i="1"/>
  <c r="O194" i="1"/>
  <c r="R194" i="1" s="1"/>
  <c r="Q194" i="1"/>
  <c r="O197" i="1"/>
  <c r="R197" i="1" s="1"/>
  <c r="Q197" i="1"/>
  <c r="O199" i="1"/>
  <c r="R199" i="1" s="1"/>
  <c r="Q199" i="1"/>
  <c r="Q232" i="1"/>
  <c r="Q255" i="1"/>
  <c r="Q275" i="1"/>
  <c r="O80" i="1"/>
  <c r="Q80" i="1"/>
  <c r="O118" i="1"/>
  <c r="Q118" i="1"/>
  <c r="O124" i="1"/>
  <c r="Q124" i="1"/>
  <c r="O191" i="1"/>
  <c r="R191" i="1" s="1"/>
  <c r="Q191" i="1"/>
  <c r="Q362" i="1"/>
  <c r="O404" i="1"/>
  <c r="R404" i="1" s="1"/>
  <c r="Q404" i="1"/>
  <c r="O407" i="1"/>
  <c r="R407" i="1" s="1"/>
  <c r="Q407" i="1"/>
  <c r="O414" i="1"/>
  <c r="R414" i="1" s="1"/>
  <c r="Q414" i="1"/>
  <c r="Q89" i="1"/>
  <c r="Q71" i="1"/>
  <c r="Q187" i="1"/>
  <c r="Q211" i="1"/>
  <c r="Q230" i="1"/>
  <c r="Q248" i="1"/>
  <c r="Q283" i="1"/>
  <c r="Q296" i="1"/>
  <c r="Q304" i="1"/>
  <c r="Q310" i="1"/>
  <c r="Q322" i="1"/>
  <c r="Q327" i="1"/>
  <c r="Q331" i="1"/>
  <c r="Q341" i="1"/>
  <c r="Q345" i="1"/>
  <c r="Q357" i="1"/>
  <c r="Q182" i="1"/>
  <c r="Q206" i="1"/>
  <c r="Q212" i="1"/>
  <c r="Q254" i="1"/>
  <c r="Q272" i="1"/>
  <c r="Q291" i="1"/>
  <c r="Q295" i="1"/>
  <c r="Q300" i="1"/>
  <c r="Q309" i="1"/>
  <c r="Q315" i="1"/>
  <c r="Q321" i="1"/>
  <c r="Q326" i="1"/>
  <c r="Q334" i="1"/>
  <c r="Q340" i="1"/>
  <c r="Q344" i="1"/>
  <c r="Q348" i="1"/>
  <c r="Q354" i="1"/>
  <c r="Q358" i="1"/>
  <c r="Q347" i="1"/>
  <c r="Q355" i="1"/>
  <c r="O73" i="1"/>
  <c r="Q73" i="1"/>
  <c r="O87" i="1"/>
  <c r="Q87" i="1"/>
  <c r="O91" i="1"/>
  <c r="Q91" i="1"/>
  <c r="O98" i="1"/>
  <c r="Q98" i="1"/>
  <c r="O100" i="1"/>
  <c r="Q100" i="1"/>
  <c r="O103" i="1"/>
  <c r="Q103" i="1"/>
  <c r="O106" i="1"/>
  <c r="Q106" i="1"/>
  <c r="O110" i="1"/>
  <c r="Q110" i="1"/>
  <c r="O112" i="1"/>
  <c r="Q112" i="1"/>
  <c r="O116" i="1"/>
  <c r="Q116" i="1"/>
  <c r="O145" i="1"/>
  <c r="R145" i="1" s="1"/>
  <c r="Q145" i="1"/>
  <c r="O147" i="1"/>
  <c r="R147" i="1" s="1"/>
  <c r="Q147" i="1"/>
  <c r="O149" i="1"/>
  <c r="R149" i="1" s="1"/>
  <c r="Q149" i="1"/>
  <c r="O152" i="1"/>
  <c r="R152" i="1" s="1"/>
  <c r="Q152" i="1"/>
  <c r="O157" i="1"/>
  <c r="R157" i="1" s="1"/>
  <c r="Q157" i="1"/>
  <c r="R168" i="1"/>
  <c r="Q168" i="1"/>
  <c r="O171" i="1"/>
  <c r="R171" i="1" s="1"/>
  <c r="Q171" i="1"/>
  <c r="O173" i="1"/>
  <c r="R173" i="1" s="1"/>
  <c r="Q173" i="1"/>
  <c r="O175" i="1"/>
  <c r="R175" i="1" s="1"/>
  <c r="Q175" i="1"/>
  <c r="O177" i="1"/>
  <c r="R177" i="1" s="1"/>
  <c r="Q177" i="1"/>
  <c r="O189" i="1"/>
  <c r="R189" i="1" s="1"/>
  <c r="Q189" i="1"/>
  <c r="O193" i="1"/>
  <c r="R193" i="1" s="1"/>
  <c r="Q193" i="1"/>
  <c r="O196" i="1"/>
  <c r="R196" i="1" s="1"/>
  <c r="Q196" i="1"/>
  <c r="O198" i="1"/>
  <c r="R198" i="1" s="1"/>
  <c r="Q198" i="1"/>
  <c r="O200" i="1"/>
  <c r="R200" i="1" s="1"/>
  <c r="Q200" i="1"/>
  <c r="O205" i="1"/>
  <c r="Q205" i="1"/>
  <c r="O368" i="1"/>
  <c r="Q368" i="1"/>
  <c r="Q221" i="1"/>
  <c r="Q223" i="1"/>
  <c r="Q253" i="1"/>
  <c r="Q311" i="1"/>
  <c r="O74" i="1"/>
  <c r="R74" i="1" s="1"/>
  <c r="Q74" i="1"/>
  <c r="O92" i="1"/>
  <c r="Q92" i="1"/>
  <c r="P396" i="1"/>
  <c r="O403" i="1"/>
  <c r="R403" i="1" s="1"/>
  <c r="Q403" i="1"/>
  <c r="O410" i="1"/>
  <c r="R410" i="1" s="1"/>
  <c r="Q410" i="1"/>
  <c r="O412" i="1"/>
  <c r="R412" i="1" s="1"/>
  <c r="Q412" i="1"/>
  <c r="Q183" i="1"/>
  <c r="Q209" i="1"/>
  <c r="Q239" i="1"/>
  <c r="Q252" i="1"/>
  <c r="Q281" i="1"/>
  <c r="Q285" i="1"/>
  <c r="Q294" i="1"/>
  <c r="Q299" i="1"/>
  <c r="Q307" i="1"/>
  <c r="Q314" i="1"/>
  <c r="Q324" i="1"/>
  <c r="Q329" i="1"/>
  <c r="Q333" i="1"/>
  <c r="Q339" i="1"/>
  <c r="Q343" i="1"/>
  <c r="Q350" i="1"/>
  <c r="Q361" i="1"/>
  <c r="Q185" i="1"/>
  <c r="Q210" i="1"/>
  <c r="Q216" i="1"/>
  <c r="Q278" i="1"/>
  <c r="Q293" i="1"/>
  <c r="Q306" i="1"/>
  <c r="Q318" i="1"/>
  <c r="Q323" i="1"/>
  <c r="Q328" i="1"/>
  <c r="Q332" i="1"/>
  <c r="Q337" i="1"/>
  <c r="Q342" i="1"/>
  <c r="Q346" i="1"/>
  <c r="Q351" i="1"/>
  <c r="Q356" i="1"/>
  <c r="Q360" i="1"/>
  <c r="Q352" i="1"/>
  <c r="Q359" i="1"/>
  <c r="F222" i="1"/>
  <c r="Q222" i="1" s="1"/>
  <c r="F274" i="1"/>
  <c r="Q274" i="1" s="1"/>
  <c r="G271" i="1"/>
  <c r="O292" i="1"/>
  <c r="K195" i="1"/>
  <c r="N188" i="1"/>
  <c r="K282" i="1"/>
  <c r="K271" i="1" s="1"/>
  <c r="K297" i="1"/>
  <c r="Q297" i="1" s="1"/>
  <c r="O202" i="1"/>
  <c r="R202" i="1" s="1"/>
  <c r="O366" i="1"/>
  <c r="O353" i="1" s="1"/>
  <c r="K353" i="1"/>
  <c r="O179" i="1"/>
  <c r="R179" i="1" s="1"/>
  <c r="O143" i="1"/>
  <c r="O70" i="1"/>
  <c r="K268" i="1"/>
  <c r="Q268" i="1" s="1"/>
  <c r="O273" i="1"/>
  <c r="K263" i="1"/>
  <c r="K235" i="1"/>
  <c r="Q235" i="1" s="1"/>
  <c r="N218" i="1"/>
  <c r="O129" i="1"/>
  <c r="N126" i="1"/>
  <c r="K140" i="1"/>
  <c r="O140" i="1" s="1"/>
  <c r="M126" i="1"/>
  <c r="O251" i="1"/>
  <c r="O220" i="1"/>
  <c r="O128" i="1"/>
  <c r="M370" i="1"/>
  <c r="K373" i="1"/>
  <c r="O373" i="1" s="1"/>
  <c r="L370" i="1"/>
  <c r="O372" i="1"/>
  <c r="I396" i="1"/>
  <c r="K213" i="1"/>
  <c r="N203" i="1"/>
  <c r="O305" i="1"/>
  <c r="O204" i="1"/>
  <c r="R204" i="1" s="1"/>
  <c r="O409" i="1"/>
  <c r="R409" i="1" s="1"/>
  <c r="K335" i="1"/>
  <c r="Q396" i="1"/>
  <c r="O415" i="1"/>
  <c r="O405" i="1"/>
  <c r="R405" i="1" s="1"/>
  <c r="N305" i="1"/>
  <c r="K305" i="1"/>
  <c r="O408" i="1"/>
  <c r="R408" i="1" s="1"/>
  <c r="O411" i="1"/>
  <c r="R411" i="1" s="1"/>
  <c r="O402" i="1"/>
  <c r="R402" i="1" s="1"/>
  <c r="O316" i="1"/>
  <c r="R316" i="1" s="1"/>
  <c r="K349" i="1"/>
  <c r="N308" i="1"/>
  <c r="K258" i="1"/>
  <c r="Q258" i="1" s="1"/>
  <c r="K308" i="1"/>
  <c r="I362" i="1"/>
  <c r="R362" i="1" s="1"/>
  <c r="O313" i="1"/>
  <c r="R313" i="1" s="1"/>
  <c r="I314" i="1"/>
  <c r="R314" i="1" s="1"/>
  <c r="O284" i="1"/>
  <c r="R284" i="1" s="1"/>
  <c r="O117" i="1"/>
  <c r="R117" i="1" s="1"/>
  <c r="O95" i="1"/>
  <c r="R95" i="1" s="1"/>
  <c r="K247" i="1"/>
  <c r="Q247" i="1" s="1"/>
  <c r="O201" i="1"/>
  <c r="R201" i="1" s="1"/>
  <c r="O139" i="1"/>
  <c r="R139" i="1" s="1"/>
  <c r="O120" i="1"/>
  <c r="R120" i="1" s="1"/>
  <c r="O113" i="1"/>
  <c r="R113" i="1" s="1"/>
  <c r="O37" i="1"/>
  <c r="O319" i="1"/>
  <c r="O144" i="1"/>
  <c r="R144" i="1" s="1"/>
  <c r="O36" i="1"/>
  <c r="O15" i="1"/>
  <c r="R415" i="1" l="1"/>
  <c r="O396" i="1"/>
  <c r="O141" i="1"/>
  <c r="K290" i="1"/>
  <c r="O263" i="1"/>
  <c r="Q263" i="1"/>
  <c r="O282" i="1"/>
  <c r="R282" i="1" s="1"/>
  <c r="Q282" i="1"/>
  <c r="O195" i="1"/>
  <c r="R195" i="1" s="1"/>
  <c r="Q195" i="1"/>
  <c r="O335" i="1"/>
  <c r="O330" i="1" s="1"/>
  <c r="R330" i="1" s="1"/>
  <c r="Q335" i="1"/>
  <c r="O213" i="1"/>
  <c r="O203" i="1" s="1"/>
  <c r="Q213" i="1"/>
  <c r="K250" i="1"/>
  <c r="O297" i="1"/>
  <c r="O290" i="1" s="1"/>
  <c r="K218" i="1"/>
  <c r="K188" i="1"/>
  <c r="Q188" i="1" s="1"/>
  <c r="O370" i="1"/>
  <c r="O268" i="1"/>
  <c r="R268" i="1" s="1"/>
  <c r="K126" i="1"/>
  <c r="O235" i="1"/>
  <c r="R235" i="1" s="1"/>
  <c r="O126" i="1"/>
  <c r="K370" i="1"/>
  <c r="K203" i="1"/>
  <c r="Q203" i="1" s="1"/>
  <c r="O308" i="1"/>
  <c r="K330" i="1"/>
  <c r="Q330" i="1" s="1"/>
  <c r="F217" i="1"/>
  <c r="Q217" i="1" s="1"/>
  <c r="O258" i="1"/>
  <c r="R258" i="1" s="1"/>
  <c r="F109" i="1"/>
  <c r="Q109" i="1" s="1"/>
  <c r="O247" i="1"/>
  <c r="R247" i="1" s="1"/>
  <c r="O271" i="1" l="1"/>
  <c r="O188" i="1"/>
  <c r="K325" i="1"/>
  <c r="R297" i="1"/>
  <c r="R396" i="1"/>
  <c r="O250" i="1"/>
  <c r="O218" i="1"/>
  <c r="R218" i="1" s="1"/>
  <c r="F108" i="1"/>
  <c r="Q108" i="1" s="1"/>
  <c r="I220" i="1"/>
  <c r="R220" i="1" s="1"/>
  <c r="I252" i="1"/>
  <c r="R252" i="1" s="1"/>
  <c r="I253" i="1"/>
  <c r="R253" i="1" s="1"/>
  <c r="I273" i="1"/>
  <c r="R273" i="1" s="1"/>
  <c r="I274" i="1"/>
  <c r="R274" i="1" s="1"/>
  <c r="I295" i="1"/>
  <c r="R295" i="1" s="1"/>
  <c r="I296" i="1"/>
  <c r="R296" i="1" s="1"/>
  <c r="I299" i="1"/>
  <c r="R299" i="1" s="1"/>
  <c r="I307" i="1"/>
  <c r="R307" i="1" s="1"/>
  <c r="I311" i="1"/>
  <c r="R311" i="1" s="1"/>
  <c r="I310" i="1"/>
  <c r="R310" i="1" s="1"/>
  <c r="I319" i="1"/>
  <c r="R319" i="1" s="1"/>
  <c r="I323" i="1"/>
  <c r="R323" i="1" s="1"/>
  <c r="I324" i="1"/>
  <c r="R324" i="1" s="1"/>
  <c r="I333" i="1"/>
  <c r="R333" i="1" s="1"/>
  <c r="I334" i="1"/>
  <c r="R334" i="1" s="1"/>
  <c r="I335" i="1"/>
  <c r="R335" i="1" s="1"/>
  <c r="I337" i="1"/>
  <c r="R337" i="1" s="1"/>
  <c r="I329" i="1"/>
  <c r="R329" i="1" s="1"/>
  <c r="I340" i="1"/>
  <c r="R340" i="1" s="1"/>
  <c r="I341" i="1"/>
  <c r="R341" i="1" s="1"/>
  <c r="I344" i="1"/>
  <c r="R344" i="1" s="1"/>
  <c r="I343" i="1"/>
  <c r="R343" i="1" s="1"/>
  <c r="I347" i="1"/>
  <c r="R347" i="1" s="1"/>
  <c r="I351" i="1"/>
  <c r="R351" i="1" s="1"/>
  <c r="I352" i="1"/>
  <c r="R352" i="1" s="1"/>
  <c r="I356" i="1"/>
  <c r="R356" i="1" s="1"/>
  <c r="I357" i="1"/>
  <c r="R357" i="1" s="1"/>
  <c r="I358" i="1"/>
  <c r="R358" i="1" s="1"/>
  <c r="I359" i="1"/>
  <c r="R359" i="1" s="1"/>
  <c r="F366" i="1"/>
  <c r="Q366" i="1" s="1"/>
  <c r="I355" i="1"/>
  <c r="R355" i="1" s="1"/>
  <c r="F369" i="1"/>
  <c r="F371" i="1"/>
  <c r="F372" i="1"/>
  <c r="Q372" i="1" s="1"/>
  <c r="F373" i="1"/>
  <c r="Q373" i="1" s="1"/>
  <c r="F374" i="1"/>
  <c r="Q374" i="1" s="1"/>
  <c r="F375" i="1"/>
  <c r="F377" i="1"/>
  <c r="Q377" i="1" s="1"/>
  <c r="F378" i="1"/>
  <c r="F381" i="1"/>
  <c r="F382" i="1"/>
  <c r="F383" i="1"/>
  <c r="I69" i="1"/>
  <c r="I72" i="1"/>
  <c r="R72" i="1" s="1"/>
  <c r="I73" i="1"/>
  <c r="R73" i="1" s="1"/>
  <c r="I81" i="1"/>
  <c r="R81" i="1" s="1"/>
  <c r="I87" i="1"/>
  <c r="R87" i="1" s="1"/>
  <c r="I88" i="1"/>
  <c r="R88" i="1" s="1"/>
  <c r="I90" i="1"/>
  <c r="R90" i="1" s="1"/>
  <c r="I91" i="1"/>
  <c r="R91" i="1" s="1"/>
  <c r="I92" i="1"/>
  <c r="R92" i="1" s="1"/>
  <c r="I98" i="1"/>
  <c r="R98" i="1" s="1"/>
  <c r="I99" i="1"/>
  <c r="R99" i="1" s="1"/>
  <c r="I100" i="1"/>
  <c r="R100" i="1" s="1"/>
  <c r="I101" i="1"/>
  <c r="R101" i="1" s="1"/>
  <c r="I103" i="1"/>
  <c r="R103" i="1" s="1"/>
  <c r="I106" i="1"/>
  <c r="R106" i="1" s="1"/>
  <c r="I107" i="1"/>
  <c r="R107" i="1" s="1"/>
  <c r="I109" i="1"/>
  <c r="R109" i="1" s="1"/>
  <c r="I110" i="1"/>
  <c r="R110" i="1" s="1"/>
  <c r="I111" i="1"/>
  <c r="R111" i="1" s="1"/>
  <c r="I112" i="1"/>
  <c r="R112" i="1" s="1"/>
  <c r="I115" i="1"/>
  <c r="R115" i="1" s="1"/>
  <c r="I116" i="1"/>
  <c r="R116" i="1" s="1"/>
  <c r="I118" i="1"/>
  <c r="R118" i="1" s="1"/>
  <c r="I124" i="1"/>
  <c r="R124" i="1" s="1"/>
  <c r="I127" i="1"/>
  <c r="R127" i="1" s="1"/>
  <c r="I142" i="1"/>
  <c r="R142" i="1" s="1"/>
  <c r="I143" i="1"/>
  <c r="I141" i="1" s="1"/>
  <c r="I182" i="1"/>
  <c r="R182" i="1" s="1"/>
  <c r="I183" i="1"/>
  <c r="R183" i="1" s="1"/>
  <c r="I185" i="1"/>
  <c r="R185" i="1" s="1"/>
  <c r="I187" i="1"/>
  <c r="R187" i="1" s="1"/>
  <c r="I205" i="1"/>
  <c r="R205" i="1" s="1"/>
  <c r="I209" i="1"/>
  <c r="R209" i="1" s="1"/>
  <c r="I210" i="1"/>
  <c r="R210" i="1" s="1"/>
  <c r="I211" i="1"/>
  <c r="R211" i="1" s="1"/>
  <c r="I212" i="1"/>
  <c r="R212" i="1" s="1"/>
  <c r="I213" i="1"/>
  <c r="R213" i="1" s="1"/>
  <c r="I216" i="1"/>
  <c r="R216" i="1" s="1"/>
  <c r="I217" i="1"/>
  <c r="R217" i="1" s="1"/>
  <c r="I219" i="1"/>
  <c r="R219" i="1" s="1"/>
  <c r="I221" i="1"/>
  <c r="R221" i="1" s="1"/>
  <c r="I222" i="1"/>
  <c r="R222" i="1" s="1"/>
  <c r="I223" i="1"/>
  <c r="R223" i="1" s="1"/>
  <c r="I230" i="1"/>
  <c r="R230" i="1" s="1"/>
  <c r="I239" i="1"/>
  <c r="R239" i="1" s="1"/>
  <c r="I248" i="1"/>
  <c r="R248" i="1" s="1"/>
  <c r="I251" i="1"/>
  <c r="R251" i="1" s="1"/>
  <c r="I263" i="1"/>
  <c r="R263" i="1" s="1"/>
  <c r="I272" i="1"/>
  <c r="R272" i="1" s="1"/>
  <c r="I278" i="1"/>
  <c r="R278" i="1" s="1"/>
  <c r="I283" i="1"/>
  <c r="R283" i="1" s="1"/>
  <c r="I285" i="1"/>
  <c r="R285" i="1" s="1"/>
  <c r="I291" i="1"/>
  <c r="R291" i="1" s="1"/>
  <c r="I292" i="1"/>
  <c r="R292" i="1" s="1"/>
  <c r="I294" i="1"/>
  <c r="R294" i="1" s="1"/>
  <c r="I300" i="1"/>
  <c r="R300" i="1" s="1"/>
  <c r="I304" i="1"/>
  <c r="R304" i="1" s="1"/>
  <c r="I306" i="1"/>
  <c r="R306" i="1" s="1"/>
  <c r="I309" i="1"/>
  <c r="R309" i="1" s="1"/>
  <c r="I312" i="1"/>
  <c r="R312" i="1" s="1"/>
  <c r="I318" i="1"/>
  <c r="R318" i="1" s="1"/>
  <c r="I321" i="1"/>
  <c r="R321" i="1" s="1"/>
  <c r="I326" i="1"/>
  <c r="R326" i="1" s="1"/>
  <c r="I327" i="1"/>
  <c r="R327" i="1" s="1"/>
  <c r="I331" i="1"/>
  <c r="R331" i="1" s="1"/>
  <c r="I339" i="1"/>
  <c r="R339" i="1" s="1"/>
  <c r="I348" i="1"/>
  <c r="R348" i="1" s="1"/>
  <c r="I350" i="1"/>
  <c r="R350" i="1" s="1"/>
  <c r="I354" i="1"/>
  <c r="R354" i="1" s="1"/>
  <c r="I368" i="1"/>
  <c r="R368" i="1" s="1"/>
  <c r="I129" i="1"/>
  <c r="R129" i="1" s="1"/>
  <c r="F134" i="1"/>
  <c r="Q134" i="1" s="1"/>
  <c r="F135" i="1"/>
  <c r="F136" i="1"/>
  <c r="Q136" i="1" s="1"/>
  <c r="F137" i="1"/>
  <c r="F138" i="1"/>
  <c r="F140" i="1"/>
  <c r="F128" i="1"/>
  <c r="F70" i="1"/>
  <c r="Q70" i="1" s="1"/>
  <c r="F16" i="1"/>
  <c r="Q16" i="1" s="1"/>
  <c r="F17" i="1"/>
  <c r="Q17" i="1" s="1"/>
  <c r="R17" i="1" s="1"/>
  <c r="F19" i="1"/>
  <c r="Q19" i="1" s="1"/>
  <c r="R19" i="1" s="1"/>
  <c r="F20" i="1"/>
  <c r="Q20" i="1" s="1"/>
  <c r="R20" i="1" s="1"/>
  <c r="F21" i="1"/>
  <c r="Q21" i="1" s="1"/>
  <c r="F22" i="1"/>
  <c r="F23" i="1"/>
  <c r="F24" i="1"/>
  <c r="F32" i="1"/>
  <c r="Q32" i="1" s="1"/>
  <c r="R32" i="1" s="1"/>
  <c r="F33" i="1"/>
  <c r="F34" i="1"/>
  <c r="Q34" i="1" s="1"/>
  <c r="R34" i="1" s="1"/>
  <c r="F35" i="1"/>
  <c r="Q35" i="1" s="1"/>
  <c r="R35" i="1" s="1"/>
  <c r="F40" i="1"/>
  <c r="Q40" i="1" s="1"/>
  <c r="R40" i="1" s="1"/>
  <c r="F41" i="1"/>
  <c r="Q41" i="1" s="1"/>
  <c r="F42" i="1"/>
  <c r="Q42" i="1" s="1"/>
  <c r="R42" i="1" s="1"/>
  <c r="F43" i="1"/>
  <c r="F44" i="1"/>
  <c r="Q44" i="1" s="1"/>
  <c r="R44" i="1" s="1"/>
  <c r="F45" i="1"/>
  <c r="F46" i="1"/>
  <c r="Q46" i="1" s="1"/>
  <c r="R46" i="1" s="1"/>
  <c r="F47" i="1"/>
  <c r="Q47" i="1" s="1"/>
  <c r="R47" i="1" s="1"/>
  <c r="F48" i="1"/>
  <c r="Q48" i="1" s="1"/>
  <c r="R48" i="1" s="1"/>
  <c r="F49" i="1"/>
  <c r="F50" i="1"/>
  <c r="Q50" i="1" s="1"/>
  <c r="F51" i="1"/>
  <c r="F52" i="1"/>
  <c r="Q52" i="1" s="1"/>
  <c r="R52" i="1" s="1"/>
  <c r="F53" i="1"/>
  <c r="F54" i="1"/>
  <c r="Q54" i="1" s="1"/>
  <c r="R54" i="1" s="1"/>
  <c r="F55" i="1"/>
  <c r="Q55" i="1" s="1"/>
  <c r="F56" i="1"/>
  <c r="Q56" i="1" s="1"/>
  <c r="R56" i="1" s="1"/>
  <c r="F57" i="1"/>
  <c r="F58" i="1"/>
  <c r="Q58" i="1" s="1"/>
  <c r="R58" i="1" s="1"/>
  <c r="F59" i="1"/>
  <c r="Q59" i="1" s="1"/>
  <c r="F60" i="1"/>
  <c r="Q60" i="1" s="1"/>
  <c r="R60" i="1" s="1"/>
  <c r="F61" i="1"/>
  <c r="F62" i="1"/>
  <c r="F63" i="1"/>
  <c r="F64" i="1"/>
  <c r="Q64" i="1" s="1"/>
  <c r="R64" i="1" s="1"/>
  <c r="F65" i="1"/>
  <c r="F15" i="1"/>
  <c r="Q15" i="1" s="1"/>
  <c r="P377" i="1"/>
  <c r="P367" i="1"/>
  <c r="P353" i="1"/>
  <c r="P349" i="1"/>
  <c r="P345" i="1"/>
  <c r="P342" i="1"/>
  <c r="P328" i="1"/>
  <c r="P305" i="1"/>
  <c r="P232" i="1"/>
  <c r="I188" i="1"/>
  <c r="P126" i="1"/>
  <c r="P108" i="1"/>
  <c r="P94" i="1"/>
  <c r="P89" i="1"/>
  <c r="P71" i="1"/>
  <c r="P62" i="1"/>
  <c r="P59" i="1"/>
  <c r="P55" i="1"/>
  <c r="P50" i="1"/>
  <c r="P41" i="1"/>
  <c r="P16" i="1"/>
  <c r="Q23" i="1" l="1"/>
  <c r="R23" i="1" s="1"/>
  <c r="I23" i="1"/>
  <c r="R41" i="1"/>
  <c r="R55" i="1"/>
  <c r="R16" i="1"/>
  <c r="R59" i="1"/>
  <c r="R50" i="1"/>
  <c r="I80" i="1"/>
  <c r="R80" i="1" s="1"/>
  <c r="P80" i="1"/>
  <c r="P18" i="1"/>
  <c r="P21" i="1"/>
  <c r="R21" i="1" s="1"/>
  <c r="R188" i="1"/>
  <c r="I275" i="1"/>
  <c r="R275" i="1" s="1"/>
  <c r="P275" i="1"/>
  <c r="P317" i="1"/>
  <c r="P320" i="1"/>
  <c r="P372" i="1"/>
  <c r="I65" i="1"/>
  <c r="Q65" i="1"/>
  <c r="R65" i="1" s="1"/>
  <c r="I63" i="1"/>
  <c r="Q63" i="1"/>
  <c r="R63" i="1" s="1"/>
  <c r="I61" i="1"/>
  <c r="Q61" i="1"/>
  <c r="R61" i="1" s="1"/>
  <c r="I57" i="1"/>
  <c r="Q57" i="1"/>
  <c r="R57" i="1" s="1"/>
  <c r="I53" i="1"/>
  <c r="Q53" i="1"/>
  <c r="R53" i="1" s="1"/>
  <c r="I51" i="1"/>
  <c r="Q51" i="1"/>
  <c r="R51" i="1" s="1"/>
  <c r="I49" i="1"/>
  <c r="Q49" i="1"/>
  <c r="R49" i="1" s="1"/>
  <c r="I45" i="1"/>
  <c r="Q45" i="1"/>
  <c r="R45" i="1" s="1"/>
  <c r="I43" i="1"/>
  <c r="Q43" i="1"/>
  <c r="R43" i="1" s="1"/>
  <c r="I33" i="1"/>
  <c r="Q33" i="1"/>
  <c r="R33" i="1" s="1"/>
  <c r="I24" i="1"/>
  <c r="Q24" i="1"/>
  <c r="R24" i="1" s="1"/>
  <c r="I22" i="1"/>
  <c r="Q22" i="1"/>
  <c r="R22" i="1" s="1"/>
  <c r="I140" i="1"/>
  <c r="R140" i="1" s="1"/>
  <c r="Q140" i="1"/>
  <c r="I137" i="1"/>
  <c r="R137" i="1" s="1"/>
  <c r="Q137" i="1"/>
  <c r="I135" i="1"/>
  <c r="R135" i="1" s="1"/>
  <c r="Q135" i="1"/>
  <c r="R143" i="1"/>
  <c r="I382" i="1"/>
  <c r="R382" i="1" s="1"/>
  <c r="Q382" i="1"/>
  <c r="I378" i="1"/>
  <c r="R378" i="1" s="1"/>
  <c r="Q378" i="1"/>
  <c r="I375" i="1"/>
  <c r="R375" i="1" s="1"/>
  <c r="Q375" i="1"/>
  <c r="I371" i="1"/>
  <c r="R371" i="1" s="1"/>
  <c r="Q371" i="1"/>
  <c r="P203" i="1"/>
  <c r="P206" i="1"/>
  <c r="I255" i="1"/>
  <c r="R255" i="1" s="1"/>
  <c r="P255" i="1"/>
  <c r="P290" i="1"/>
  <c r="P293" i="1"/>
  <c r="I315" i="1"/>
  <c r="R315" i="1" s="1"/>
  <c r="P315" i="1"/>
  <c r="I322" i="1"/>
  <c r="R322" i="1" s="1"/>
  <c r="P322" i="1"/>
  <c r="I376" i="1"/>
  <c r="R376" i="1" s="1"/>
  <c r="P376" i="1"/>
  <c r="I128" i="1"/>
  <c r="R128" i="1" s="1"/>
  <c r="Q128" i="1"/>
  <c r="I138" i="1"/>
  <c r="R138" i="1" s="1"/>
  <c r="Q138" i="1"/>
  <c r="I383" i="1"/>
  <c r="Q383" i="1"/>
  <c r="I381" i="1"/>
  <c r="R381" i="1" s="1"/>
  <c r="Q381" i="1"/>
  <c r="I369" i="1"/>
  <c r="R369" i="1" s="1"/>
  <c r="Q369" i="1"/>
  <c r="P218" i="1"/>
  <c r="I232" i="1"/>
  <c r="R232" i="1" s="1"/>
  <c r="F13" i="1"/>
  <c r="F370" i="1"/>
  <c r="Q370" i="1" s="1"/>
  <c r="I206" i="1"/>
  <c r="R206" i="1" s="1"/>
  <c r="I366" i="1"/>
  <c r="R366" i="1" s="1"/>
  <c r="F68" i="1"/>
  <c r="P373" i="1"/>
  <c r="I374" i="1"/>
  <c r="R374" i="1" s="1"/>
  <c r="I346" i="1"/>
  <c r="R346" i="1" s="1"/>
  <c r="I254" i="1"/>
  <c r="R254" i="1" s="1"/>
  <c r="P250" i="1"/>
  <c r="I59" i="1"/>
  <c r="I332" i="1"/>
  <c r="R332" i="1" s="1"/>
  <c r="I361" i="1"/>
  <c r="R361" i="1" s="1"/>
  <c r="F367" i="1"/>
  <c r="I70" i="1"/>
  <c r="R70" i="1" s="1"/>
  <c r="P271" i="1"/>
  <c r="P308" i="1"/>
  <c r="P325" i="1"/>
  <c r="P338" i="1"/>
  <c r="I136" i="1"/>
  <c r="R136" i="1" s="1"/>
  <c r="I377" i="1"/>
  <c r="R377" i="1" s="1"/>
  <c r="I372" i="1"/>
  <c r="R372" i="1" s="1"/>
  <c r="I32" i="1"/>
  <c r="I21" i="1"/>
  <c r="I60" i="1"/>
  <c r="I52" i="1"/>
  <c r="I62" i="1"/>
  <c r="I48" i="1"/>
  <c r="I17" i="1"/>
  <c r="I41" i="1"/>
  <c r="I50" i="1"/>
  <c r="I64" i="1"/>
  <c r="I44" i="1"/>
  <c r="I56" i="1"/>
  <c r="I40" i="1"/>
  <c r="I134" i="1"/>
  <c r="R134" i="1" s="1"/>
  <c r="I55" i="1"/>
  <c r="I47" i="1"/>
  <c r="I35" i="1"/>
  <c r="I20" i="1"/>
  <c r="I16" i="1"/>
  <c r="I54" i="1"/>
  <c r="I34" i="1"/>
  <c r="I360" i="1"/>
  <c r="R360" i="1" s="1"/>
  <c r="I15" i="1"/>
  <c r="I58" i="1"/>
  <c r="I46" i="1"/>
  <c r="I42" i="1"/>
  <c r="I19" i="1"/>
  <c r="I13" i="1" l="1"/>
  <c r="R383" i="1"/>
  <c r="R141" i="1"/>
  <c r="P68" i="1"/>
  <c r="P79" i="1"/>
  <c r="P13" i="1"/>
  <c r="P370" i="1"/>
  <c r="I373" i="1"/>
  <c r="R373" i="1" s="1"/>
  <c r="I203" i="1"/>
  <c r="R203" i="1" s="1"/>
  <c r="P428" i="1" l="1"/>
  <c r="I94" i="1"/>
  <c r="I293" i="1"/>
  <c r="R293" i="1" s="1"/>
  <c r="I328" i="1"/>
  <c r="R328" i="1" s="1"/>
  <c r="G349" i="1"/>
  <c r="G338" i="1" s="1"/>
  <c r="K338" i="1"/>
  <c r="L338" i="1"/>
  <c r="M338" i="1"/>
  <c r="N338" i="1"/>
  <c r="O349" i="1"/>
  <c r="F338" i="1" l="1"/>
  <c r="Q338" i="1" s="1"/>
  <c r="F349" i="1"/>
  <c r="I349" i="1" l="1"/>
  <c r="R349" i="1" s="1"/>
  <c r="Q349" i="1"/>
  <c r="G353" i="1"/>
  <c r="F353" i="1" l="1"/>
  <c r="Q353" i="1" s="1"/>
  <c r="K62" i="1"/>
  <c r="Q62" i="1" s="1"/>
  <c r="R62" i="1" s="1"/>
  <c r="I353" i="1" l="1"/>
  <c r="R353" i="1" s="1"/>
  <c r="O62" i="1"/>
  <c r="L102" i="1"/>
  <c r="M102" i="1"/>
  <c r="N102" i="1"/>
  <c r="L94" i="1"/>
  <c r="M94" i="1"/>
  <c r="N94" i="1"/>
  <c r="N68" i="1" s="1"/>
  <c r="L68" i="1" l="1"/>
  <c r="K102" i="1"/>
  <c r="O102" i="1" s="1"/>
  <c r="K94" i="1"/>
  <c r="M68" i="1"/>
  <c r="G305" i="1"/>
  <c r="Q102" i="1" l="1"/>
  <c r="K68" i="1"/>
  <c r="Q94" i="1"/>
  <c r="O94" i="1"/>
  <c r="R94" i="1" s="1"/>
  <c r="F305" i="1"/>
  <c r="I305" i="1" l="1"/>
  <c r="Q305" i="1"/>
  <c r="I89" i="1"/>
  <c r="R89" i="1" s="1"/>
  <c r="F271" i="1"/>
  <c r="O338" i="1"/>
  <c r="I271" i="1" l="1"/>
  <c r="R271" i="1" s="1"/>
  <c r="Q271" i="1"/>
  <c r="R305" i="1"/>
  <c r="I71" i="1"/>
  <c r="R71" i="1" s="1"/>
  <c r="G367" i="1"/>
  <c r="K367" i="1"/>
  <c r="Q367" i="1" s="1"/>
  <c r="L367" i="1"/>
  <c r="M367" i="1"/>
  <c r="N367" i="1"/>
  <c r="O367" i="1"/>
  <c r="I367" i="1" l="1"/>
  <c r="R367" i="1" s="1"/>
  <c r="G290" i="1" l="1"/>
  <c r="F290" i="1" l="1"/>
  <c r="Q290" i="1" s="1"/>
  <c r="L203" i="1"/>
  <c r="M203" i="1"/>
  <c r="O181" i="1"/>
  <c r="L181" i="1"/>
  <c r="K181" i="1"/>
  <c r="Q181" i="1" s="1"/>
  <c r="R181" i="1" l="1"/>
  <c r="I290" i="1"/>
  <c r="R290" i="1" s="1"/>
  <c r="Q218" i="1" l="1"/>
  <c r="M181" i="1"/>
  <c r="N181" i="1"/>
  <c r="F250" i="1" l="1"/>
  <c r="Q250" i="1" s="1"/>
  <c r="I250" i="1" l="1"/>
  <c r="R250" i="1" s="1"/>
  <c r="I370" i="1"/>
  <c r="R370" i="1" l="1"/>
  <c r="F126" i="1"/>
  <c r="Q126" i="1" s="1"/>
  <c r="I126" i="1" l="1"/>
  <c r="R126" i="1" l="1"/>
  <c r="I342" i="1" l="1"/>
  <c r="R342" i="1" s="1"/>
  <c r="I345" i="1"/>
  <c r="R345" i="1" s="1"/>
  <c r="I338" i="1" l="1"/>
  <c r="R338" i="1" s="1"/>
  <c r="Q68" i="1" l="1"/>
  <c r="R68" i="1" s="1"/>
  <c r="Q79" i="1"/>
  <c r="O79" i="1"/>
  <c r="O68" i="1" s="1"/>
  <c r="I102" i="1"/>
  <c r="R102" i="1" s="1"/>
  <c r="I79" i="1"/>
  <c r="R79" i="1" l="1"/>
  <c r="I108" i="1"/>
  <c r="R108" i="1" s="1"/>
  <c r="I68" i="1" l="1"/>
  <c r="G308" i="1" l="1"/>
  <c r="F308" i="1" l="1"/>
  <c r="I308" i="1" l="1"/>
  <c r="R308" i="1" s="1"/>
  <c r="Q308" i="1"/>
  <c r="G317" i="1"/>
  <c r="F320" i="1"/>
  <c r="K320" i="1"/>
  <c r="K317" i="1" s="1"/>
  <c r="L320" i="1"/>
  <c r="M320" i="1"/>
  <c r="M317" i="1" s="1"/>
  <c r="N320" i="1"/>
  <c r="N317" i="1" s="1"/>
  <c r="O320" i="1"/>
  <c r="O317" i="1" s="1"/>
  <c r="Q320" i="1" l="1"/>
  <c r="F317" i="1"/>
  <c r="Q317" i="1" s="1"/>
  <c r="L317" i="1"/>
  <c r="G325" i="1"/>
  <c r="M325" i="1"/>
  <c r="N325" i="1"/>
  <c r="O325" i="1"/>
  <c r="F325" i="1" l="1"/>
  <c r="Q325" i="1" s="1"/>
  <c r="L325" i="1"/>
  <c r="I320" i="1"/>
  <c r="R320" i="1" s="1"/>
  <c r="I325" i="1" l="1"/>
  <c r="R325" i="1" s="1"/>
  <c r="I317" i="1"/>
  <c r="R317" i="1" l="1"/>
  <c r="M18" i="1"/>
  <c r="M13" i="1" s="1"/>
  <c r="M428" i="1" s="1"/>
  <c r="N18" i="1"/>
  <c r="N13" i="1" s="1"/>
  <c r="N428" i="1" s="1"/>
  <c r="L18" i="1"/>
  <c r="L13" i="1" s="1"/>
  <c r="L428" i="1" s="1"/>
  <c r="K18" i="1" l="1"/>
  <c r="K13" i="1" l="1"/>
  <c r="Q18" i="1"/>
  <c r="R18" i="1" s="1"/>
  <c r="O18" i="1"/>
  <c r="O13" i="1" s="1"/>
  <c r="O428" i="1" l="1"/>
  <c r="K428" i="1"/>
  <c r="Q13" i="1"/>
  <c r="G428" i="1" l="1"/>
  <c r="R15" i="1" l="1"/>
  <c r="R13" i="1" l="1"/>
  <c r="I428" i="1" l="1"/>
  <c r="F428" i="1"/>
  <c r="Q428" i="1" l="1"/>
  <c r="R428" i="1"/>
</calcChain>
</file>

<file path=xl/sharedStrings.xml><?xml version="1.0" encoding="utf-8"?>
<sst xmlns="http://schemas.openxmlformats.org/spreadsheetml/2006/main" count="1002" uniqueCount="667">
  <si>
    <t>(грн.)</t>
  </si>
  <si>
    <t>Разом</t>
  </si>
  <si>
    <t>Всього</t>
  </si>
  <si>
    <t>Виконавчий комітет Івано-Франківської міської ради</t>
  </si>
  <si>
    <t>Компенсацiйнi виплати за пiльговий проїзд окремих категорiй громадян на залізничному транспорті</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</si>
  <si>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</si>
  <si>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Охорона та раціональне використання природних ресурсів</t>
  </si>
  <si>
    <t>Секретар міської ради</t>
  </si>
  <si>
    <t>Багатопрофільна стаціонарна медична допомога населенню</t>
  </si>
  <si>
    <t>Внески до статутного капіталу суб'єктів господарювання</t>
  </si>
  <si>
    <t xml:space="preserve">Лікарсько-акушерська допомога вагітним, породіллям та новонародженим  </t>
  </si>
  <si>
    <t>0180</t>
  </si>
  <si>
    <t>Реверсна дотація</t>
  </si>
  <si>
    <t>0133</t>
  </si>
  <si>
    <t>0930</t>
  </si>
  <si>
    <t>0511</t>
  </si>
  <si>
    <t>0731</t>
  </si>
  <si>
    <t>0733</t>
  </si>
  <si>
    <t>0721</t>
  </si>
  <si>
    <t>0722</t>
  </si>
  <si>
    <t>0763</t>
  </si>
  <si>
    <t>0111</t>
  </si>
  <si>
    <t>1070</t>
  </si>
  <si>
    <t>0620</t>
  </si>
  <si>
    <t>0490</t>
  </si>
  <si>
    <t>0411</t>
  </si>
  <si>
    <t xml:space="preserve">в тому числі </t>
  </si>
  <si>
    <t>- виконання рішень судів, стягнення судових витрат</t>
  </si>
  <si>
    <t>0910</t>
  </si>
  <si>
    <t>0921</t>
  </si>
  <si>
    <t>0922</t>
  </si>
  <si>
    <t>0960</t>
  </si>
  <si>
    <t>0950</t>
  </si>
  <si>
    <t>0990</t>
  </si>
  <si>
    <t>1040</t>
  </si>
  <si>
    <t>0810</t>
  </si>
  <si>
    <t xml:space="preserve">Проведення навчально-тренувальних зборiв i змагань з олімпійських видів спорту </t>
  </si>
  <si>
    <t>5011</t>
  </si>
  <si>
    <t>- видатки на виконання судових рішень</t>
  </si>
  <si>
    <t>- примусове виконання рішень суду</t>
  </si>
  <si>
    <t>4060</t>
  </si>
  <si>
    <t>0824</t>
  </si>
  <si>
    <t>0828</t>
  </si>
  <si>
    <t>0829</t>
  </si>
  <si>
    <t>0830</t>
  </si>
  <si>
    <t>1030</t>
  </si>
  <si>
    <t>1060</t>
  </si>
  <si>
    <t>1010</t>
  </si>
  <si>
    <t>1020</t>
  </si>
  <si>
    <t>1090</t>
  </si>
  <si>
    <t>0821</t>
  </si>
  <si>
    <t>видатки розвитку</t>
  </si>
  <si>
    <t>Внески до статутного капіталу суб’єктів господарювання</t>
  </si>
  <si>
    <t>Компенсаційні виплати на пільговий проїзд автомобільним транспортом окремим категоріям громодян</t>
  </si>
  <si>
    <t>Пільгове медичне обслуговування осіб, які постраждали внаслідок Чорнобильської катастрофи</t>
  </si>
  <si>
    <t>Програма "Партиципаторне бюджетування (бюджет участі) у м. Івано-Франківську</t>
  </si>
  <si>
    <t>Утримання та  навчально-тренувальна робота комунальних дитячо-юнацьких  спортивних шкіл</t>
  </si>
  <si>
    <t>0320</t>
  </si>
  <si>
    <t xml:space="preserve">Проведення навчально-тренувальних зборiв i змагань з неолімпійських видів спорту </t>
  </si>
  <si>
    <t>5012</t>
  </si>
  <si>
    <t>0160</t>
  </si>
  <si>
    <t>3131</t>
  </si>
  <si>
    <t>Здійснення заходів та реалізація проектів на виконання Державної цільової соціальної програми "Молодь України"</t>
  </si>
  <si>
    <t>5021</t>
  </si>
  <si>
    <t>5022</t>
  </si>
  <si>
    <t>5031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</si>
  <si>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</si>
  <si>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</si>
  <si>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5062</t>
  </si>
  <si>
    <t>Підтримка спорту вищих досягнень та організацій, які здійснюють фізкультурно-спортивну діяльність в регіоні</t>
  </si>
  <si>
    <t>4010</t>
  </si>
  <si>
    <t>Фінансова підтримка театрів</t>
  </si>
  <si>
    <t>4030</t>
  </si>
  <si>
    <t>Забезпечення діяльності бiблiотек</t>
  </si>
  <si>
    <t>Забезпечення діяльності палаців і будинків культури, клубів, центрів дозвілля та інші клубних закладів</t>
  </si>
  <si>
    <t>8410</t>
  </si>
  <si>
    <t>Фінансова підтримка засобів масової інформації</t>
  </si>
  <si>
    <t>8130</t>
  </si>
  <si>
    <t>7670</t>
  </si>
  <si>
    <t>Надання дошкільної освіти</t>
  </si>
  <si>
    <t>Підвищення кваліфікації, перепідготовка кадрів закладами післядипломної освіти</t>
  </si>
  <si>
    <t>1150</t>
  </si>
  <si>
    <t xml:space="preserve">Методичне забезпечення діяльності навчальних закладів </t>
  </si>
  <si>
    <t>1160</t>
  </si>
  <si>
    <t>3132</t>
  </si>
  <si>
    <t>Утримання клубів для підлітків за місцем проживання</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</si>
  <si>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</si>
  <si>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</si>
  <si>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 xml:space="preserve">Управління охорони здоров'я Івано-Франківської міської ради </t>
  </si>
  <si>
    <t>2030</t>
  </si>
  <si>
    <t>2080</t>
  </si>
  <si>
    <t>2100</t>
  </si>
  <si>
    <t>Стоматологічна допомога населенню</t>
  </si>
  <si>
    <t>6013</t>
  </si>
  <si>
    <t>Забезпечення діяльності водопровідно-каналізаційного господарства</t>
  </si>
  <si>
    <t>6030</t>
  </si>
  <si>
    <t>Організація благоустрою населених пунктів</t>
  </si>
  <si>
    <t>8311</t>
  </si>
  <si>
    <t>Реалізація інших заходів щодо соціально-економічного розвитку територій</t>
  </si>
  <si>
    <t>7610</t>
  </si>
  <si>
    <t>8600</t>
  </si>
  <si>
    <t>Обслуговування  місцевого боргу</t>
  </si>
  <si>
    <t>0170</t>
  </si>
  <si>
    <t>9110</t>
  </si>
  <si>
    <t>Надання інших пільг окремим категоріям громадян відповідно до законодавства</t>
  </si>
  <si>
    <t>3032</t>
  </si>
  <si>
    <t>3121</t>
  </si>
  <si>
    <t>0600000</t>
  </si>
  <si>
    <t>0700000</t>
  </si>
  <si>
    <t>0710000</t>
  </si>
  <si>
    <t>0710160</t>
  </si>
  <si>
    <t>0712010</t>
  </si>
  <si>
    <t>0712030</t>
  </si>
  <si>
    <t>0712080</t>
  </si>
  <si>
    <t>0712100</t>
  </si>
  <si>
    <t>0800000</t>
  </si>
  <si>
    <t>0900000</t>
  </si>
  <si>
    <t>1000000</t>
  </si>
  <si>
    <t>3700000</t>
  </si>
  <si>
    <t>3710000</t>
  </si>
  <si>
    <t>3710160</t>
  </si>
  <si>
    <t>3718600</t>
  </si>
  <si>
    <t>1200000</t>
  </si>
  <si>
    <t>1210000</t>
  </si>
  <si>
    <t>1210160</t>
  </si>
  <si>
    <t>1216030</t>
  </si>
  <si>
    <t>1217670</t>
  </si>
  <si>
    <t>0810160</t>
  </si>
  <si>
    <t>0813031</t>
  </si>
  <si>
    <t>0813032</t>
  </si>
  <si>
    <t>0813050</t>
  </si>
  <si>
    <t>0813090</t>
  </si>
  <si>
    <t>0813104</t>
  </si>
  <si>
    <t>0813121</t>
  </si>
  <si>
    <t>0810000</t>
  </si>
  <si>
    <t>0218130</t>
  </si>
  <si>
    <t>0610000</t>
  </si>
  <si>
    <t>0610160</t>
  </si>
  <si>
    <t>0611010</t>
  </si>
  <si>
    <t>0611020</t>
  </si>
  <si>
    <t>0611070</t>
  </si>
  <si>
    <t>0611140</t>
  </si>
  <si>
    <t>0611150</t>
  </si>
  <si>
    <t>0611160</t>
  </si>
  <si>
    <t>0613132</t>
  </si>
  <si>
    <t>0613140</t>
  </si>
  <si>
    <t>0615031</t>
  </si>
  <si>
    <t>0910000</t>
  </si>
  <si>
    <t>0910160</t>
  </si>
  <si>
    <t>1010000</t>
  </si>
  <si>
    <t>1010160</t>
  </si>
  <si>
    <t>1014010</t>
  </si>
  <si>
    <t>1014030</t>
  </si>
  <si>
    <t>1014060</t>
  </si>
  <si>
    <t>1900000</t>
  </si>
  <si>
    <t>1910000</t>
  </si>
  <si>
    <t>1910160</t>
  </si>
  <si>
    <t>1916030</t>
  </si>
  <si>
    <t>0813033</t>
  </si>
  <si>
    <t>3033</t>
  </si>
  <si>
    <t>0813035</t>
  </si>
  <si>
    <t>3035</t>
  </si>
  <si>
    <t>0210180</t>
  </si>
  <si>
    <t>Інша діяльність у сфері державного управління</t>
  </si>
  <si>
    <t>0217680</t>
  </si>
  <si>
    <t>7680</t>
  </si>
  <si>
    <t>0218210</t>
  </si>
  <si>
    <t>8210</t>
  </si>
  <si>
    <t>0380</t>
  </si>
  <si>
    <t>Муніципальні формування з охорони громадського порядку</t>
  </si>
  <si>
    <t>видатки на утримання Громадського формування з охорони громадського порядку "Штаб"</t>
  </si>
  <si>
    <t>0218220</t>
  </si>
  <si>
    <t>8220</t>
  </si>
  <si>
    <t>0218110</t>
  </si>
  <si>
    <t>8110</t>
  </si>
  <si>
    <t>- відшкодування комунальних послуг за призовну дільницю</t>
  </si>
  <si>
    <t xml:space="preserve">у тому числі: </t>
  </si>
  <si>
    <t>Членські внески до асоціацій органів місцевого самоврядування</t>
  </si>
  <si>
    <t>3719110</t>
  </si>
  <si>
    <t>3710180</t>
  </si>
  <si>
    <t>Іншi діяльність у сфері державного управління</t>
  </si>
  <si>
    <t>Заходи та роботи з мобілізаційної підготовки місцевого значення</t>
  </si>
  <si>
    <t>7622</t>
  </si>
  <si>
    <t>0470</t>
  </si>
  <si>
    <t>2710000</t>
  </si>
  <si>
    <t>2710160</t>
  </si>
  <si>
    <t>2717693</t>
  </si>
  <si>
    <t>2717640</t>
  </si>
  <si>
    <t>7640</t>
  </si>
  <si>
    <t>Інші заходи, пов'язані з економічною діяльністю</t>
  </si>
  <si>
    <t>у тому числі:</t>
  </si>
  <si>
    <t>2717610</t>
  </si>
  <si>
    <t>2700000</t>
  </si>
  <si>
    <t>3100000</t>
  </si>
  <si>
    <t>3110000</t>
  </si>
  <si>
    <t>3110160</t>
  </si>
  <si>
    <t>3117130</t>
  </si>
  <si>
    <t>7130</t>
  </si>
  <si>
    <t>0421</t>
  </si>
  <si>
    <t>Здійснення заходів із землеустрою</t>
  </si>
  <si>
    <t>3110180</t>
  </si>
  <si>
    <t>Іншi програми, заклади та заходи у сфері освіти</t>
  </si>
  <si>
    <t>7350</t>
  </si>
  <si>
    <t>0443</t>
  </si>
  <si>
    <t>1600000</t>
  </si>
  <si>
    <t>1610000</t>
  </si>
  <si>
    <t>1610160</t>
  </si>
  <si>
    <t>1617350</t>
  </si>
  <si>
    <t>Організація та проведення громадських робіт</t>
  </si>
  <si>
    <t>1050</t>
  </si>
  <si>
    <t xml:space="preserve"> за рахунок субвенції з обласного бюджету</t>
  </si>
  <si>
    <t>Центр соціально-психологічної реабілітації "Дивосвіт"</t>
  </si>
  <si>
    <t>Будинок нічного перебування</t>
  </si>
  <si>
    <t>1500000</t>
  </si>
  <si>
    <t>1510000</t>
  </si>
  <si>
    <t>1510160</t>
  </si>
  <si>
    <t>1910180</t>
  </si>
  <si>
    <t>1210180</t>
  </si>
  <si>
    <t>0210160</t>
  </si>
  <si>
    <t>0453</t>
  </si>
  <si>
    <t>1510180</t>
  </si>
  <si>
    <t>1917422</t>
  </si>
  <si>
    <t>7422</t>
  </si>
  <si>
    <t>Регулювання цін на послуги місцевого наземного електротранспорту</t>
  </si>
  <si>
    <t>6011</t>
  </si>
  <si>
    <t>Експлуатація та технічне обслуговування житлового фонду</t>
  </si>
  <si>
    <t>7310</t>
  </si>
  <si>
    <t>1517310</t>
  </si>
  <si>
    <t>1517330</t>
  </si>
  <si>
    <t>7330</t>
  </si>
  <si>
    <t>Утримання та фінансова підтримка спортивних споруд</t>
  </si>
  <si>
    <t>5041</t>
  </si>
  <si>
    <t>8010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</si>
  <si>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</si>
  <si>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0813180</t>
  </si>
  <si>
    <t>3180</t>
  </si>
  <si>
    <t>0813241</t>
  </si>
  <si>
    <t>3241</t>
  </si>
  <si>
    <t>Забезпечення діяльності інших закладів у сфері соціального захисту і соціального забезпечення</t>
  </si>
  <si>
    <t>0813240</t>
  </si>
  <si>
    <t>3240</t>
  </si>
  <si>
    <t>0813242</t>
  </si>
  <si>
    <t>3242</t>
  </si>
  <si>
    <t>Інші заходи у сфері соціального захисту і соціального забезпечення</t>
  </si>
  <si>
    <t>в тому числі :</t>
  </si>
  <si>
    <t xml:space="preserve">інші видатки на соціальний захист населення </t>
  </si>
  <si>
    <t>0813160</t>
  </si>
  <si>
    <t>3160</t>
  </si>
  <si>
    <t>Надання соціальних гарантій фізичним особам , які надають соціальні послуги громадянам похилого віку, особам з інвалідністю , дітям з інвалідністю, хворим , які не здатні до самообслуговування і потребують сторонньої допомоги.</t>
  </si>
  <si>
    <t>Амбулаторно-поліклінічна допомога населенню, крім первинної медичної допомоги</t>
  </si>
  <si>
    <t>Утримання центрів фізичної культури і спорту осіб з інвалідністю і реабілітаційних шкіл</t>
  </si>
  <si>
    <t>Проведення навчально-тренувальних зборiв i змагань та заходiв зі спорту осіб з інвалідністю</t>
  </si>
  <si>
    <t>4081</t>
  </si>
  <si>
    <t>1014081</t>
  </si>
  <si>
    <t>Забезпечення діяльності інших закладів в галузі культури і мистецтва</t>
  </si>
  <si>
    <t>1014082</t>
  </si>
  <si>
    <t>4082</t>
  </si>
  <si>
    <t>Інші заходи в галузі культури і мистецтва</t>
  </si>
  <si>
    <t>1017691</t>
  </si>
  <si>
    <t>7691</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</si>
  <si>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</si>
  <si>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0617691</t>
  </si>
  <si>
    <t>0717691</t>
  </si>
  <si>
    <t>0817691</t>
  </si>
  <si>
    <t>0917691</t>
  </si>
  <si>
    <t>0213210</t>
  </si>
  <si>
    <t>3210</t>
  </si>
  <si>
    <t>Заходи із запобігання та ліквідації надзвичайних ситуацій та наслідків стихійного лиха</t>
  </si>
  <si>
    <t>0810180</t>
  </si>
  <si>
    <t>2717370</t>
  </si>
  <si>
    <t>7370</t>
  </si>
  <si>
    <t xml:space="preserve">Реалізація програм і заходів в галузі туризму та курортів </t>
  </si>
  <si>
    <t>Видатки на поховання учасників бойових дій тата осіб з інвалідністю внаслідок війни.</t>
  </si>
  <si>
    <t>Інші заклади та заходи:</t>
  </si>
  <si>
    <t>2111</t>
  </si>
  <si>
    <t>Первинна медична допомога населенню, що надається центрами первинної медичної (медико-санітарної) допомоги</t>
  </si>
  <si>
    <t>7693</t>
  </si>
  <si>
    <t>у тому числі бюджет розвитку</t>
  </si>
  <si>
    <t>Код Програмної класифікації видатків та кредитування місцевих бюджетів</t>
  </si>
  <si>
    <t>Код Типової програмної класифікації видатків та кредитування місцевих бюджетів</t>
  </si>
  <si>
    <t>Код Функціональної класифікації видатків та кредитування бюджету</t>
  </si>
  <si>
    <t>Загальний фонд</t>
  </si>
  <si>
    <t>Спеціальний фонд</t>
  </si>
  <si>
    <t>0712152</t>
  </si>
  <si>
    <t>2152</t>
  </si>
  <si>
    <t>в тому числі</t>
  </si>
  <si>
    <t>1218311</t>
  </si>
  <si>
    <t>0712111</t>
  </si>
  <si>
    <t>0726</t>
  </si>
  <si>
    <t>Інші програми  та заходи у сфері  охорона здоров'я</t>
  </si>
  <si>
    <t>0217693</t>
  </si>
  <si>
    <t>1610180</t>
  </si>
  <si>
    <t>1014020</t>
  </si>
  <si>
    <t>4020</t>
  </si>
  <si>
    <t>0822</t>
  </si>
  <si>
    <t>Фінансова підтримка філармоній, художніх і музичних колективів, ансамблів, концертних та циркових організацій</t>
  </si>
  <si>
    <t>примусове виконання рішень суду</t>
  </si>
  <si>
    <t>8420</t>
  </si>
  <si>
    <t>Інші заходи у сфері засобів масової інформації</t>
  </si>
  <si>
    <t>Проведення міжнародного мистецького фестивалю країн Карпатського регіону «Carpathian Space»</t>
  </si>
  <si>
    <t>Довгострокова програма фінансування мобілізаційних заходів та оборонної роботи Івано-Франківської міської ради на 2019-2023 роки</t>
  </si>
  <si>
    <t>1517370</t>
  </si>
  <si>
    <t>від ________ №________</t>
  </si>
  <si>
    <t>Забезпечення діяльності інклюзивно-ресурсних центрів</t>
  </si>
  <si>
    <t>Управління транспорту та зв'язку Івано-Франківської міської ради</t>
  </si>
  <si>
    <t>Департамент культури  Івано-Франківської міської ради</t>
  </si>
  <si>
    <t>Департамент соціальної політики виконкому Івано-Франківської міської ради</t>
  </si>
  <si>
    <t>Департамент молодіжної політики та спорту Івано-Франківської міської ради</t>
  </si>
  <si>
    <t>Служба у справах дітей виконавчого комітету Івано-Франківської міської ради</t>
  </si>
  <si>
    <t>Департамент освіти та науки  Івано-Франківської міської ради</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</si>
  <si>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</si>
  <si>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3118311</t>
  </si>
  <si>
    <t>1216016</t>
  </si>
  <si>
    <t>6016</t>
  </si>
  <si>
    <t>Впровадження засобів обліку витрат та регулювання споживання води та теплової енергії</t>
  </si>
  <si>
    <t>у т.ч</t>
  </si>
  <si>
    <t>КП"Простір Інноваційних Креацій "Палац" (Потоцьких)</t>
  </si>
  <si>
    <t xml:space="preserve">Інша діяльність у сфері державного управління </t>
  </si>
  <si>
    <t>Додаток 3</t>
  </si>
  <si>
    <t>Програма розвитку місцевого самоврядування та громадянського суспільства в м.Івано-Франківську на 2020-2025 роки</t>
  </si>
  <si>
    <t>Програма "Духовне життя " на 2020-2025 роки</t>
  </si>
  <si>
    <t>1400000</t>
  </si>
  <si>
    <t>1410000</t>
  </si>
  <si>
    <t>Департамент  благоустрою Івано-Франківської міської ради</t>
  </si>
  <si>
    <t>1410160</t>
  </si>
  <si>
    <t>Департамент інфраструктури, житлової та комунальної політики  Івано-Франківської міської ради</t>
  </si>
  <si>
    <t>3400000</t>
  </si>
  <si>
    <t>3410000</t>
  </si>
  <si>
    <t>3410160</t>
  </si>
  <si>
    <t>Департамент комунальних ресурсів Івано-Франківської міської ради</t>
  </si>
  <si>
    <t>Департамент адміністративних послуг ( Центр надання адміністративних послуг) Івано-Франківської міської ради</t>
  </si>
  <si>
    <t>2500000</t>
  </si>
  <si>
    <t>2510000</t>
  </si>
  <si>
    <t>Департамент інвестиційної політики, проєктів, міжнародних звязків, туризму та промоцій міста Івано-Франківської міської ради</t>
  </si>
  <si>
    <t>2510160</t>
  </si>
  <si>
    <t>2517622</t>
  </si>
  <si>
    <t>2517693</t>
  </si>
  <si>
    <t>2300000</t>
  </si>
  <si>
    <t>2310000</t>
  </si>
  <si>
    <t>2310160</t>
  </si>
  <si>
    <t>Департамент стратегічного розвитку, цифрових трансформацій, роботи із засобами масової інформації, комунікації з мешканцями Івано-Франківської міської ради</t>
  </si>
  <si>
    <t>2310180</t>
  </si>
  <si>
    <t>2318420</t>
  </si>
  <si>
    <t>Надання позашкільної освіти  закладами позашкільної освіти, заходи із позашкільної роботи з дітьми</t>
  </si>
  <si>
    <t>Цільова програма Івано-Франківської міської територіальної громади організації та відзначення загальнодержавних свят територіальної громади, державних пам'ятних дат, релігійних та історичних подій на 2021-2025 роки</t>
  </si>
  <si>
    <t>в тому числі:</t>
  </si>
  <si>
    <t>Програма розвитку дитячо-юнацького футболу Департаменту освіти та науки Івано-Франківської міської ради на 2021-2025 рр</t>
  </si>
  <si>
    <t>Проєкт "Альтернативні терапії в Марамуреші та Івано-Франківську"</t>
  </si>
  <si>
    <t>Програма поліпшення стану безпеки, гігєни праці та виробничого середовища на 2020-2023 роки Івано-Франківської ТГ</t>
  </si>
  <si>
    <t>Проєкт Партнерство Румунія - Україна для пом"якшення зміни клімату"</t>
  </si>
  <si>
    <t>Департамент містобудування та архітектури  Івано-Франківської міської ради</t>
  </si>
  <si>
    <t>1416030</t>
  </si>
  <si>
    <t>1417670</t>
  </si>
  <si>
    <t>Департамент економічного  розвитку, екології  та енергозбереження Івано-Франківської  міської ради</t>
  </si>
  <si>
    <t>2318410</t>
  </si>
  <si>
    <t>1410180</t>
  </si>
  <si>
    <t>Програма щодо співпраці між професійно-технічними навчальними закладами та промисловими підприємствами і  МСП Івано-Франківської міської територіальної громади</t>
  </si>
  <si>
    <t>Програма промоції Івано-Франківської міської територіальної громади на 2021-2025 роки</t>
  </si>
  <si>
    <r>
      <rPr>
        <i/>
        <sz val="9"/>
        <rFont val="Times New Roman"/>
        <family val="1"/>
        <charset val="204"/>
      </rPr>
      <t xml:space="preserve">у тому числі   </t>
    </r>
    <r>
      <rPr>
        <sz val="9"/>
        <rFont val="Times New Roman"/>
        <family val="1"/>
        <charset val="204"/>
      </rPr>
      <t>Програма розвитку туристичної галузі Івано-Франківської міської територіальної громади на 2021-2025 роки</t>
    </r>
  </si>
  <si>
    <t>2717670</t>
  </si>
  <si>
    <t>Програма легалізації заробітної плати та найманої праці  на 2021-2025 роки</t>
  </si>
  <si>
    <t>Управління капітального будівництва  Івано-Франківської міської ради</t>
  </si>
  <si>
    <t>Комплексна  програма  сприяння залученню інвестицій в економіку Івано-Франківської міської територіальної громади та проєктної діяльності на  2021 – 2025 роки</t>
  </si>
  <si>
    <t>Фінансове управління Івано-Франківської міської ради</t>
  </si>
  <si>
    <t>Проект  "Дослідження та збереження єврейської культурної спадщини на прикордонній території"</t>
  </si>
  <si>
    <t>(код бюджету)</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</si>
  <si>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</si>
  <si>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</si>
  <si>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</si>
  <si>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1011080</t>
  </si>
  <si>
    <t>1080</t>
  </si>
  <si>
    <t>0611021</t>
  </si>
  <si>
    <t>0611025</t>
  </si>
  <si>
    <t>1025</t>
  </si>
  <si>
    <t>0611030</t>
  </si>
  <si>
    <t>Надання загальної середньої освіти  за рахунок освітньої субвенції</t>
  </si>
  <si>
    <t>0611031</t>
  </si>
  <si>
    <t>1031</t>
  </si>
  <si>
    <t>061035</t>
  </si>
  <si>
    <t>1035</t>
  </si>
  <si>
    <t>0611120</t>
  </si>
  <si>
    <t>1120</t>
  </si>
  <si>
    <t>0611130</t>
  </si>
  <si>
    <t>1130</t>
  </si>
  <si>
    <t>0611141</t>
  </si>
  <si>
    <t>1141</t>
  </si>
  <si>
    <t>0611142</t>
  </si>
  <si>
    <t>1142</t>
  </si>
  <si>
    <t>1140</t>
  </si>
  <si>
    <t>0611151</t>
  </si>
  <si>
    <t>1151</t>
  </si>
  <si>
    <t>0611152</t>
  </si>
  <si>
    <t>1152</t>
  </si>
  <si>
    <t>Забезпечення діяльності центрів професійного розвитку педагогічних працівників</t>
  </si>
  <si>
    <t>0611090</t>
  </si>
  <si>
    <t>Підготовка кадрів закладами професійної (професійно-технічної) освіти та іншими закладами освіти</t>
  </si>
  <si>
    <t>0611091</t>
  </si>
  <si>
    <t>1091</t>
  </si>
  <si>
    <t>Підготовка кадрів закладами професійної (професійно-технічної) освіти та іншими закладами освіти за рахунок коштів місцевого бюджету</t>
  </si>
  <si>
    <t>0611092</t>
  </si>
  <si>
    <t>1092</t>
  </si>
  <si>
    <t>Підготовка кадрів закладами професійної (професійно-технічної) освіти та іншими закладами освіти за рахунок освітньої субвенції</t>
  </si>
  <si>
    <t xml:space="preserve">Утримання та забезпечення діяльності центрів  соціальних служб </t>
  </si>
  <si>
    <t>Надання пільг окремим категоріям громадян з оплати послуг зв`язку</t>
  </si>
  <si>
    <t>Надання загальної середньої освіти закладами загальної середньої освіти</t>
  </si>
  <si>
    <t xml:space="preserve">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 </t>
  </si>
  <si>
    <t>Забезпечення діяльності інших  закладів у сфері освіти</t>
  </si>
  <si>
    <t xml:space="preserve"> Іншi програми та заходи у сфері освіти</t>
  </si>
  <si>
    <t>Забезпечення діяльності інклюзивно-ресурсних центрів за рахунок коштів місцевого бюджету</t>
  </si>
  <si>
    <t>Забезпечення діяльності інклюзивно-ресурсних центрів за рахунок коштів освітньої субвенції</t>
  </si>
  <si>
    <t>8710</t>
  </si>
  <si>
    <t>Резервний фонд місцевого бюджету</t>
  </si>
  <si>
    <t>3718710</t>
  </si>
  <si>
    <t>Надання загальної середньої освіти  за рахунок коштів місцевого бюджету</t>
  </si>
  <si>
    <t>0610180</t>
  </si>
  <si>
    <t>Програма забезпечення виконання рішень суду щодо безспірного списання коштів з розпорядника бюджетних коштів Департаменту  освіти та науки Івано-Франківської  міської ради на 2021-2025 роки</t>
  </si>
  <si>
    <t>Керівництво і управління увідповідній  сфері у містах (місті Києві), селищах, селах, територіальних громадах</t>
  </si>
  <si>
    <t>Програма розвитку професіоналізму і компетентності депутатів місцевих рад та посадорвих осіб місцевого самоврядування на 2021-2025 роки</t>
  </si>
  <si>
    <t xml:space="preserve">Проект "Безпечне майбутнє" в рамках програми транскордонного співробітництва Румунія - Україна </t>
  </si>
  <si>
    <t>Проект "Розбудова екосистеми іновацій Івано-Франківська</t>
  </si>
  <si>
    <t>Комплексна цільова соціальна програма розвитку цивільного захисту населення і  території Івано-Франківської міської територіальної громади  від надзвичайних ситуацій, забезпечення техногенної та пожежної безпеки на 2021-2025 роки</t>
  </si>
  <si>
    <t>Комплексна програма запобігання виникненню надзвичайних ситуацій природного і техногенного характеру та підвищення рівня готовності аварійно-рятувальної служби м.Івано-Франківська до дій за призначенням на 2021-2025 роки</t>
  </si>
  <si>
    <t>видатки на утримання КП "Муніципальна інспенкція "Добродій"</t>
  </si>
  <si>
    <t>7140</t>
  </si>
  <si>
    <t>Інші заходи у сфері сільського господарства</t>
  </si>
  <si>
    <t>Сприяння розвитку малого та середнього підприємництва в тому числі:</t>
  </si>
  <si>
    <t>Програма розвитку соціального підприємництва в Івано-Франківській міській територіальній громаді на 2021-2023 роки</t>
  </si>
  <si>
    <t>Заходи з енергозбереження в тому числі:</t>
  </si>
  <si>
    <t>Програма сталого енергетичного розвитку Івано-Франківської міької територіальної громади до 2030 року</t>
  </si>
  <si>
    <t>Програма поетапного відключення (відокремлення ) споживачів теплової енергії що постачається котелнею на вул. Індустріальній 34 від системи централізованого опалення</t>
  </si>
  <si>
    <t>0210170</t>
  </si>
  <si>
    <t>0131</t>
  </si>
  <si>
    <t>Підвищення кваліфікації депутатів місцевих ради та посадових осіб місцевого самоврядування в тому числі:</t>
  </si>
  <si>
    <t>0611101</t>
  </si>
  <si>
    <t>1101</t>
  </si>
  <si>
    <t xml:space="preserve">Підготовка кадрів закладами фахової передвищої освіти за рахунок коштів місцевого бюджету </t>
  </si>
  <si>
    <t>1216011</t>
  </si>
  <si>
    <t>0813192</t>
  </si>
  <si>
    <t>3192</t>
  </si>
  <si>
    <t>Надання фінансової підтримки громадським організаціям ветеранів і осіб з інвалідністю, діяльність яких має соціальну спрямованість</t>
  </si>
  <si>
    <t>0941</t>
  </si>
  <si>
    <t xml:space="preserve">Надання спеціалізованої освіти мистецькими школами  </t>
  </si>
  <si>
    <t>0913241</t>
  </si>
  <si>
    <t>Порограма розвитку електронного урядування в  Івано-Франківській  міській територіальній громаді на 2022-2024 роки</t>
  </si>
  <si>
    <t>Програми і заходи цнтру  служб для сім'ї, дітей та молоді</t>
  </si>
  <si>
    <t>Розроблення схем планування та забудови територій (містобудівної документації) в тому числі:</t>
  </si>
  <si>
    <t>Розроблення містобудівної документації</t>
  </si>
  <si>
    <t>Керівництво і управління у відповідній  сфері у містах (місті Києві), селищах, селах, територіальних громадах</t>
  </si>
  <si>
    <t>Розподіл видатків  бюджету  Івано-Франківської міської територіальної громади на 2023 рік</t>
  </si>
  <si>
    <t>1516030</t>
  </si>
  <si>
    <t>1213090</t>
  </si>
  <si>
    <t>3090</t>
  </si>
  <si>
    <t>1416013</t>
  </si>
  <si>
    <t>0813230</t>
  </si>
  <si>
    <t>3230</t>
  </si>
  <si>
    <t>Видатки пов'язані з наданням підтримки внутрішньо переміщеним та/або евакуйованим особам у зв’язку із введенням воєнного стану в Україні</t>
  </si>
  <si>
    <t>1700000</t>
  </si>
  <si>
    <t>1710000</t>
  </si>
  <si>
    <t>1710160</t>
  </si>
  <si>
    <t>Управління з питань архітектурно-будівельного контролю Івано-Франківської міської ради</t>
  </si>
  <si>
    <t>Програма сприяння розвитку волонтерства Івано-Франківської міської територіальної громади  на 2021-2025 роки</t>
  </si>
  <si>
    <t xml:space="preserve">  0953300000      </t>
  </si>
  <si>
    <t>3117140</t>
  </si>
  <si>
    <t>3117110</t>
  </si>
  <si>
    <t>7110</t>
  </si>
  <si>
    <t>Реалізація програм в галузі сільського господарства</t>
  </si>
  <si>
    <t>0218240</t>
  </si>
  <si>
    <t xml:space="preserve"> Заходи та роботи з територіальної оборони</t>
  </si>
  <si>
    <t>8240</t>
  </si>
  <si>
    <t xml:space="preserve">Програма заходів національного спротиву ІФ МТГ та підтримки добровольчих формувань територіальної громади </t>
  </si>
  <si>
    <t>Проєкт "Нова економіка  Івано-Франківська"</t>
  </si>
  <si>
    <t>Співфінансування проектів в рамках програми транскордонного співробітництва Ромунія -Україна 2014-2020  "Назад до наших спільних коренів"</t>
  </si>
  <si>
    <t>Програма розвитку КВП "Архітектурно-планувальне бюро-ІФ"</t>
  </si>
  <si>
    <t>Програма розвитку міжнародного і транскордонного співробітництва Івано-Франківської міської територіальної громади  на 2023-2027 роки</t>
  </si>
  <si>
    <t>Видатки на поховання учасників бойових дій та осіб з інвалідністю внаслідок війни</t>
  </si>
  <si>
    <t>Забезпечення діяльності місцевої  та добровільної пожежної охорони</t>
  </si>
  <si>
    <t>КП Муніципальні ринки Івано-Франківської міської ради</t>
  </si>
  <si>
    <t>1617691</t>
  </si>
  <si>
    <t>Містечко милосердя "Святого Миколая"</t>
  </si>
  <si>
    <t>0217140</t>
  </si>
  <si>
    <t>Проєкт "Створення комунікаційної єврорегіональної Платформи "ідеальних" міст для переорієнтації туризму в Івано-Франківській області"</t>
  </si>
  <si>
    <t xml:space="preserve">             до  рішення ___________________міської ради</t>
  </si>
  <si>
    <t>КП "Франківськ АГРО"</t>
  </si>
  <si>
    <t>Будівництво об'єктів житлово-комунального господарства</t>
  </si>
  <si>
    <t>Будівництво інших об'єктів комунальної власності</t>
  </si>
  <si>
    <t>Затверджено з урахуванням змін</t>
  </si>
  <si>
    <t>Зміни, що вносяться</t>
  </si>
  <si>
    <t>споживання</t>
  </si>
  <si>
    <t>видатки споживання</t>
  </si>
  <si>
    <t>0217330</t>
  </si>
  <si>
    <t>Будівництво інших об'єктів комунальної власності</t>
  </si>
  <si>
    <t>0217670</t>
  </si>
  <si>
    <t>0611210</t>
  </si>
  <si>
    <t>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</si>
  <si>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</si>
  <si>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0613230</t>
  </si>
  <si>
    <t>Видатка пов'язані з наданням підтримки внутрішньо переміщеним та/або евакуйованим особам у звязку із введенням воєнного стану</t>
  </si>
  <si>
    <t>0617321</t>
  </si>
  <si>
    <t>7321</t>
  </si>
  <si>
    <t>Будівництво освітніх установ та закладів</t>
  </si>
  <si>
    <t>0717322</t>
  </si>
  <si>
    <t>7322</t>
  </si>
  <si>
    <t>Будівництво медичних установ та закладів</t>
  </si>
  <si>
    <t>1017324</t>
  </si>
  <si>
    <t>7324</t>
  </si>
  <si>
    <t>Будівництво установ та закладів культури</t>
  </si>
  <si>
    <t>1217310</t>
  </si>
  <si>
    <t>1217691</t>
  </si>
  <si>
    <t>1417310</t>
  </si>
  <si>
    <t>1418311</t>
  </si>
  <si>
    <t>1517321</t>
  </si>
  <si>
    <t>1517324</t>
  </si>
  <si>
    <t>1517340</t>
  </si>
  <si>
    <t>7340</t>
  </si>
  <si>
    <t>Проектування, реставрація та охорона пам'яток архітектури</t>
  </si>
  <si>
    <t>1617330</t>
  </si>
  <si>
    <t>1917310</t>
  </si>
  <si>
    <t>1917421</t>
  </si>
  <si>
    <t>Утримання та розвиток наземного електротранспорту</t>
  </si>
  <si>
    <t>7421</t>
  </si>
  <si>
    <t>1917691</t>
  </si>
  <si>
    <t>3117670</t>
  </si>
  <si>
    <t>3719800</t>
  </si>
  <si>
    <t>9800</t>
  </si>
  <si>
    <t>Субвенція з місцевого бюджету державному бюджету на виконання програм соціально-економічного розвитку регіонів</t>
  </si>
  <si>
    <t>Субвенція державному бюджету для регіонального сервісного центру ГСЦ МВС в Івано-Франківській області для придбання автомобіля на виконання Комплексної програми профілактики злочинності в місті до 2024 року</t>
  </si>
  <si>
    <t>Субвенція державному бюджету для головного управління Національної поліції в Івано-Франківській області для придбання службового автомобіля на виконання Комплексної програми профілактики злочинності в місті до 2024 року</t>
  </si>
  <si>
    <t>Субвенція державному бюджету для головного управління Національної поліції в Івано-Франківській області для придбання спецавтомобіля на виконання Комплексної програми профілактики злочинності в місті до 2024 року</t>
  </si>
  <si>
    <t>Субвенція державному бюджету для головного управління Національної поліції в Івано-Франківській області на покращення матеріально-технічного забезпечення на виконання Комплексної програми профілактики злочинності в місті до 2024 року</t>
  </si>
  <si>
    <t>Субвенція державному бюджету для Івано-Франківської квартирно-експлуатаційної частини (району) на капітальний ремонт системи опалення об’єктів КЕЧ (району) на виконання Програми поетапного відключення (відокремлення) споживачів теплової енергії, що постачаються котельнею на вул. Індустріальній, 34, від системи централізованого опалення та переведення їх на альтернативні джерела теплопостачання</t>
  </si>
  <si>
    <t>Субвенція державному бюджету для покращення матеріально-технічного забезпечення військової частини А 4576 41 бригаді ЗСУ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</si>
  <si>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для військової частини А1349 на придбання обладнання і предметів довгострокового користування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</si>
  <si>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для управління Служби безпеки України в Івано-Франківській області на покращення матеріально-технічного забезпечення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</si>
  <si>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для придбання безпілотних літальних апаратів та матеріально-технічних засобів військовій частині А2943 на виконання Довгострокової програми фінансування мобілізаційних заходів та оборонної роботи Івано-Франківської міської ради на 2019-2023 роки</t>
  </si>
  <si>
    <t>в т.ч. додаткова дотація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</si>
  <si>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в т.ч. Дотація з ДБ на оплату комунальних послуг ВПО</t>
  </si>
  <si>
    <t>в тому числі за рахунок субвенції з обласного бюджету на придбання матеріалів, будівельних матеріалів для проведення ремонтних робіт господарським способом у ліцеї №18 Івано-Франківської міської ради Івано-Франківської області</t>
  </si>
  <si>
    <t xml:space="preserve">в тому числі за рахунок субвенції з обласного бюджету на поточний ремонт захисної споруди цивільного захисту ( найпростіших укриттів ) в Братковецькому ліцеї Івано-Франківської міської ради </t>
  </si>
  <si>
    <t xml:space="preserve">в тому числі за рахунок субвенції з обласного бюджету на облаштування укриття ( придбання меблів ) в  ліцеї №3 Івано-Франківської міської ради </t>
  </si>
  <si>
    <t xml:space="preserve">в тому числі за рахунок субвенції з обласного бюджету на поточний ремонт харчоблоку та придбання матеріалів для харчоблоку господарським способом для ЗДО № 29 " Кобзарик"  Івано-Франківської міської ради </t>
  </si>
  <si>
    <t>в тому числі за рахунок субвенції з обласного бюджету на  придбання матеріалів для проведення ремонтних робіт господарським способом для приміщення ЗДО № 29 " Кобзарик"  Івано-Франківської міської ради Івано-Франківської області</t>
  </si>
  <si>
    <t>за рахунок субвенції з обласного бюджету</t>
  </si>
  <si>
    <t>0818751</t>
  </si>
  <si>
    <t>8751</t>
  </si>
  <si>
    <t>Допомога населенню, що постраждало внаслідок надзвичайної ситуації або стихійного лиха, за рахунок коштів резервного фонду місцевого бюджету</t>
  </si>
  <si>
    <t>5049</t>
  </si>
  <si>
    <t>Виконання окремих заходів з реалізації соціального проекту "Активні парки - локації здорової України"</t>
  </si>
  <si>
    <t>в т.ч. 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</si>
  <si>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Інші субвенції з місцевого бюджету</t>
  </si>
  <si>
    <t>9770</t>
  </si>
  <si>
    <t>3719770</t>
  </si>
  <si>
    <t>в т.ч</t>
  </si>
  <si>
    <t>Субвенція Покровській селищній територіальній громаді на придбання  засобів реабілітації та іншого обладнання для Покровського територіального центру соціального обслуговування ( надання соціальних послуг)</t>
  </si>
  <si>
    <t>Субвенція Бобровицькій міській територіальної громаді для соціально - економічного розвитку громади</t>
  </si>
  <si>
    <t>Субвенція Гуляйпільській міській територіальної громаді на придбання пально–мастильних матеріалів</t>
  </si>
  <si>
    <t>Субвенція Галицькій міській територіальної громаді для соціально - економічного розвитку громади</t>
  </si>
  <si>
    <t>Субвенція державному бюджету для проведення поточних видатків придбання безпілотних літальних апаратів та матеріально-технічних засобів для Львівського територіального центру комплектування та соціальної підтримки  ( для військовоїй частини А4026) на виконання Довгострокової програми фінансування мобілізаційних заходів та оборонної роботи Івано-Франківської міської ради на 2019-2023 роки</t>
  </si>
  <si>
    <t>Придбання матеріалів длшя ремонту СВ.Архисраига Михаїла</t>
  </si>
  <si>
    <t>Субвенція з обласного бюджету "Придбання будівельних матеріалів для будівницва дочірнього Храму Непорочного Зачаття Пресвяої Богородиці УГКЦ в с.Угорники</t>
  </si>
  <si>
    <t>Субвенція державному бюджету для Головного управління ДПС в Івано-Франківській області  на виконання Програми створення розвинутої інформаційної інфраструктури   Головного управління ДПС в Івано-Франківській області  на 2023-2025 роки</t>
  </si>
  <si>
    <t>Субвенція державному бюджету для Івано-Франківської установи виконання покарань (№12) на проведення ремонтних робіт та покращення матеріально-технічного забезпечення на виконання Комплексної програми профілактики злочинності в місті до 2024 року</t>
  </si>
  <si>
    <t>Субвенція державному бюджету для Івано-Франківського зонального відділу Військової служби правопорядку на покращення матеріально-технічного забезпечення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</si>
  <si>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для управління Державної міграційної служби України в Івано-Франківській області на покращення матеріально-технічного забезпечення на виконання Комплексної програми профілактики злочинності в місті до 2024 року</t>
  </si>
  <si>
    <t>Субвенція державному бюджету для територіального управління Служби судової охорони у Івано-Франківській області на покращення матеріально-технічного забезпечення на виконання Комплексної програми профілактики злочинності в місті до 2024 року</t>
  </si>
  <si>
    <t>Додаткова дотація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</si>
  <si>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8761</t>
  </si>
  <si>
    <t>8775</t>
  </si>
  <si>
    <t>0218761</t>
  </si>
  <si>
    <t>0218775</t>
  </si>
  <si>
    <t>Заходи із запобігання та ліквідації наслідків надзвичайної ситуації внаслідок стихійного лиха за рахунок коштів резервного фонду місцевого бюджету</t>
  </si>
  <si>
    <t xml:space="preserve">   Інші заходи за рахунок коштів резервного фонду місцевого бюджету</t>
  </si>
  <si>
    <t xml:space="preserve"> в т.ч.за рахунок субвенції з обласного бюджету</t>
  </si>
  <si>
    <t>Віктор СИНИШИН</t>
  </si>
  <si>
    <t>Надання безповоротної фінансової допомоги АТ «Івано-Франківський локомотиворемонтний завод</t>
  </si>
  <si>
    <t>в т.ч.:</t>
  </si>
  <si>
    <t>Субвенція з обласного бюджету на закупівлю та монтаж медичного обладнання для КНП "Центральна міська клінічна лікарня Івано-Франківської міської ради" згідно з переліком, затвердженим МОЗ України</t>
  </si>
  <si>
    <t>Субвенція з обласного бюджету на придбання медичного обладнання для КНП «Івано-Франківська міська лікарня №1»</t>
  </si>
  <si>
    <t>в т.ч.</t>
  </si>
  <si>
    <t>Субвенція з обласного бюджету на проведення заходів з енергозбереження (встановлення енергозберігаючих вікон в третьому підїзді на вул. Чорновола буд. 115 в м.Івано-Франківську Івано-Франківської територіальної громади)</t>
  </si>
  <si>
    <t>Субвенція з обласного бюджету на проведення заходів з енергозбереження (встановлення енергозберігаючих вікон в четвертому підїзді на вул. Чорновола буд.115 в м.Івано-Франківську Івано-Франківської територіальної громади)</t>
  </si>
  <si>
    <t>Субвенція з обласного бюджету на капітальний ремонт каналізаційної системи біля будинку № 53 по вул. Д. Галицького в с. Крихівці Івано-Франківської міської ради</t>
  </si>
  <si>
    <t>Субвенція з обласного бюджету на капітальний ремонт території біля багатоквартирних будинків № 50,53 по вул. Д. Галицького в с. Крихівці Івано-Франківської міської ради</t>
  </si>
  <si>
    <t>Субвенція з обласного бюджету на капітальний ремонт території біля багатоквартирного будинку № 55 по вул. Д. Галицького в с. Крихівці Івано-Франківської міської ради</t>
  </si>
  <si>
    <t>Субвенція з обласного бюджету на реконструкцію водопроводу по вулиці Кобилянської від вулиці Богунська до вулиці Тарнавського у місті Івано-Франківську</t>
  </si>
  <si>
    <t>0618311</t>
  </si>
  <si>
    <t>0813221</t>
  </si>
  <si>
    <t>0813222</t>
  </si>
  <si>
    <t>0813223</t>
  </si>
  <si>
    <t>3221</t>
  </si>
  <si>
    <t>3222</t>
  </si>
  <si>
    <t>3223</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</si>
  <si>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</si>
  <si>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19 - 21 частини першої статті 6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</si>
  <si>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</si>
  <si>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0817330</t>
  </si>
  <si>
    <t>1617670</t>
  </si>
  <si>
    <t>3117691</t>
  </si>
  <si>
    <t>Субвенція Великоолександрівській селищній територіальній громаді Херсонської області на реалізацію заходів, пов’язаних із відновленням пошкодженого/зруйнованого внаслідок бойових дій житла в селі Давидів Брід</t>
  </si>
  <si>
    <t>Субвенція обласному бюджету на виготовлення проектно-кошторисної документації для розширення стаціонарного відділення Комунального некомерційного підприємства «Івано-Франківський обласний клінічний центр паліативної допомоги Івано-Франківської обласної ради</t>
  </si>
  <si>
    <t>Субвенція державному бюджету військовій частині А4324 (для військової частини А4604) на покращення матеріально-технічної бази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</si>
  <si>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для  капітального ремонту даху будівлі №66 (вартове приміщення) військове містечко №12, м. Івано-Франківськ, вул. Військова, 4 Івано-Франківський зональний відділ Військової служби правопорядку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</si>
  <si>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для головного управління ДСНС в Івано-Франківській області на виконання Комплексної програми запобігання виникненню надзвичайних ситуацій природного та техногенного характеру та підвищення рівня готовності аварійно-рятувальної служби м. Івано-Франківська до дій за призначенням на 2021-2025 роки)</t>
  </si>
  <si>
    <t>Субвенція з обласного бюджету на капітальний ремонт захисної споруди цивільного захисту (найпростішого укриття) в закладі дошкільної освіти (ясла-садок) №25 "Янголятко"</t>
  </si>
  <si>
    <t>Субвенція з обласного бюджету на капітальний ремонт спортивного майданчика Ліцею №5 Івано-Франківської міської ради</t>
  </si>
  <si>
    <t>КП "Муніципальна інспекція «Добродій»"</t>
  </si>
  <si>
    <t xml:space="preserve">КП "Електроавтотранс" </t>
  </si>
  <si>
    <t>КП "Івано-Франківськміськсвітло"</t>
  </si>
  <si>
    <t>КП "Міська ритуальна служба"</t>
  </si>
  <si>
    <t xml:space="preserve">КП "Муніципальна дорожня компанія" </t>
  </si>
  <si>
    <t>КП "Комфортний дім"</t>
  </si>
  <si>
    <t>КП "Благоустрій"</t>
  </si>
  <si>
    <t>КП "Івано-Франківськводоекотехпром"</t>
  </si>
  <si>
    <t xml:space="preserve">КП "Центр розвитку міста та рекреації" </t>
  </si>
  <si>
    <t>Проведення заходів з захисту від підтоплення територій між центральним міським озером та відстійником шляхом гідравлічного очищення (субвенція з м. Бурштин)</t>
  </si>
  <si>
    <t>Субвенція з обласного бюджету на поточний ремонт приміщень під консультативно-діагностичну поліклініку для КНП "Центральна міська клінічна лікарня Івано-Франківської міської ради" по вул.Целевича</t>
  </si>
  <si>
    <t>1218761</t>
  </si>
  <si>
    <t>Субвенція з обласного бюджету на проведення заходів з енергозбереження (встановлення вхідних дверей) в будинку по вул.Софії Галечко: буд. 12, 2 під'їзд в м. Івано-Франківську Івано-Франківської територіальної громади</t>
  </si>
  <si>
    <t>Субвенція з обласного бюджету на проведення заходів з енергозбереження (встановлення вхідних дверей) в будинку по вул.Чорновола: буд. 121, 1 під'їзд в м. Івано-Франківську Івано-Франківської територіальної громади</t>
  </si>
  <si>
    <t>Субвенція з обласного бюджету на проведення заходів з енергозбереження (встановлення вхідних дверей) в будинку по вул.Чорновола: буд. 115 в м. Івано-Франківську Івано-Франківської територіальної громади</t>
  </si>
  <si>
    <t>Субвенція з обласного бюджету на проведення заходів з енергозбереження (встановлення вхідних дверей) в будинку по вул.Чорновола: буд. 119, 1 під"їзд в м. Івано-Франківську Івано-Франківської територіальної громади</t>
  </si>
  <si>
    <t>Субвенція з обласного бюджету на проведення заходів з енергозбереження (встановлення вхідних дверей) в будинку по вул.Карпатської Січі: буд. 4 під"їзд (кв. 1,2,5,6) в м. Івано-Франківську Івано-Франківської територіальної громади</t>
  </si>
  <si>
    <t>Субвенція з обласного бюджету на благоустрій території по вул. Героїв Миколаєва (масив Рінь) с. Угорники Івано-Франківської територіальної громади</t>
  </si>
  <si>
    <t>Субвенція з обласного бюджету на заходи з благоустрою по вул. Д. Галицького, буд. 50 в с. Крихівці Івано-Франківської міської ради Івано-Франківського району Івано-Франківської області</t>
  </si>
  <si>
    <t>Субвенція з обласного бюджету на оплату послуг з благоустрою території вулиці Кобилянської у місті Івано-Франківськ</t>
  </si>
  <si>
    <t>Комунальний заклад "Дім воїна"</t>
  </si>
  <si>
    <t>0813140</t>
  </si>
  <si>
    <t>0913140</t>
  </si>
  <si>
    <t>1013140</t>
  </si>
  <si>
    <t>3133</t>
  </si>
  <si>
    <t>Інші заходи та заклади молодіжної політики</t>
  </si>
  <si>
    <t>1113140</t>
  </si>
  <si>
    <t>Субвенція Івано-Франківській районній раді на фінансування районних регіональних програм</t>
  </si>
  <si>
    <t>Субвенція з обласного бюджету "Придбання матеріалів,будівельних матеріалів для РГ "УГКЦ" "Святого Миколая" у місті Івано-Франківська по вул.Дністровська,26</t>
  </si>
  <si>
    <t>Субвенція державному бюджету для військової частини 1241 Національної Гвардії України на покращення матеріально-технічного забезпечення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</si>
  <si>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Івано-Франківській КЕЧ району для проведення поточного ремонту будівлі №17/1, військового містечка №17 військової частини А1349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</si>
  <si>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для військової частини А7030 на покращення матеріально-технічного забезпечення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</si>
  <si>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Івано-Франківській КЕЧ району для покриття заборгованості військових підрозділів, що дислоковані в межах об'єднаної територіальної громади м.Івано-Франківська перед комунальними підприємствами за теплопостачання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</si>
  <si>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Донецькому державному університету внутрішніх справ МВС України для Луганського навчально-наукового інституту  Е.О. Дідоренка  на покращення матеріально-технічного забезпечення на виконання Комплексної програми профілактики злочинності в місті до 2024 року</t>
  </si>
  <si>
    <t>Субвенція державному бюджету для 1 державного пожежно-рятувального загону Головного управління державної служби України з надзвичайних ситуацій в Івано-Франківській області на виконання Комплексної програми запобігання виникненню надзвичайних ситуацій природного та техногенного характеру та підвищення рівня готовності аварійно-рятувальної служби м.Івано-Франківська до дій за призначенням на 2021-2025 роки</t>
  </si>
  <si>
    <t>Субвенція державному бюджету для управління патрульної поліції в Івано-Франківській області Департаменту патрульної поліції на покращення матеріально-технічного забезпечення на виконання Комплексної програми профілактики злочинності в місті до 2024 року</t>
  </si>
  <si>
    <t xml:space="preserve">Субвенція державному бюджету для Управління Державної служби спеціального зв’язку та захисту інформації України в Івано-Франківській області на покращення матеріально-технічного забезпечення (встановлення металопластикових вікон)» на виконання Довгострокової програми фінансування мобілізаційних заходів та оборонної роботи Івано-Франківської міської ради на 2019-2023 роки </t>
  </si>
  <si>
    <t>Субвенція з обласного бюджету на виготовлення проектної документації «Нове будівництво храму релігійної громади (парафії) Благовіщення Пречистої Діви Марії УГКЦ с. Чукалівка Тисменицького району Івано-Франківської області (на виконання заходів регіональної цільової програми «Духовне життя» на 2022-2026 роки)</t>
  </si>
  <si>
    <t>Субвенція з обласного бюджету на придбання котла та комплектуючих для храму св. Микити УГКЦ в с. Микитинці Івано-Франківської територіальної громади (на виконання заходів регіональної цільової програми «Духовне життя» на 2022-2026 роки)</t>
  </si>
  <si>
    <t xml:space="preserve">в тому числі за рахунок субвенції з обласного бюджету на облаштування укриття ( придбання обладнання ) в ЗДО № 29 " Кобзарик"  Івано-Франківської міської ради </t>
  </si>
  <si>
    <t>в тому числі за рахунок субвенції з обласного бюджету на придбання навчального обладнання для укриття для  Ліцею №18 Івано-Франківської міської ради Івано-Франківської області</t>
  </si>
  <si>
    <t>Субвенція з обласного бюджету "Придбання матеріалів,будівельних матеріалів для ремонту храму "Всіх Святих землі Української Прославлених", м.Івано-Франківськ, по вул.Івасюка, 7</t>
  </si>
  <si>
    <t>Субвенція з обласного бюджету "Придбання будівельних матеріалів для ремонту храму "Різдва Христового", Івано-Франківської єпархії Православної Церкви України</t>
  </si>
  <si>
    <t>Програма  сприяння розвитку підприємництва в Івано-Франкіській міській територіальній громаді на 2022-2025 роки</t>
  </si>
  <si>
    <t>Реалізація заходів за рахунок освітньої субвенції з державного бюджету місцевим бюджетам (за спеціальним фондом державного бюджету)</t>
  </si>
  <si>
    <t>0611272</t>
  </si>
  <si>
    <t>1272</t>
  </si>
  <si>
    <t>КП "Полігон ТПВ"</t>
  </si>
  <si>
    <t>1518311</t>
  </si>
  <si>
    <t>1617340</t>
  </si>
  <si>
    <t>Субвенція державному бюджету для Державної екологічної інспекції Карпатського округу на оснащення спеціальним геодезичним обладнанням на виконання Програми охорони навколишнього природного середовища Івано-Франківської міської територіальної громади на 2021-2025 роки</t>
  </si>
  <si>
    <t>Субвенція державному бюджету для військової частини А1349 на придбання озброєння та військової техніки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</si>
  <si>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державному бюджету для управління стратегічних розслідувань в Івано-Франківській області Департаменту стратегічних розслідувань Національної поліції України на придбання спецавтомобіля, на виконання Комплексної програми профілактики злочинності в місті до 2024 року</t>
  </si>
  <si>
    <t>Інша діяльність, пов’язана з експлуатацією об’єктів житлово-комунального господарства</t>
  </si>
  <si>
    <t>1216017</t>
  </si>
  <si>
    <t>6017</t>
  </si>
  <si>
    <t>Субвенція обласному бюджету співфінансування на закупівлю засобів навчання, мультимедійного обладнання, комп'ютерного обладнання та меблів для навчальних кабінетів для пілотних класів</t>
  </si>
  <si>
    <t>Субвенція обласному бюджету співфінансування  на закупівлю засобів навчання для навчальних кабінетів закладів загальної середньої освіти комунальної власності, що здійснюють освітній процес за Державним стандартом базової середньої освіти на першому (адаптаційному) циклі базової середньої освіти за очною, поєднанням очної та дистанційної форми здобуття освіти</t>
  </si>
  <si>
    <t>Проект  "Створення інфраструктури для бізнесу, що постраждав від війни"</t>
  </si>
  <si>
    <t>Субвенція Конотопській міській територіальної громаді для проведення поточного ремонту покриття та тротуару по вул.Франківській</t>
  </si>
  <si>
    <t>КП "Простір Інноваційних Креацій "Палац"</t>
  </si>
  <si>
    <t>Субвенція державному бюджету Івано-Франківській КЕЧ району для проведення реставрації частини даху (аварійної ділянки), пам’ятки архітектури місцевого значення, охоронний номер №537/2, будівлі №1 (казарма) військового містечка №17, м. Івано-Франківськ, вул. Чорновола 119а на виконання Довгострокової програми фінансування мобілізаційних заходів та оборонної роботи Івано-Франківської міської ради на 2019-2023 роки</t>
  </si>
  <si>
    <t>Субвенція з обласного бюджету "Придбання будівельних матеріалів з метою проведення ремонтних робіт в приміщеннях культових споруд, які використовуються як укриття в час повітряних тривог для Івано-Франківського архієпархіального управління УГКЦ</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</si>
</sst>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 #,##0.00_₴_-;\-* #,##0.00_₴_-;_-* &quot;-&quot;??_₴_-;_-@_-"/>
    <numFmt numFmtId="165" formatCode="_-* #,##0.00\ _₽_-;\-* #,##0.00\ _₽_-;_-* &quot;-&quot;??\ _₽_-;_-@_-"/>
    <numFmt numFmtId="166" formatCode="0000000"/>
    <numFmt numFmtId="167" formatCode="General_)"/>
    <numFmt numFmtId="168" formatCode="0.0"/>
    <numFmt numFmtId="169" formatCode="#,##0.0"/>
    <numFmt numFmtId="170" formatCode="_-* #,##0\ _₴_-;\-* #,##0\ _₴_-;_-* &quot;-&quot;??\ _₴_-;_-@_-"/>
  </numFmts>
  <fonts count="29" x14ac:knownFonts="1">
    <font>
      <sz val="8"/>
      <name val="Arial"/>
    </font>
    <font>
      <sz val="11"/>
      <color theme="1"/>
      <name val="Calibri"/>
      <family val="2"/>
      <charset val="204"/>
      <scheme val="minor"/>
    </font>
    <font>
      <sz val="8"/>
      <name val="Arial"/>
      <family val="2"/>
    </font>
    <font>
      <sz val="12"/>
      <name val="Courier"/>
      <family val="1"/>
      <charset val="204"/>
    </font>
    <font>
      <sz val="10"/>
      <name val="Times New Roman"/>
      <family val="1"/>
      <charset val="204"/>
    </font>
    <font>
      <b/>
      <sz val="8"/>
      <name val="Times New Roman"/>
      <family val="1"/>
      <charset val="204"/>
    </font>
    <font>
      <b/>
      <sz val="10"/>
      <name val="Times New Roman"/>
      <family val="1"/>
      <charset val="204"/>
    </font>
    <font>
      <sz val="10"/>
      <name val="Helv"/>
      <charset val="204"/>
    </font>
    <font>
      <sz val="9"/>
      <name val="Times New Roman"/>
      <family val="1"/>
      <charset val="204"/>
    </font>
    <font>
      <sz val="8"/>
      <name val="Arial"/>
      <family val="2"/>
      <charset val="204"/>
    </font>
    <font>
      <sz val="8"/>
      <name val="Times New Roman"/>
      <family val="1"/>
      <charset val="204"/>
    </font>
    <font>
      <b/>
      <sz val="14"/>
      <name val="Times New Roman"/>
      <family val="1"/>
      <charset val="204"/>
    </font>
    <font>
      <b/>
      <sz val="7"/>
      <name val="Times New Roman"/>
      <family val="1"/>
      <charset val="204"/>
    </font>
    <font>
      <b/>
      <sz val="9"/>
      <name val="Times New Roman"/>
      <family val="1"/>
      <charset val="204"/>
    </font>
    <font>
      <i/>
      <sz val="9"/>
      <name val="Times New Roman"/>
      <family val="1"/>
      <charset val="204"/>
    </font>
    <font>
      <sz val="10"/>
      <name val="Times New Roman Cyr"/>
      <family val="1"/>
      <charset val="204"/>
    </font>
    <font>
      <sz val="10"/>
      <name val="Arial Cyr"/>
      <charset val="204"/>
    </font>
    <font>
      <sz val="12"/>
      <name val="Times New Roman"/>
      <family val="1"/>
      <charset val="204"/>
    </font>
    <font>
      <b/>
      <u/>
      <sz val="9"/>
      <name val="Times New Roman"/>
      <family val="1"/>
      <charset val="204"/>
    </font>
    <font>
      <b/>
      <sz val="12"/>
      <name val="Times New Roman"/>
      <family val="1"/>
      <charset val="204"/>
    </font>
    <font>
      <sz val="8"/>
      <name val="Arial"/>
      <family val="2"/>
      <charset val="204"/>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theme="0"/>
      <name val="Calibri"/>
      <family val="2"/>
      <charset val="204"/>
      <scheme val="minor"/>
    </font>
    <font>
      <sz val="10"/>
      <name val="Arial"/>
      <family val="2"/>
      <charset val="204"/>
    </font>
    <font>
      <sz val="10"/>
      <name val="Arial"/>
      <family val="2"/>
      <charset val="204"/>
    </font>
    <font>
      <sz val="9"/>
      <color theme="1"/>
      <name val="Times New Roman"/>
      <family val="1"/>
      <charset val="204"/>
    </font>
    <font>
      <sz val="11"/>
      <name val="Times New Roman"/>
      <family val="1"/>
      <charset val="204"/>
    </font>
  </fonts>
  <fills count="12">
    <fill>
      <patternFill patternType="none"/>
    </fill>
    <fill>
      <patternFill patternType="gray125"/>
    </fill>
    <fill>
      <patternFill patternType="solid">
        <fgColor theme="0"/>
        <bgColor indexed="64"/>
      </patternFill>
    </fill>
    <fill>
      <patternFill patternType="solid">
        <fgColor rgb="FFFFFFCC"/>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39997558519241921"/>
        <bgColor indexed="65"/>
      </patternFill>
    </fill>
    <fill>
      <patternFill patternType="solid">
        <fgColor theme="9" tint="0.39997558519241921"/>
        <bgColor indexed="65"/>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B2B2B2"/>
      </left>
      <right style="thin">
        <color rgb="FFB2B2B2"/>
      </right>
      <top style="thin">
        <color rgb="FFB2B2B2"/>
      </top>
      <bottom style="thin">
        <color rgb="FFB2B2B2"/>
      </bottom>
      <diagonal/>
    </border>
  </borders>
  <cellStyleXfs count="33">
    <xf numFmtId="0" fontId="0" fillId="0" borderId="0"/>
    <xf numFmtId="0" fontId="4" fillId="0" borderId="0"/>
    <xf numFmtId="167" fontId="3" fillId="0" borderId="0"/>
    <xf numFmtId="0" fontId="2" fillId="0" borderId="0"/>
    <xf numFmtId="0" fontId="7" fillId="0" borderId="0"/>
    <xf numFmtId="0" fontId="15" fillId="0" borderId="0"/>
    <xf numFmtId="0" fontId="16" fillId="0" borderId="0"/>
    <xf numFmtId="0" fontId="9" fillId="0" borderId="0"/>
    <xf numFmtId="43" fontId="9" fillId="0" borderId="0" applyFont="0" applyFill="0" applyBorder="0" applyAlignment="0" applyProtection="0"/>
    <xf numFmtId="0" fontId="9" fillId="0" borderId="0"/>
    <xf numFmtId="165" fontId="9" fillId="0" borderId="0" applyFont="0" applyFill="0" applyBorder="0" applyAlignment="0" applyProtection="0"/>
    <xf numFmtId="0" fontId="4" fillId="0" borderId="0"/>
    <xf numFmtId="0" fontId="4" fillId="0" borderId="0"/>
    <xf numFmtId="43" fontId="20" fillId="0" borderId="0" applyFont="0" applyFill="0" applyBorder="0" applyAlignment="0" applyProtection="0"/>
    <xf numFmtId="0" fontId="21" fillId="0" borderId="2" applyNumberFormat="0" applyFill="0" applyAlignment="0" applyProtection="0"/>
    <xf numFmtId="0" fontId="22" fillId="0" borderId="3" applyNumberFormat="0" applyFill="0" applyAlignment="0" applyProtection="0"/>
    <xf numFmtId="0" fontId="23" fillId="0" borderId="4" applyNumberFormat="0" applyFill="0" applyAlignment="0" applyProtection="0"/>
    <xf numFmtId="0" fontId="23" fillId="0" borderId="0" applyNumberFormat="0" applyFill="0" applyBorder="0" applyAlignment="0" applyProtection="0"/>
    <xf numFmtId="0" fontId="25" fillId="0" borderId="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9" borderId="0" applyNumberFormat="0" applyBorder="0" applyAlignment="0" applyProtection="0"/>
    <xf numFmtId="0" fontId="1" fillId="7" borderId="0" applyNumberFormat="0" applyBorder="0" applyAlignment="0" applyProtection="0"/>
    <xf numFmtId="0" fontId="24" fillId="8"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6" fillId="0" borderId="0"/>
    <xf numFmtId="0" fontId="26" fillId="0" borderId="0"/>
    <xf numFmtId="0" fontId="1" fillId="0" borderId="0"/>
    <xf numFmtId="0" fontId="1" fillId="3" borderId="5" applyNumberFormat="0" applyFont="0" applyAlignment="0" applyProtection="0"/>
    <xf numFmtId="164" fontId="25" fillId="0" borderId="0" applyFont="0" applyFill="0" applyBorder="0" applyAlignment="0" applyProtection="0"/>
    <xf numFmtId="164" fontId="26" fillId="0" borderId="0" applyFont="0" applyFill="0" applyBorder="0" applyAlignment="0" applyProtection="0"/>
  </cellStyleXfs>
  <cellXfs count="82">
    <xf numFmtId="0" fontId="0" fillId="0" borderId="0" xfId="0"/>
    <xf numFmtId="49" fontId="6" fillId="2" borderId="1" xfId="0" applyNumberFormat="1" applyFont="1" applyFill="1" applyBorder="1" applyAlignment="1">
      <alignment horizontal="center" vertical="center" wrapText="1"/>
    </xf>
    <xf numFmtId="3" fontId="13" fillId="2" borderId="1" xfId="0" applyNumberFormat="1" applyFont="1" applyFill="1" applyBorder="1" applyAlignment="1">
      <alignment horizontal="center" vertical="center"/>
    </xf>
    <xf numFmtId="3" fontId="6" fillId="2" borderId="1" xfId="0" applyNumberFormat="1" applyFont="1" applyFill="1" applyBorder="1" applyAlignment="1">
      <alignment horizontal="center" vertical="center"/>
    </xf>
    <xf numFmtId="0" fontId="6" fillId="2" borderId="0" xfId="0" applyFont="1" applyFill="1" applyAlignment="1">
      <alignment horizontal="left"/>
    </xf>
    <xf numFmtId="3" fontId="8" fillId="2" borderId="1" xfId="0" applyNumberFormat="1" applyFont="1" applyFill="1" applyBorder="1" applyAlignment="1">
      <alignment horizontal="center" vertical="center"/>
    </xf>
    <xf numFmtId="0" fontId="10" fillId="2" borderId="0" xfId="0" applyFont="1" applyFill="1" applyAlignment="1">
      <alignment horizontal="center" vertical="center"/>
    </xf>
    <xf numFmtId="0" fontId="10" fillId="2" borderId="0" xfId="0" applyFont="1" applyFill="1" applyAlignment="1">
      <alignment horizontal="left"/>
    </xf>
    <xf numFmtId="49" fontId="10" fillId="2" borderId="0" xfId="0" applyNumberFormat="1" applyFont="1" applyFill="1" applyAlignment="1">
      <alignment horizontal="center" vertical="center"/>
    </xf>
    <xf numFmtId="0" fontId="10" fillId="2" borderId="0" xfId="0" applyFont="1" applyFill="1" applyAlignment="1">
      <alignment horizontal="left" vertical="top"/>
    </xf>
    <xf numFmtId="3" fontId="8" fillId="2" borderId="0" xfId="0" applyNumberFormat="1" applyFont="1" applyFill="1" applyAlignment="1">
      <alignment horizontal="left"/>
    </xf>
    <xf numFmtId="0" fontId="8" fillId="2" borderId="0" xfId="0" applyFont="1" applyFill="1" applyAlignment="1">
      <alignment horizontal="left"/>
    </xf>
    <xf numFmtId="3" fontId="4" fillId="2" borderId="1" xfId="0" applyNumberFormat="1" applyFont="1" applyFill="1" applyBorder="1" applyAlignment="1">
      <alignment horizontal="center" vertical="center"/>
    </xf>
    <xf numFmtId="0" fontId="5" fillId="2" borderId="0" xfId="0" applyFont="1" applyFill="1" applyAlignment="1">
      <alignment horizontal="left"/>
    </xf>
    <xf numFmtId="0" fontId="10" fillId="2" borderId="0" xfId="0" applyFont="1" applyFill="1"/>
    <xf numFmtId="49" fontId="6" fillId="2" borderId="1" xfId="0" applyNumberFormat="1" applyFont="1" applyFill="1" applyBorder="1" applyAlignment="1">
      <alignment horizontal="center" vertical="center"/>
    </xf>
    <xf numFmtId="0" fontId="8" fillId="2" borderId="1" xfId="0" applyFont="1" applyFill="1" applyBorder="1" applyAlignment="1">
      <alignment horizontal="left" vertical="center" wrapText="1"/>
    </xf>
    <xf numFmtId="166" fontId="6" fillId="2" borderId="1" xfId="0" applyNumberFormat="1" applyFont="1" applyFill="1" applyBorder="1" applyAlignment="1">
      <alignment horizontal="center" vertical="center"/>
    </xf>
    <xf numFmtId="49" fontId="8" fillId="2" borderId="1" xfId="0" applyNumberFormat="1" applyFont="1" applyFill="1" applyBorder="1" applyAlignment="1">
      <alignment horizontal="left" vertical="center" wrapText="1"/>
    </xf>
    <xf numFmtId="168" fontId="8" fillId="2" borderId="1" xfId="4" applyNumberFormat="1" applyFont="1" applyFill="1" applyBorder="1" applyAlignment="1">
      <alignment horizontal="left" vertical="center" wrapText="1"/>
    </xf>
    <xf numFmtId="3" fontId="10" fillId="2" borderId="0" xfId="0" applyNumberFormat="1" applyFont="1" applyFill="1" applyAlignment="1">
      <alignment horizontal="left"/>
    </xf>
    <xf numFmtId="3" fontId="17" fillId="2" borderId="0" xfId="0" applyNumberFormat="1" applyFont="1" applyFill="1" applyAlignment="1">
      <alignment vertical="top" wrapText="1"/>
    </xf>
    <xf numFmtId="0" fontId="17" fillId="2" borderId="0" xfId="0" applyFont="1" applyFill="1" applyAlignment="1">
      <alignment vertical="top" wrapText="1"/>
    </xf>
    <xf numFmtId="3" fontId="10" fillId="2" borderId="0" xfId="0" applyNumberFormat="1" applyFont="1" applyFill="1" applyAlignment="1">
      <alignment horizontal="left" vertical="top"/>
    </xf>
    <xf numFmtId="49" fontId="8" fillId="2" borderId="1" xfId="1" applyNumberFormat="1" applyFont="1" applyFill="1" applyBorder="1" applyAlignment="1">
      <alignment horizontal="center" vertical="center" wrapText="1"/>
    </xf>
    <xf numFmtId="0" fontId="8" fillId="2" borderId="1" xfId="1" applyFont="1" applyFill="1" applyBorder="1" applyAlignment="1">
      <alignment horizontal="justify" vertical="top" wrapText="1"/>
    </xf>
    <xf numFmtId="3" fontId="17" fillId="2" borderId="0" xfId="0" applyNumberFormat="1" applyFont="1" applyFill="1" applyAlignment="1">
      <alignment horizontal="center" vertical="top" wrapText="1"/>
    </xf>
    <xf numFmtId="0" fontId="8" fillId="2" borderId="1" xfId="0" applyFont="1" applyFill="1" applyBorder="1" applyAlignment="1">
      <alignment vertical="center" wrapText="1"/>
    </xf>
    <xf numFmtId="0" fontId="14" fillId="2" borderId="1" xfId="0" applyFont="1" applyFill="1" applyBorder="1" applyAlignment="1">
      <alignment horizontal="left" vertical="center" wrapText="1"/>
    </xf>
    <xf numFmtId="49" fontId="8" fillId="2" borderId="1" xfId="0" applyNumberFormat="1" applyFont="1" applyFill="1" applyBorder="1" applyAlignment="1">
      <alignment vertical="center" wrapText="1"/>
    </xf>
    <xf numFmtId="49" fontId="8" fillId="2" borderId="1" xfId="5" applyNumberFormat="1" applyFont="1" applyFill="1" applyBorder="1" applyAlignment="1">
      <alignment horizontal="left" vertical="center" wrapText="1"/>
    </xf>
    <xf numFmtId="49" fontId="4" fillId="2" borderId="1" xfId="0" applyNumberFormat="1" applyFont="1" applyFill="1" applyBorder="1" applyAlignment="1">
      <alignment vertical="center" wrapText="1"/>
    </xf>
    <xf numFmtId="0" fontId="5" fillId="2" borderId="1" xfId="0" applyFont="1" applyFill="1" applyBorder="1" applyAlignment="1">
      <alignment horizontal="center" vertical="center"/>
    </xf>
    <xf numFmtId="3" fontId="5" fillId="2" borderId="0" xfId="0" applyNumberFormat="1" applyFont="1" applyFill="1" applyAlignment="1">
      <alignment horizontal="center" vertical="center" wrapText="1"/>
    </xf>
    <xf numFmtId="3" fontId="5" fillId="2" borderId="0" xfId="0" applyNumberFormat="1" applyFont="1" applyFill="1" applyAlignment="1">
      <alignment horizontal="center" vertical="center"/>
    </xf>
    <xf numFmtId="3" fontId="5" fillId="2" borderId="0" xfId="0" applyNumberFormat="1" applyFont="1" applyFill="1" applyAlignment="1">
      <alignment horizontal="left"/>
    </xf>
    <xf numFmtId="3" fontId="19" fillId="2" borderId="0" xfId="0" applyNumberFormat="1" applyFont="1" applyFill="1" applyAlignment="1">
      <alignment horizontal="center" vertical="center" wrapText="1"/>
    </xf>
    <xf numFmtId="0" fontId="5" fillId="2" borderId="0" xfId="0" applyFont="1" applyFill="1"/>
    <xf numFmtId="3" fontId="5" fillId="2" borderId="0" xfId="0" applyNumberFormat="1" applyFont="1" applyFill="1" applyAlignment="1">
      <alignment horizontal="left" vertical="top"/>
    </xf>
    <xf numFmtId="49" fontId="8" fillId="2" borderId="1" xfId="7" applyNumberFormat="1" applyFont="1" applyFill="1" applyBorder="1" applyAlignment="1">
      <alignment horizontal="center" vertical="center" wrapText="1"/>
    </xf>
    <xf numFmtId="49" fontId="8" fillId="2" borderId="1" xfId="7" applyNumberFormat="1" applyFont="1" applyFill="1" applyBorder="1" applyAlignment="1">
      <alignment horizontal="center" vertical="center"/>
    </xf>
    <xf numFmtId="0" fontId="6" fillId="2" borderId="1" xfId="0" applyFont="1" applyFill="1" applyBorder="1" applyAlignment="1">
      <alignment horizontal="left" vertical="center" wrapText="1"/>
    </xf>
    <xf numFmtId="167" fontId="8" fillId="2" borderId="1" xfId="2" applyFont="1" applyFill="1" applyBorder="1" applyAlignment="1">
      <alignment horizontal="left" vertical="center" wrapText="1"/>
    </xf>
    <xf numFmtId="1" fontId="6" fillId="2" borderId="1" xfId="0" applyNumberFormat="1" applyFont="1" applyFill="1" applyBorder="1" applyAlignment="1">
      <alignment horizontal="center" vertical="center"/>
    </xf>
    <xf numFmtId="49" fontId="8" fillId="2" borderId="1" xfId="9" applyNumberFormat="1" applyFont="1" applyFill="1" applyBorder="1" applyAlignment="1">
      <alignment horizontal="center" vertical="center"/>
    </xf>
    <xf numFmtId="49" fontId="8" fillId="2" borderId="1" xfId="9" applyNumberFormat="1" applyFont="1" applyFill="1" applyBorder="1" applyAlignment="1">
      <alignment horizontal="center" vertical="center" wrapText="1"/>
    </xf>
    <xf numFmtId="3" fontId="6" fillId="2" borderId="0" xfId="0" applyNumberFormat="1" applyFont="1" applyFill="1" applyAlignment="1">
      <alignment horizontal="left"/>
    </xf>
    <xf numFmtId="3" fontId="5" fillId="2" borderId="0" xfId="0" applyNumberFormat="1" applyFont="1" applyFill="1"/>
    <xf numFmtId="3" fontId="28" fillId="2" borderId="1" xfId="0" applyNumberFormat="1" applyFont="1" applyFill="1" applyBorder="1" applyAlignment="1">
      <alignment horizontal="center" vertical="center"/>
    </xf>
    <xf numFmtId="1" fontId="8" fillId="2" borderId="1" xfId="0" applyNumberFormat="1" applyFont="1" applyFill="1" applyBorder="1" applyAlignment="1">
      <alignment horizontal="center" vertical="center"/>
    </xf>
    <xf numFmtId="169" fontId="8" fillId="2" borderId="1" xfId="0" applyNumberFormat="1" applyFont="1" applyFill="1" applyBorder="1" applyAlignment="1">
      <alignment horizontal="center" vertical="center"/>
    </xf>
    <xf numFmtId="4" fontId="8" fillId="2" borderId="1" xfId="0" applyNumberFormat="1" applyFont="1" applyFill="1" applyBorder="1" applyAlignment="1">
      <alignment horizontal="center" vertical="center"/>
    </xf>
    <xf numFmtId="4" fontId="13" fillId="2" borderId="1" xfId="0" applyNumberFormat="1" applyFont="1" applyFill="1" applyBorder="1" applyAlignment="1">
      <alignment horizontal="center" vertical="center"/>
    </xf>
    <xf numFmtId="170" fontId="10" fillId="2" borderId="0" xfId="13" applyNumberFormat="1" applyFont="1" applyFill="1" applyBorder="1" applyAlignment="1">
      <alignment horizontal="left"/>
    </xf>
    <xf numFmtId="0" fontId="6" fillId="2" borderId="1" xfId="0" applyFont="1" applyFill="1" applyBorder="1" applyAlignment="1">
      <alignment horizontal="center" vertical="center" wrapText="1"/>
    </xf>
    <xf numFmtId="49" fontId="8" fillId="2" borderId="1" xfId="0" applyNumberFormat="1" applyFont="1" applyFill="1" applyBorder="1" applyAlignment="1">
      <alignment horizontal="center" vertical="center"/>
    </xf>
    <xf numFmtId="49" fontId="8" fillId="2" borderId="1" xfId="0" applyNumberFormat="1" applyFont="1" applyFill="1" applyBorder="1" applyAlignment="1">
      <alignment horizontal="center" vertical="center" wrapText="1"/>
    </xf>
    <xf numFmtId="0" fontId="17" fillId="2" borderId="0" xfId="0" applyFont="1" applyFill="1" applyAlignment="1">
      <alignment horizontal="center" vertical="center" wrapText="1"/>
    </xf>
    <xf numFmtId="3" fontId="17" fillId="2" borderId="0" xfId="0" applyNumberFormat="1" applyFont="1" applyFill="1" applyAlignment="1">
      <alignment horizontal="center" vertical="center" wrapText="1"/>
    </xf>
    <xf numFmtId="3" fontId="10" fillId="2" borderId="0" xfId="0" applyNumberFormat="1" applyFont="1" applyFill="1" applyAlignment="1">
      <alignment horizontal="center" vertical="center"/>
    </xf>
    <xf numFmtId="3" fontId="27" fillId="2" borderId="1" xfId="0" applyNumberFormat="1" applyFont="1" applyFill="1" applyBorder="1" applyAlignment="1">
      <alignment horizontal="center" vertical="center"/>
    </xf>
    <xf numFmtId="167" fontId="14" fillId="2" borderId="1" xfId="2" applyFont="1" applyFill="1" applyBorder="1" applyAlignment="1">
      <alignment horizontal="left" vertical="center" wrapText="1"/>
    </xf>
    <xf numFmtId="0" fontId="8" fillId="2" borderId="1" xfId="9" applyFont="1" applyFill="1" applyBorder="1" applyAlignment="1">
      <alignment horizontal="left" vertical="center" wrapText="1"/>
    </xf>
    <xf numFmtId="0" fontId="8" fillId="2" borderId="1" xfId="3" applyFont="1" applyFill="1" applyBorder="1" applyAlignment="1">
      <alignment horizontal="left" vertical="center" wrapText="1"/>
    </xf>
    <xf numFmtId="3" fontId="14" fillId="2" borderId="1" xfId="0" applyNumberFormat="1" applyFont="1" applyFill="1" applyBorder="1" applyAlignment="1">
      <alignment horizontal="center" vertical="center"/>
    </xf>
    <xf numFmtId="49" fontId="8" fillId="2" borderId="1" xfId="18" applyNumberFormat="1" applyFont="1" applyFill="1" applyBorder="1" applyAlignment="1">
      <alignment horizontal="left" vertical="center" wrapText="1"/>
    </xf>
    <xf numFmtId="0" fontId="6" fillId="2" borderId="1" xfId="0" applyFont="1" applyFill="1" applyBorder="1" applyAlignment="1">
      <alignment horizontal="center" vertical="center" wrapText="1"/>
    </xf>
    <xf numFmtId="3" fontId="5" fillId="2" borderId="1" xfId="0" applyNumberFormat="1" applyFont="1" applyFill="1" applyBorder="1" applyAlignment="1">
      <alignment horizontal="center" vertical="center" wrapText="1"/>
    </xf>
    <xf numFmtId="49" fontId="8" fillId="2" borderId="1" xfId="0" applyNumberFormat="1" applyFont="1" applyFill="1" applyBorder="1" applyAlignment="1">
      <alignment horizontal="center" vertical="center"/>
    </xf>
    <xf numFmtId="49" fontId="8" fillId="2" borderId="1" xfId="0" applyNumberFormat="1" applyFont="1" applyFill="1" applyBorder="1" applyAlignment="1">
      <alignment horizontal="center" vertical="center" wrapText="1"/>
    </xf>
    <xf numFmtId="169" fontId="6" fillId="2" borderId="1" xfId="0" applyNumberFormat="1" applyFont="1" applyFill="1" applyBorder="1" applyAlignment="1">
      <alignment horizontal="center" vertical="center"/>
    </xf>
    <xf numFmtId="0" fontId="17" fillId="2" borderId="0" xfId="0" applyFont="1" applyFill="1" applyAlignment="1">
      <alignment horizontal="center" vertical="center" wrapText="1"/>
    </xf>
    <xf numFmtId="3" fontId="17" fillId="2" borderId="0" xfId="0" applyNumberFormat="1" applyFont="1" applyFill="1" applyAlignment="1">
      <alignment horizontal="center" vertical="center" wrapText="1"/>
    </xf>
    <xf numFmtId="0" fontId="6" fillId="2" borderId="1" xfId="0" applyFont="1" applyFill="1" applyBorder="1" applyAlignment="1">
      <alignment horizontal="center" vertical="top" wrapText="1"/>
    </xf>
    <xf numFmtId="0" fontId="6" fillId="2" borderId="1" xfId="0" applyFont="1" applyFill="1" applyBorder="1" applyAlignment="1">
      <alignment horizontal="right" vertical="center"/>
    </xf>
    <xf numFmtId="0" fontId="11" fillId="2" borderId="0" xfId="0" applyFont="1" applyFill="1" applyAlignment="1">
      <alignment horizontal="center" vertical="center" wrapText="1"/>
    </xf>
    <xf numFmtId="3" fontId="10" fillId="2" borderId="0" xfId="0" applyNumberFormat="1" applyFont="1" applyFill="1" applyAlignment="1">
      <alignment horizontal="center" vertical="center"/>
    </xf>
    <xf numFmtId="49" fontId="18" fillId="2" borderId="0" xfId="6" applyNumberFormat="1" applyFont="1" applyFill="1" applyAlignment="1">
      <alignment horizontal="center" vertical="center" wrapText="1"/>
    </xf>
    <xf numFmtId="0" fontId="13" fillId="2" borderId="0" xfId="6" applyFont="1" applyFill="1" applyAlignment="1">
      <alignment horizontal="center" vertical="center" wrapText="1"/>
    </xf>
    <xf numFmtId="0" fontId="12"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cellXfs>
  <cellStyles count="33">
    <cellStyle name="20% – Акцентування1 2" xfId="19"/>
    <cellStyle name="20% – Акцентування2 2" xfId="20"/>
    <cellStyle name="20% – Акцентування3 2" xfId="21"/>
    <cellStyle name="20% – Акцентування4 2" xfId="22"/>
    <cellStyle name="40% – Акцентування3 2" xfId="23"/>
    <cellStyle name="60% – Акцентування3 2" xfId="24"/>
    <cellStyle name="60% – Акцентування4 2" xfId="25"/>
    <cellStyle name="60% – Акцентування6 2" xfId="26"/>
    <cellStyle name="Normal_Доходи" xfId="27"/>
    <cellStyle name="Заголовок 1" xfId="14" builtinId="16" customBuiltin="1"/>
    <cellStyle name="Заголовок 2" xfId="15" builtinId="17" customBuiltin="1"/>
    <cellStyle name="Заголовок 3" xfId="16" builtinId="18" customBuiltin="1"/>
    <cellStyle name="Заголовок 4" xfId="17" builtinId="19" customBuiltin="1"/>
    <cellStyle name="Звичайний 2" xfId="9"/>
    <cellStyle name="Звичайний 2 2" xfId="29"/>
    <cellStyle name="Звичайний 2 3" xfId="28"/>
    <cellStyle name="Звичайний 3" xfId="7"/>
    <cellStyle name="Обычный" xfId="0" builtinId="0"/>
    <cellStyle name="Обычный 2" xfId="12"/>
    <cellStyle name="Обычный 3" xfId="1"/>
    <cellStyle name="Обычный 4" xfId="11"/>
    <cellStyle name="Обычный 5" xfId="18"/>
    <cellStyle name="Обычный_osvita" xfId="2"/>
    <cellStyle name="Обычный_TDSheet" xfId="3"/>
    <cellStyle name="Обычный_Лист1" xfId="5"/>
    <cellStyle name="Обычный_СОЦ-ЕКОН.РОЗВ.2009" xfId="6"/>
    <cellStyle name="Примітка 2" xfId="30"/>
    <cellStyle name="Стиль 1" xfId="4"/>
    <cellStyle name="Финансовый" xfId="13" builtinId="3"/>
    <cellStyle name="Финансовый 2" xfId="31"/>
    <cellStyle name="Фінансовий 2" xfId="10"/>
    <cellStyle name="Фінансовий 2 2" xfId="32"/>
    <cellStyle name="Фінансовий 3" xfId="8"/>
  </cellStyles>
  <dxfs count="0"/>
  <tableStyles count="0" defaultTableStyle="TableStyleMedium9" defaultPivotStyle="PivotStyleLight16"/>
  <colors>
    <mruColors>
      <color rgb="FFCCFF99"/>
      <color rgb="FFFF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fitToPage="1"/>
  </sheetPr>
  <dimension ref="A1:S443"/>
  <sheetViews>
    <sheetView showZeros="0" tabSelected="1" zoomScaleNormal="100" zoomScaleSheetLayoutView="95" workbookViewId="0">
      <pane xSplit="4" ySplit="12" topLeftCell="E28" activePane="bottomRight" state="frozen"/>
      <selection pane="topRight" activeCell="E1" sqref="E1"/>
      <selection pane="bottomLeft" activeCell="A10" sqref="A10"/>
      <selection pane="bottomRight" activeCell="D31" sqref="D31"/>
    </sheetView>
  </sheetViews>
  <sheetFormatPr defaultColWidth="9.1640625" defaultRowHeight="11.25" x14ac:dyDescent="0.2"/>
  <cols>
    <col min="1" max="1" width="14" style="6" customWidth="1"/>
    <col min="2" max="2" width="14.6640625" style="8" customWidth="1"/>
    <col min="3" max="3" width="15.5" style="8" customWidth="1"/>
    <col min="4" max="4" width="48.6640625" style="9" customWidth="1"/>
    <col min="5" max="6" width="18.6640625" style="9" customWidth="1"/>
    <col min="7" max="7" width="17.5" style="9" customWidth="1"/>
    <col min="8" max="8" width="15.83203125" style="9" customWidth="1"/>
    <col min="9" max="9" width="19" style="9" customWidth="1"/>
    <col min="10" max="14" width="15.83203125" style="59" customWidth="1"/>
    <col min="15" max="15" width="19.5" style="59" customWidth="1"/>
    <col min="16" max="16" width="16.33203125" style="34" customWidth="1"/>
    <col min="17" max="18" width="16.33203125" style="37" customWidth="1"/>
    <col min="19" max="19" width="15.1640625" style="14" bestFit="1" customWidth="1"/>
    <col min="20" max="152" width="10.1640625" style="14"/>
    <col min="153" max="402" width="0" style="14" hidden="1" customWidth="1"/>
    <col min="403" max="16384" width="9.1640625" style="14"/>
  </cols>
  <sheetData>
    <row r="1" spans="1:19" s="7" customFormat="1" ht="18.75" x14ac:dyDescent="0.2">
      <c r="A1" s="6"/>
      <c r="B1" s="75" t="s">
        <v>448</v>
      </c>
      <c r="C1" s="75"/>
      <c r="D1" s="75"/>
      <c r="E1" s="75"/>
      <c r="F1" s="75"/>
      <c r="G1" s="75"/>
      <c r="H1" s="75"/>
      <c r="I1" s="75"/>
      <c r="J1" s="75"/>
      <c r="K1" s="75"/>
      <c r="L1" s="75"/>
      <c r="M1" s="75"/>
      <c r="N1" s="75"/>
      <c r="O1" s="59"/>
      <c r="P1" s="33"/>
      <c r="Q1" s="13"/>
      <c r="R1" s="13"/>
    </row>
    <row r="2" spans="1:19" s="7" customFormat="1" ht="18.75" x14ac:dyDescent="0.2">
      <c r="A2" s="6"/>
      <c r="B2" s="75"/>
      <c r="C2" s="75"/>
      <c r="D2" s="75"/>
      <c r="E2" s="75"/>
      <c r="F2" s="75"/>
      <c r="G2" s="75"/>
      <c r="H2" s="75"/>
      <c r="I2" s="75"/>
      <c r="J2" s="75"/>
      <c r="K2" s="75"/>
      <c r="L2" s="75"/>
      <c r="M2" s="75"/>
      <c r="N2" s="75"/>
      <c r="O2" s="59" t="s">
        <v>318</v>
      </c>
      <c r="P2" s="33"/>
      <c r="Q2" s="13"/>
      <c r="R2" s="13"/>
    </row>
    <row r="3" spans="1:19" s="7" customFormat="1" x14ac:dyDescent="0.2">
      <c r="A3" s="6"/>
      <c r="B3" s="8"/>
      <c r="C3" s="8"/>
      <c r="J3" s="59"/>
      <c r="K3" s="59"/>
      <c r="L3" s="59"/>
      <c r="M3" s="59"/>
      <c r="N3" s="59" t="s">
        <v>481</v>
      </c>
      <c r="O3" s="59"/>
      <c r="P3" s="34"/>
      <c r="Q3" s="13"/>
      <c r="R3" s="13"/>
    </row>
    <row r="4" spans="1:19" s="7" customFormat="1" x14ac:dyDescent="0.2">
      <c r="A4" s="6"/>
      <c r="B4" s="8"/>
      <c r="C4" s="8"/>
      <c r="J4" s="59"/>
      <c r="K4" s="59"/>
      <c r="L4" s="59"/>
      <c r="M4" s="59"/>
      <c r="N4" s="76" t="s">
        <v>302</v>
      </c>
      <c r="O4" s="76"/>
      <c r="P4" s="34"/>
      <c r="Q4" s="13"/>
      <c r="R4" s="13"/>
    </row>
    <row r="5" spans="1:19" s="7" customFormat="1" x14ac:dyDescent="0.2">
      <c r="A5" s="6"/>
      <c r="B5" s="8"/>
      <c r="C5" s="8"/>
      <c r="J5" s="59"/>
      <c r="K5" s="59"/>
      <c r="L5" s="59"/>
      <c r="M5" s="59"/>
      <c r="N5" s="59"/>
      <c r="O5" s="59"/>
      <c r="P5" s="34"/>
      <c r="Q5" s="13"/>
      <c r="R5" s="13"/>
    </row>
    <row r="6" spans="1:19" s="7" customFormat="1" ht="12" x14ac:dyDescent="0.2">
      <c r="A6" s="77" t="s">
        <v>461</v>
      </c>
      <c r="B6" s="77"/>
      <c r="C6" s="8"/>
      <c r="J6" s="59"/>
      <c r="K6" s="59"/>
      <c r="L6" s="59"/>
      <c r="M6" s="59"/>
      <c r="N6" s="59"/>
      <c r="O6" s="59"/>
      <c r="P6" s="34"/>
      <c r="Q6" s="13"/>
      <c r="R6" s="13"/>
    </row>
    <row r="7" spans="1:19" s="7" customFormat="1" ht="12" x14ac:dyDescent="0.2">
      <c r="A7" s="78" t="s">
        <v>365</v>
      </c>
      <c r="B7" s="78"/>
      <c r="C7" s="8"/>
      <c r="E7" s="20"/>
      <c r="J7" s="59"/>
      <c r="K7" s="59"/>
      <c r="L7" s="59"/>
      <c r="M7" s="59"/>
      <c r="N7" s="59"/>
      <c r="O7" s="59"/>
      <c r="P7" s="34"/>
      <c r="Q7" s="13"/>
      <c r="R7" s="13"/>
    </row>
    <row r="8" spans="1:19" s="7" customFormat="1" x14ac:dyDescent="0.2">
      <c r="A8" s="6"/>
      <c r="B8" s="8"/>
      <c r="C8" s="8"/>
      <c r="G8" s="20"/>
      <c r="J8" s="59"/>
      <c r="K8" s="59"/>
      <c r="L8" s="59"/>
      <c r="M8" s="59"/>
      <c r="N8" s="59"/>
      <c r="O8" s="59"/>
      <c r="P8" s="34" t="s">
        <v>0</v>
      </c>
      <c r="Q8" s="13"/>
      <c r="R8" s="13"/>
    </row>
    <row r="9" spans="1:19" s="7" customFormat="1" ht="27.75" customHeight="1" x14ac:dyDescent="0.2">
      <c r="A9" s="79" t="s">
        <v>278</v>
      </c>
      <c r="B9" s="80" t="s">
        <v>279</v>
      </c>
      <c r="C9" s="80" t="s">
        <v>280</v>
      </c>
      <c r="D9" s="66" t="s">
        <v>310</v>
      </c>
      <c r="E9" s="81" t="s">
        <v>281</v>
      </c>
      <c r="F9" s="81"/>
      <c r="G9" s="81"/>
      <c r="H9" s="81"/>
      <c r="I9" s="81"/>
      <c r="J9" s="67" t="s">
        <v>282</v>
      </c>
      <c r="K9" s="67"/>
      <c r="L9" s="67"/>
      <c r="M9" s="67"/>
      <c r="N9" s="67"/>
      <c r="O9" s="67"/>
      <c r="P9" s="67" t="s">
        <v>1</v>
      </c>
      <c r="Q9" s="67"/>
      <c r="R9" s="67"/>
    </row>
    <row r="10" spans="1:19" s="7" customFormat="1" ht="27.75" customHeight="1" x14ac:dyDescent="0.2">
      <c r="A10" s="79"/>
      <c r="B10" s="80"/>
      <c r="C10" s="80"/>
      <c r="D10" s="66"/>
      <c r="E10" s="66" t="s">
        <v>485</v>
      </c>
      <c r="F10" s="70" t="s">
        <v>486</v>
      </c>
      <c r="G10" s="70"/>
      <c r="H10" s="70"/>
      <c r="I10" s="66" t="s">
        <v>485</v>
      </c>
      <c r="J10" s="66" t="s">
        <v>485</v>
      </c>
      <c r="K10" s="67" t="s">
        <v>486</v>
      </c>
      <c r="L10" s="67"/>
      <c r="M10" s="67"/>
      <c r="N10" s="67"/>
      <c r="O10" s="66" t="s">
        <v>485</v>
      </c>
      <c r="P10" s="67"/>
      <c r="Q10" s="67"/>
      <c r="R10" s="67"/>
    </row>
    <row r="11" spans="1:19" s="7" customFormat="1" ht="27.75" customHeight="1" x14ac:dyDescent="0.2">
      <c r="A11" s="79"/>
      <c r="B11" s="80"/>
      <c r="C11" s="80"/>
      <c r="D11" s="66"/>
      <c r="E11" s="66"/>
      <c r="F11" s="66" t="s">
        <v>2</v>
      </c>
      <c r="G11" s="66" t="s">
        <v>487</v>
      </c>
      <c r="H11" s="66" t="s">
        <v>51</v>
      </c>
      <c r="I11" s="66"/>
      <c r="J11" s="66"/>
      <c r="K11" s="66" t="s">
        <v>2</v>
      </c>
      <c r="L11" s="66" t="s">
        <v>277</v>
      </c>
      <c r="M11" s="66" t="s">
        <v>488</v>
      </c>
      <c r="N11" s="66" t="s">
        <v>51</v>
      </c>
      <c r="O11" s="66"/>
      <c r="P11" s="73" t="s">
        <v>485</v>
      </c>
      <c r="Q11" s="66" t="s">
        <v>486</v>
      </c>
      <c r="R11" s="66" t="s">
        <v>485</v>
      </c>
    </row>
    <row r="12" spans="1:19" s="7" customFormat="1" ht="27.75" customHeight="1" x14ac:dyDescent="0.2">
      <c r="A12" s="79"/>
      <c r="B12" s="80"/>
      <c r="C12" s="80"/>
      <c r="D12" s="66"/>
      <c r="E12" s="66"/>
      <c r="F12" s="66"/>
      <c r="G12" s="66"/>
      <c r="H12" s="66"/>
      <c r="I12" s="66"/>
      <c r="J12" s="66"/>
      <c r="K12" s="66"/>
      <c r="L12" s="66"/>
      <c r="M12" s="66"/>
      <c r="N12" s="66"/>
      <c r="O12" s="66"/>
      <c r="P12" s="73"/>
      <c r="Q12" s="66"/>
      <c r="R12" s="66"/>
    </row>
    <row r="13" spans="1:19" s="4" customFormat="1" ht="25.5" x14ac:dyDescent="0.2">
      <c r="A13" s="17">
        <v>200000</v>
      </c>
      <c r="B13" s="1"/>
      <c r="C13" s="1"/>
      <c r="D13" s="54" t="s">
        <v>3</v>
      </c>
      <c r="E13" s="3">
        <f>E15+E16+E18+E32+E40+E41+E50+E54+E55+E59+E62+E33+E66+E67</f>
        <v>158364357</v>
      </c>
      <c r="F13" s="3">
        <f>F15+F16+F18+F32+F40+F41+F50+F54+F55+F59+F62+F33+F66+F67</f>
        <v>11569518</v>
      </c>
      <c r="G13" s="3">
        <f>G15+G16+G18+G32+G40+G41+G50+G54+G55+G59+G62+G33+G66+G67</f>
        <v>11569518</v>
      </c>
      <c r="H13" s="3">
        <f>H15+H16+H18+H32+H40+H41+H50+H54+H55+H59+H62+H33+H66+H67</f>
        <v>0</v>
      </c>
      <c r="I13" s="3">
        <f>I15+I16+I18+I32+I40+I41+I50+I54+I55+I59+I62+I33+I66+I67</f>
        <v>169933875</v>
      </c>
      <c r="J13" s="3">
        <f t="shared" ref="J13:O13" si="0">J15+J16+J18+J32+J40+J41+J50+J54+J55+J59+J62+J33+J36+J37</f>
        <v>36942234</v>
      </c>
      <c r="K13" s="3">
        <f t="shared" si="0"/>
        <v>3307382</v>
      </c>
      <c r="L13" s="3">
        <f t="shared" si="0"/>
        <v>3307382</v>
      </c>
      <c r="M13" s="3">
        <f t="shared" si="0"/>
        <v>0</v>
      </c>
      <c r="N13" s="3">
        <f t="shared" si="0"/>
        <v>3307382</v>
      </c>
      <c r="O13" s="3">
        <f t="shared" si="0"/>
        <v>40249616</v>
      </c>
      <c r="P13" s="3">
        <f>E13+J13</f>
        <v>195306591</v>
      </c>
      <c r="Q13" s="3">
        <f>F13+K13</f>
        <v>14876900</v>
      </c>
      <c r="R13" s="3">
        <f>P13+Q13</f>
        <v>210183491</v>
      </c>
      <c r="S13" s="46"/>
    </row>
    <row r="14" spans="1:19" s="4" customFormat="1" ht="25.5" x14ac:dyDescent="0.2">
      <c r="A14" s="17">
        <v>210000</v>
      </c>
      <c r="B14" s="1"/>
      <c r="C14" s="1"/>
      <c r="D14" s="54" t="s">
        <v>3</v>
      </c>
      <c r="E14" s="2"/>
      <c r="F14" s="2"/>
      <c r="G14" s="2"/>
      <c r="H14" s="2"/>
      <c r="I14" s="2"/>
      <c r="J14" s="5"/>
      <c r="K14" s="5"/>
      <c r="L14" s="2"/>
      <c r="M14" s="2"/>
      <c r="N14" s="2"/>
      <c r="O14" s="5"/>
      <c r="P14" s="2"/>
      <c r="Q14" s="2"/>
      <c r="R14" s="2">
        <f t="shared" ref="R14:R69" si="1">P14+Q14</f>
        <v>0</v>
      </c>
    </row>
    <row r="15" spans="1:19" s="11" customFormat="1" ht="36" x14ac:dyDescent="0.2">
      <c r="A15" s="55" t="s">
        <v>218</v>
      </c>
      <c r="B15" s="56" t="s">
        <v>60</v>
      </c>
      <c r="C15" s="56" t="s">
        <v>21</v>
      </c>
      <c r="D15" s="16" t="s">
        <v>447</v>
      </c>
      <c r="E15" s="5">
        <v>74834583</v>
      </c>
      <c r="F15" s="5">
        <f>G15+H15</f>
        <v>4375585</v>
      </c>
      <c r="G15" s="5">
        <f>41955+4210730+122900</f>
        <v>4375585</v>
      </c>
      <c r="H15" s="5"/>
      <c r="I15" s="5">
        <f>E15+F15</f>
        <v>79210168</v>
      </c>
      <c r="J15" s="5">
        <v>80984</v>
      </c>
      <c r="K15" s="5">
        <f>M15+N15</f>
        <v>0</v>
      </c>
      <c r="L15" s="5"/>
      <c r="M15" s="5"/>
      <c r="N15" s="5"/>
      <c r="O15" s="5">
        <f t="shared" ref="O15:O103" si="2">J15+K15</f>
        <v>80984</v>
      </c>
      <c r="P15" s="2">
        <f>E15+J15</f>
        <v>74915567</v>
      </c>
      <c r="Q15" s="2">
        <f>F15+K15</f>
        <v>4375585</v>
      </c>
      <c r="R15" s="2">
        <f t="shared" si="1"/>
        <v>79291152</v>
      </c>
    </row>
    <row r="16" spans="1:19" s="11" customFormat="1" ht="36" x14ac:dyDescent="0.2">
      <c r="A16" s="55" t="s">
        <v>430</v>
      </c>
      <c r="B16" s="56" t="s">
        <v>102</v>
      </c>
      <c r="C16" s="56" t="s">
        <v>431</v>
      </c>
      <c r="D16" s="16" t="s">
        <v>432</v>
      </c>
      <c r="E16" s="5">
        <f>E17</f>
        <v>396000</v>
      </c>
      <c r="F16" s="5">
        <f t="shared" ref="F16:F67" si="3">G16+H16</f>
        <v>0</v>
      </c>
      <c r="G16" s="5"/>
      <c r="H16" s="5"/>
      <c r="I16" s="5">
        <f t="shared" ref="I16:I104" si="4">E16+F16</f>
        <v>396000</v>
      </c>
      <c r="J16" s="5">
        <v>0</v>
      </c>
      <c r="K16" s="5">
        <f t="shared" ref="K16:K65" si="5">M16+N16</f>
        <v>0</v>
      </c>
      <c r="L16" s="5"/>
      <c r="M16" s="5"/>
      <c r="N16" s="5"/>
      <c r="O16" s="5">
        <f t="shared" si="2"/>
        <v>0</v>
      </c>
      <c r="P16" s="2">
        <f t="shared" ref="P16:P85" si="6">E16+J16</f>
        <v>396000</v>
      </c>
      <c r="Q16" s="2">
        <f t="shared" ref="Q16:Q85" si="7">F16+K16</f>
        <v>0</v>
      </c>
      <c r="R16" s="2">
        <f t="shared" si="1"/>
        <v>396000</v>
      </c>
    </row>
    <row r="17" spans="1:18" s="11" customFormat="1" ht="50.25" customHeight="1" x14ac:dyDescent="0.2">
      <c r="A17" s="55"/>
      <c r="B17" s="56"/>
      <c r="C17" s="56"/>
      <c r="D17" s="16" t="s">
        <v>417</v>
      </c>
      <c r="E17" s="5">
        <v>396000</v>
      </c>
      <c r="F17" s="5">
        <f t="shared" si="3"/>
        <v>0</v>
      </c>
      <c r="G17" s="5"/>
      <c r="H17" s="5"/>
      <c r="I17" s="5">
        <f t="shared" si="4"/>
        <v>396000</v>
      </c>
      <c r="J17" s="5">
        <v>0</v>
      </c>
      <c r="K17" s="5">
        <f t="shared" si="5"/>
        <v>0</v>
      </c>
      <c r="L17" s="5"/>
      <c r="M17" s="5"/>
      <c r="N17" s="5"/>
      <c r="O17" s="5">
        <f t="shared" si="2"/>
        <v>0</v>
      </c>
      <c r="P17" s="2">
        <f t="shared" si="6"/>
        <v>396000</v>
      </c>
      <c r="Q17" s="2">
        <f t="shared" si="7"/>
        <v>0</v>
      </c>
      <c r="R17" s="2">
        <f t="shared" si="1"/>
        <v>396000</v>
      </c>
    </row>
    <row r="18" spans="1:18" s="11" customFormat="1" ht="12" x14ac:dyDescent="0.2">
      <c r="A18" s="55" t="s">
        <v>162</v>
      </c>
      <c r="B18" s="56" t="s">
        <v>11</v>
      </c>
      <c r="C18" s="56" t="s">
        <v>13</v>
      </c>
      <c r="D18" s="16" t="s">
        <v>163</v>
      </c>
      <c r="E18" s="5">
        <f>E20+E21+E22+E23+E24+E25+E26+E27+E28+E29+E30+E31</f>
        <v>9379400</v>
      </c>
      <c r="F18" s="5">
        <f>G18+H18</f>
        <v>163830</v>
      </c>
      <c r="G18" s="5">
        <f>G20+G21+G22+G23+G24+G25+G26+G27+G28+G29+G30+G31</f>
        <v>163830</v>
      </c>
      <c r="H18" s="5"/>
      <c r="I18" s="5">
        <f>E18+F18</f>
        <v>9543230</v>
      </c>
      <c r="J18" s="5">
        <v>0</v>
      </c>
      <c r="K18" s="5">
        <f t="shared" si="5"/>
        <v>0</v>
      </c>
      <c r="L18" s="5">
        <f>SUM(L19:L24)</f>
        <v>0</v>
      </c>
      <c r="M18" s="5">
        <f>SUM(M19:M24)</f>
        <v>0</v>
      </c>
      <c r="N18" s="5">
        <f>SUM(N19:N24)</f>
        <v>0</v>
      </c>
      <c r="O18" s="5">
        <f t="shared" si="2"/>
        <v>0</v>
      </c>
      <c r="P18" s="2">
        <f t="shared" si="6"/>
        <v>9379400</v>
      </c>
      <c r="Q18" s="2">
        <f t="shared" si="7"/>
        <v>163830</v>
      </c>
      <c r="R18" s="2">
        <f t="shared" si="1"/>
        <v>9543230</v>
      </c>
    </row>
    <row r="19" spans="1:18" s="11" customFormat="1" ht="12" x14ac:dyDescent="0.2">
      <c r="A19" s="55"/>
      <c r="B19" s="56"/>
      <c r="C19" s="56"/>
      <c r="D19" s="16" t="s">
        <v>176</v>
      </c>
      <c r="E19" s="5"/>
      <c r="F19" s="5">
        <f t="shared" si="3"/>
        <v>0</v>
      </c>
      <c r="G19" s="5"/>
      <c r="H19" s="5"/>
      <c r="I19" s="5">
        <f t="shared" si="4"/>
        <v>0</v>
      </c>
      <c r="J19" s="5">
        <v>0</v>
      </c>
      <c r="K19" s="5">
        <f t="shared" si="5"/>
        <v>0</v>
      </c>
      <c r="L19" s="5"/>
      <c r="M19" s="5"/>
      <c r="N19" s="5"/>
      <c r="O19" s="5">
        <f t="shared" si="2"/>
        <v>0</v>
      </c>
      <c r="P19" s="2">
        <f t="shared" si="6"/>
        <v>0</v>
      </c>
      <c r="Q19" s="2">
        <f t="shared" si="7"/>
        <v>0</v>
      </c>
      <c r="R19" s="2">
        <f t="shared" si="1"/>
        <v>0</v>
      </c>
    </row>
    <row r="20" spans="1:18" s="11" customFormat="1" ht="12" x14ac:dyDescent="0.2">
      <c r="A20" s="55"/>
      <c r="B20" s="56"/>
      <c r="C20" s="56"/>
      <c r="D20" s="18" t="s">
        <v>38</v>
      </c>
      <c r="E20" s="5">
        <v>800000</v>
      </c>
      <c r="F20" s="5">
        <f t="shared" si="3"/>
        <v>0</v>
      </c>
      <c r="G20" s="5"/>
      <c r="H20" s="5"/>
      <c r="I20" s="5">
        <f t="shared" si="4"/>
        <v>800000</v>
      </c>
      <c r="J20" s="5">
        <v>0</v>
      </c>
      <c r="K20" s="5">
        <f t="shared" si="5"/>
        <v>0</v>
      </c>
      <c r="L20" s="5"/>
      <c r="M20" s="5"/>
      <c r="N20" s="5"/>
      <c r="O20" s="5">
        <f t="shared" si="2"/>
        <v>0</v>
      </c>
      <c r="P20" s="2">
        <f t="shared" si="6"/>
        <v>800000</v>
      </c>
      <c r="Q20" s="2">
        <f t="shared" si="7"/>
        <v>0</v>
      </c>
      <c r="R20" s="2">
        <f t="shared" si="1"/>
        <v>800000</v>
      </c>
    </row>
    <row r="21" spans="1:18" s="11" customFormat="1" ht="12" x14ac:dyDescent="0.2">
      <c r="A21" s="55"/>
      <c r="B21" s="56"/>
      <c r="C21" s="56"/>
      <c r="D21" s="18" t="s">
        <v>39</v>
      </c>
      <c r="E21" s="5">
        <f>600000+4200000</f>
        <v>4800000</v>
      </c>
      <c r="F21" s="5">
        <f t="shared" si="3"/>
        <v>203000</v>
      </c>
      <c r="G21" s="5">
        <v>203000</v>
      </c>
      <c r="H21" s="5"/>
      <c r="I21" s="5">
        <f t="shared" si="4"/>
        <v>5003000</v>
      </c>
      <c r="J21" s="5">
        <v>0</v>
      </c>
      <c r="K21" s="5">
        <f t="shared" si="5"/>
        <v>0</v>
      </c>
      <c r="L21" s="5"/>
      <c r="M21" s="5"/>
      <c r="N21" s="5"/>
      <c r="O21" s="5">
        <f t="shared" si="2"/>
        <v>0</v>
      </c>
      <c r="P21" s="2">
        <f t="shared" si="6"/>
        <v>4800000</v>
      </c>
      <c r="Q21" s="2">
        <f t="shared" si="7"/>
        <v>203000</v>
      </c>
      <c r="R21" s="2">
        <f t="shared" si="1"/>
        <v>5003000</v>
      </c>
    </row>
    <row r="22" spans="1:18" s="11" customFormat="1" ht="24" x14ac:dyDescent="0.2">
      <c r="A22" s="55"/>
      <c r="B22" s="56"/>
      <c r="C22" s="56"/>
      <c r="D22" s="18" t="s">
        <v>175</v>
      </c>
      <c r="E22" s="5">
        <v>100000</v>
      </c>
      <c r="F22" s="5">
        <f t="shared" si="3"/>
        <v>0</v>
      </c>
      <c r="G22" s="5"/>
      <c r="H22" s="5"/>
      <c r="I22" s="5">
        <f t="shared" si="4"/>
        <v>100000</v>
      </c>
      <c r="J22" s="5">
        <v>0</v>
      </c>
      <c r="K22" s="5">
        <f t="shared" si="5"/>
        <v>0</v>
      </c>
      <c r="L22" s="5"/>
      <c r="M22" s="5"/>
      <c r="N22" s="5"/>
      <c r="O22" s="5">
        <f t="shared" si="2"/>
        <v>0</v>
      </c>
      <c r="P22" s="2">
        <f t="shared" si="6"/>
        <v>100000</v>
      </c>
      <c r="Q22" s="2">
        <f t="shared" si="7"/>
        <v>0</v>
      </c>
      <c r="R22" s="2">
        <f t="shared" si="1"/>
        <v>100000</v>
      </c>
    </row>
    <row r="23" spans="1:18" s="11" customFormat="1" ht="60" x14ac:dyDescent="0.2">
      <c r="A23" s="55"/>
      <c r="B23" s="56"/>
      <c r="C23" s="56"/>
      <c r="D23" s="18" t="s">
        <v>344</v>
      </c>
      <c r="E23" s="5">
        <v>2549500</v>
      </c>
      <c r="F23" s="5">
        <f t="shared" si="3"/>
        <v>-89070</v>
      </c>
      <c r="G23" s="5">
        <v>-89070</v>
      </c>
      <c r="H23" s="5"/>
      <c r="I23" s="5">
        <f>E23+F23</f>
        <v>2460430</v>
      </c>
      <c r="J23" s="5">
        <v>0</v>
      </c>
      <c r="K23" s="5">
        <f t="shared" si="5"/>
        <v>0</v>
      </c>
      <c r="L23" s="5"/>
      <c r="M23" s="5"/>
      <c r="N23" s="5"/>
      <c r="O23" s="5">
        <f t="shared" si="2"/>
        <v>0</v>
      </c>
      <c r="P23" s="2">
        <f t="shared" si="6"/>
        <v>2549500</v>
      </c>
      <c r="Q23" s="2">
        <f t="shared" si="7"/>
        <v>-89070</v>
      </c>
      <c r="R23" s="2">
        <f t="shared" si="1"/>
        <v>2460430</v>
      </c>
    </row>
    <row r="24" spans="1:18" s="11" customFormat="1" ht="36" x14ac:dyDescent="0.2">
      <c r="A24" s="55"/>
      <c r="B24" s="56"/>
      <c r="C24" s="56"/>
      <c r="D24" s="18" t="s">
        <v>443</v>
      </c>
      <c r="E24" s="5">
        <v>10000</v>
      </c>
      <c r="F24" s="5">
        <f t="shared" si="3"/>
        <v>0</v>
      </c>
      <c r="G24" s="5"/>
      <c r="H24" s="5"/>
      <c r="I24" s="5">
        <f t="shared" si="4"/>
        <v>10000</v>
      </c>
      <c r="J24" s="5">
        <v>0</v>
      </c>
      <c r="K24" s="5">
        <f t="shared" si="5"/>
        <v>0</v>
      </c>
      <c r="L24" s="5"/>
      <c r="M24" s="5"/>
      <c r="N24" s="5"/>
      <c r="O24" s="5">
        <f t="shared" si="2"/>
        <v>0</v>
      </c>
      <c r="P24" s="2">
        <f t="shared" si="6"/>
        <v>10000</v>
      </c>
      <c r="Q24" s="2">
        <f t="shared" si="7"/>
        <v>0</v>
      </c>
      <c r="R24" s="2">
        <f t="shared" si="1"/>
        <v>10000</v>
      </c>
    </row>
    <row r="25" spans="1:18" s="11" customFormat="1" ht="12" x14ac:dyDescent="0.2">
      <c r="A25" s="55"/>
      <c r="B25" s="56"/>
      <c r="C25" s="56"/>
      <c r="D25" s="18" t="s">
        <v>320</v>
      </c>
      <c r="E25" s="5">
        <v>99900</v>
      </c>
      <c r="F25" s="5">
        <f t="shared" si="3"/>
        <v>49900</v>
      </c>
      <c r="G25" s="5">
        <f>49900</f>
        <v>49900</v>
      </c>
      <c r="H25" s="5"/>
      <c r="I25" s="5">
        <f t="shared" si="4"/>
        <v>149800</v>
      </c>
      <c r="J25" s="5"/>
      <c r="K25" s="5"/>
      <c r="L25" s="5"/>
      <c r="M25" s="5"/>
      <c r="N25" s="5"/>
      <c r="O25" s="5"/>
      <c r="P25" s="2">
        <f t="shared" si="6"/>
        <v>99900</v>
      </c>
      <c r="Q25" s="2">
        <f t="shared" si="7"/>
        <v>49900</v>
      </c>
      <c r="R25" s="2">
        <f t="shared" si="1"/>
        <v>149800</v>
      </c>
    </row>
    <row r="26" spans="1:18" s="11" customFormat="1" ht="35.25" customHeight="1" x14ac:dyDescent="0.2">
      <c r="A26" s="55"/>
      <c r="B26" s="56"/>
      <c r="C26" s="56"/>
      <c r="D26" s="18" t="s">
        <v>558</v>
      </c>
      <c r="E26" s="5">
        <v>30000</v>
      </c>
      <c r="F26" s="5">
        <f t="shared" si="3"/>
        <v>0</v>
      </c>
      <c r="G26" s="5"/>
      <c r="H26" s="5"/>
      <c r="I26" s="5">
        <f t="shared" si="4"/>
        <v>30000</v>
      </c>
      <c r="J26" s="5"/>
      <c r="K26" s="5"/>
      <c r="L26" s="5"/>
      <c r="M26" s="5"/>
      <c r="N26" s="5"/>
      <c r="O26" s="5"/>
      <c r="P26" s="2">
        <f t="shared" si="6"/>
        <v>30000</v>
      </c>
      <c r="Q26" s="2">
        <f t="shared" si="7"/>
        <v>0</v>
      </c>
      <c r="R26" s="2">
        <f t="shared" si="1"/>
        <v>30000</v>
      </c>
    </row>
    <row r="27" spans="1:18" s="11" customFormat="1" ht="49.5" customHeight="1" x14ac:dyDescent="0.2">
      <c r="A27" s="55"/>
      <c r="B27" s="56"/>
      <c r="C27" s="56"/>
      <c r="D27" s="18" t="s">
        <v>632</v>
      </c>
      <c r="E27" s="5">
        <v>100000</v>
      </c>
      <c r="F27" s="5">
        <f t="shared" si="3"/>
        <v>0</v>
      </c>
      <c r="G27" s="5"/>
      <c r="H27" s="5"/>
      <c r="I27" s="5">
        <f t="shared" si="4"/>
        <v>100000</v>
      </c>
      <c r="J27" s="5"/>
      <c r="K27" s="5"/>
      <c r="L27" s="5"/>
      <c r="M27" s="5"/>
      <c r="N27" s="5"/>
      <c r="O27" s="5"/>
      <c r="P27" s="2">
        <f t="shared" si="6"/>
        <v>100000</v>
      </c>
      <c r="Q27" s="2">
        <f t="shared" si="7"/>
        <v>0</v>
      </c>
      <c r="R27" s="2">
        <f t="shared" si="1"/>
        <v>100000</v>
      </c>
    </row>
    <row r="28" spans="1:18" s="11" customFormat="1" ht="26.25" customHeight="1" x14ac:dyDescent="0.2">
      <c r="A28" s="55"/>
      <c r="B28" s="56"/>
      <c r="C28" s="56"/>
      <c r="D28" s="18" t="s">
        <v>557</v>
      </c>
      <c r="E28" s="5">
        <v>90000</v>
      </c>
      <c r="F28" s="5">
        <f t="shared" si="3"/>
        <v>0</v>
      </c>
      <c r="G28" s="5"/>
      <c r="H28" s="5"/>
      <c r="I28" s="5">
        <f t="shared" si="4"/>
        <v>90000</v>
      </c>
      <c r="J28" s="5"/>
      <c r="K28" s="5"/>
      <c r="L28" s="5"/>
      <c r="M28" s="5"/>
      <c r="N28" s="5"/>
      <c r="O28" s="5"/>
      <c r="P28" s="2">
        <f t="shared" si="6"/>
        <v>90000</v>
      </c>
      <c r="Q28" s="2">
        <f t="shared" si="7"/>
        <v>0</v>
      </c>
      <c r="R28" s="2">
        <f t="shared" si="1"/>
        <v>90000</v>
      </c>
    </row>
    <row r="29" spans="1:18" s="11" customFormat="1" ht="51.75" customHeight="1" x14ac:dyDescent="0.2">
      <c r="A29" s="55"/>
      <c r="B29" s="56"/>
      <c r="C29" s="56"/>
      <c r="D29" s="18" t="s">
        <v>645</v>
      </c>
      <c r="E29" s="5">
        <v>200000</v>
      </c>
      <c r="F29" s="5">
        <f t="shared" si="3"/>
        <v>0</v>
      </c>
      <c r="G29" s="5"/>
      <c r="H29" s="5"/>
      <c r="I29" s="5">
        <f t="shared" si="4"/>
        <v>200000</v>
      </c>
      <c r="J29" s="5"/>
      <c r="K29" s="5"/>
      <c r="L29" s="5"/>
      <c r="M29" s="5"/>
      <c r="N29" s="5"/>
      <c r="O29" s="5"/>
      <c r="P29" s="2">
        <f t="shared" si="6"/>
        <v>200000</v>
      </c>
      <c r="Q29" s="2">
        <f t="shared" si="7"/>
        <v>0</v>
      </c>
      <c r="R29" s="2">
        <f t="shared" si="1"/>
        <v>200000</v>
      </c>
    </row>
    <row r="30" spans="1:18" s="11" customFormat="1" ht="72.75" customHeight="1" x14ac:dyDescent="0.2">
      <c r="A30" s="55"/>
      <c r="B30" s="56"/>
      <c r="C30" s="56"/>
      <c r="D30" s="18" t="s">
        <v>666</v>
      </c>
      <c r="E30" s="5">
        <v>500000</v>
      </c>
      <c r="F30" s="5">
        <f t="shared" si="3"/>
        <v>0</v>
      </c>
      <c r="G30" s="5"/>
      <c r="H30" s="5"/>
      <c r="I30" s="5">
        <f t="shared" si="4"/>
        <v>500000</v>
      </c>
      <c r="J30" s="5"/>
      <c r="K30" s="5"/>
      <c r="L30" s="5"/>
      <c r="M30" s="5"/>
      <c r="N30" s="5"/>
      <c r="O30" s="5"/>
      <c r="P30" s="2">
        <f t="shared" si="6"/>
        <v>500000</v>
      </c>
      <c r="Q30" s="2">
        <f t="shared" si="7"/>
        <v>0</v>
      </c>
      <c r="R30" s="2">
        <f t="shared" si="1"/>
        <v>500000</v>
      </c>
    </row>
    <row r="31" spans="1:18" s="11" customFormat="1" ht="51.75" customHeight="1" x14ac:dyDescent="0.2">
      <c r="A31" s="55"/>
      <c r="B31" s="56"/>
      <c r="C31" s="56"/>
      <c r="D31" s="18" t="s">
        <v>646</v>
      </c>
      <c r="E31" s="5">
        <v>100000</v>
      </c>
      <c r="F31" s="5">
        <f t="shared" si="3"/>
        <v>0</v>
      </c>
      <c r="G31" s="5"/>
      <c r="H31" s="5"/>
      <c r="I31" s="5">
        <f t="shared" si="4"/>
        <v>100000</v>
      </c>
      <c r="J31" s="5"/>
      <c r="K31" s="5"/>
      <c r="L31" s="5"/>
      <c r="M31" s="5"/>
      <c r="N31" s="5"/>
      <c r="O31" s="5"/>
      <c r="P31" s="2">
        <f t="shared" si="6"/>
        <v>100000</v>
      </c>
      <c r="Q31" s="2">
        <f t="shared" si="7"/>
        <v>0</v>
      </c>
      <c r="R31" s="2">
        <f t="shared" si="1"/>
        <v>100000</v>
      </c>
    </row>
    <row r="32" spans="1:18" s="11" customFormat="1" ht="12" x14ac:dyDescent="0.2">
      <c r="A32" s="55" t="s">
        <v>265</v>
      </c>
      <c r="B32" s="56" t="s">
        <v>266</v>
      </c>
      <c r="C32" s="56" t="s">
        <v>209</v>
      </c>
      <c r="D32" s="16" t="s">
        <v>208</v>
      </c>
      <c r="E32" s="5">
        <v>400000</v>
      </c>
      <c r="F32" s="5">
        <f t="shared" si="3"/>
        <v>0</v>
      </c>
      <c r="G32" s="5"/>
      <c r="H32" s="5"/>
      <c r="I32" s="5">
        <f t="shared" si="4"/>
        <v>400000</v>
      </c>
      <c r="J32" s="5">
        <v>0</v>
      </c>
      <c r="K32" s="5">
        <f t="shared" si="5"/>
        <v>0</v>
      </c>
      <c r="L32" s="5"/>
      <c r="M32" s="5"/>
      <c r="N32" s="5"/>
      <c r="O32" s="5">
        <f t="shared" si="2"/>
        <v>0</v>
      </c>
      <c r="P32" s="2">
        <f t="shared" si="6"/>
        <v>400000</v>
      </c>
      <c r="Q32" s="2">
        <f t="shared" si="7"/>
        <v>0</v>
      </c>
      <c r="R32" s="2">
        <f t="shared" si="1"/>
        <v>400000</v>
      </c>
    </row>
    <row r="33" spans="1:18" s="11" customFormat="1" ht="12" x14ac:dyDescent="0.2">
      <c r="A33" s="55" t="s">
        <v>479</v>
      </c>
      <c r="B33" s="56" t="s">
        <v>423</v>
      </c>
      <c r="C33" s="56" t="s">
        <v>198</v>
      </c>
      <c r="D33" s="16" t="s">
        <v>424</v>
      </c>
      <c r="E33" s="5">
        <v>1500000</v>
      </c>
      <c r="F33" s="5">
        <f t="shared" si="3"/>
        <v>0</v>
      </c>
      <c r="G33" s="5"/>
      <c r="H33" s="5"/>
      <c r="I33" s="5">
        <f t="shared" si="4"/>
        <v>1500000</v>
      </c>
      <c r="J33" s="5">
        <v>0</v>
      </c>
      <c r="K33" s="5">
        <f t="shared" si="5"/>
        <v>0</v>
      </c>
      <c r="L33" s="5"/>
      <c r="M33" s="5"/>
      <c r="N33" s="5"/>
      <c r="O33" s="5">
        <f t="shared" si="2"/>
        <v>0</v>
      </c>
      <c r="P33" s="2">
        <f t="shared" si="6"/>
        <v>1500000</v>
      </c>
      <c r="Q33" s="2">
        <f t="shared" si="7"/>
        <v>0</v>
      </c>
      <c r="R33" s="2">
        <f t="shared" si="1"/>
        <v>1500000</v>
      </c>
    </row>
    <row r="34" spans="1:18" s="11" customFormat="1" ht="12" x14ac:dyDescent="0.2">
      <c r="A34" s="55"/>
      <c r="B34" s="56"/>
      <c r="C34" s="56"/>
      <c r="D34" s="19" t="s">
        <v>190</v>
      </c>
      <c r="E34" s="5"/>
      <c r="F34" s="5">
        <f t="shared" si="3"/>
        <v>0</v>
      </c>
      <c r="G34" s="5"/>
      <c r="H34" s="5"/>
      <c r="I34" s="5">
        <f t="shared" si="4"/>
        <v>0</v>
      </c>
      <c r="J34" s="5">
        <v>0</v>
      </c>
      <c r="K34" s="5">
        <f t="shared" si="5"/>
        <v>0</v>
      </c>
      <c r="L34" s="5"/>
      <c r="M34" s="5"/>
      <c r="N34" s="5"/>
      <c r="O34" s="5">
        <f t="shared" si="2"/>
        <v>0</v>
      </c>
      <c r="P34" s="2">
        <f t="shared" si="6"/>
        <v>0</v>
      </c>
      <c r="Q34" s="2">
        <f t="shared" si="7"/>
        <v>0</v>
      </c>
      <c r="R34" s="2">
        <f t="shared" si="1"/>
        <v>0</v>
      </c>
    </row>
    <row r="35" spans="1:18" s="11" customFormat="1" ht="24" x14ac:dyDescent="0.2">
      <c r="A35" s="55"/>
      <c r="B35" s="56"/>
      <c r="C35" s="56"/>
      <c r="D35" s="16" t="s">
        <v>476</v>
      </c>
      <c r="E35" s="5">
        <v>1500000</v>
      </c>
      <c r="F35" s="5">
        <f t="shared" si="3"/>
        <v>0</v>
      </c>
      <c r="G35" s="5"/>
      <c r="H35" s="5"/>
      <c r="I35" s="5">
        <f t="shared" si="4"/>
        <v>1500000</v>
      </c>
      <c r="J35" s="5">
        <v>0</v>
      </c>
      <c r="K35" s="5">
        <f t="shared" si="5"/>
        <v>0</v>
      </c>
      <c r="L35" s="5"/>
      <c r="M35" s="5"/>
      <c r="N35" s="5"/>
      <c r="O35" s="5">
        <f t="shared" si="2"/>
        <v>0</v>
      </c>
      <c r="P35" s="2">
        <f t="shared" si="6"/>
        <v>1500000</v>
      </c>
      <c r="Q35" s="2">
        <f t="shared" si="7"/>
        <v>0</v>
      </c>
      <c r="R35" s="2">
        <f t="shared" si="1"/>
        <v>1500000</v>
      </c>
    </row>
    <row r="36" spans="1:18" s="11" customFormat="1" ht="12" x14ac:dyDescent="0.2">
      <c r="A36" s="55" t="s">
        <v>489</v>
      </c>
      <c r="B36" s="56" t="s">
        <v>229</v>
      </c>
      <c r="C36" s="56" t="s">
        <v>203</v>
      </c>
      <c r="D36" s="16" t="s">
        <v>490</v>
      </c>
      <c r="E36" s="5"/>
      <c r="F36" s="5"/>
      <c r="G36" s="5"/>
      <c r="H36" s="5"/>
      <c r="I36" s="5"/>
      <c r="J36" s="5">
        <v>2190923</v>
      </c>
      <c r="K36" s="5">
        <f>M36+N36</f>
        <v>-233</v>
      </c>
      <c r="L36" s="5">
        <f>-233</f>
        <v>-233</v>
      </c>
      <c r="M36" s="5"/>
      <c r="N36" s="5">
        <f>-233</f>
        <v>-233</v>
      </c>
      <c r="O36" s="5">
        <f t="shared" ref="O36:O37" si="8">K36+J36</f>
        <v>2190690</v>
      </c>
      <c r="P36" s="2">
        <f t="shared" si="6"/>
        <v>2190923</v>
      </c>
      <c r="Q36" s="2">
        <f t="shared" si="7"/>
        <v>-233</v>
      </c>
      <c r="R36" s="2">
        <f t="shared" si="1"/>
        <v>2190690</v>
      </c>
    </row>
    <row r="37" spans="1:18" s="11" customFormat="1" ht="24" x14ac:dyDescent="0.2">
      <c r="A37" s="55" t="s">
        <v>491</v>
      </c>
      <c r="B37" s="56" t="s">
        <v>78</v>
      </c>
      <c r="C37" s="56" t="s">
        <v>24</v>
      </c>
      <c r="D37" s="16" t="s">
        <v>52</v>
      </c>
      <c r="E37" s="5"/>
      <c r="F37" s="5"/>
      <c r="G37" s="5"/>
      <c r="H37" s="5"/>
      <c r="I37" s="5"/>
      <c r="J37" s="5">
        <v>99000</v>
      </c>
      <c r="K37" s="5">
        <f>M37+N37</f>
        <v>0</v>
      </c>
      <c r="L37" s="5"/>
      <c r="M37" s="5"/>
      <c r="N37" s="5"/>
      <c r="O37" s="5">
        <f t="shared" si="8"/>
        <v>99000</v>
      </c>
      <c r="P37" s="2">
        <f t="shared" si="6"/>
        <v>99000</v>
      </c>
      <c r="Q37" s="2">
        <f t="shared" si="7"/>
        <v>0</v>
      </c>
      <c r="R37" s="2">
        <f t="shared" si="1"/>
        <v>99000</v>
      </c>
    </row>
    <row r="38" spans="1:18" s="11" customFormat="1" ht="12" x14ac:dyDescent="0.2">
      <c r="A38" s="55"/>
      <c r="B38" s="56"/>
      <c r="C38" s="56"/>
      <c r="D38" s="16" t="s">
        <v>574</v>
      </c>
      <c r="E38" s="5"/>
      <c r="F38" s="5"/>
      <c r="G38" s="5"/>
      <c r="H38" s="5"/>
      <c r="I38" s="5"/>
      <c r="J38" s="5">
        <v>0</v>
      </c>
      <c r="K38" s="5">
        <f t="shared" ref="K38:K39" si="9">M38+N38</f>
        <v>0</v>
      </c>
      <c r="L38" s="5"/>
      <c r="M38" s="5"/>
      <c r="N38" s="5"/>
      <c r="O38" s="5">
        <f t="shared" ref="O38:O39" si="10">K38+J38</f>
        <v>0</v>
      </c>
      <c r="P38" s="2">
        <f t="shared" si="6"/>
        <v>0</v>
      </c>
      <c r="Q38" s="2">
        <f t="shared" si="7"/>
        <v>0</v>
      </c>
      <c r="R38" s="2">
        <f t="shared" si="1"/>
        <v>0</v>
      </c>
    </row>
    <row r="39" spans="1:18" s="11" customFormat="1" ht="12" x14ac:dyDescent="0.2">
      <c r="A39" s="55"/>
      <c r="B39" s="56"/>
      <c r="C39" s="56"/>
      <c r="D39" s="16" t="s">
        <v>604</v>
      </c>
      <c r="E39" s="5"/>
      <c r="F39" s="5"/>
      <c r="G39" s="5"/>
      <c r="H39" s="5"/>
      <c r="I39" s="5"/>
      <c r="J39" s="5">
        <v>99000</v>
      </c>
      <c r="K39" s="5">
        <f t="shared" si="9"/>
        <v>0</v>
      </c>
      <c r="L39" s="5"/>
      <c r="M39" s="5"/>
      <c r="N39" s="5"/>
      <c r="O39" s="5">
        <f t="shared" si="10"/>
        <v>99000</v>
      </c>
      <c r="P39" s="2">
        <f t="shared" si="6"/>
        <v>99000</v>
      </c>
      <c r="Q39" s="2">
        <f t="shared" si="7"/>
        <v>0</v>
      </c>
      <c r="R39" s="2">
        <f t="shared" si="1"/>
        <v>99000</v>
      </c>
    </row>
    <row r="40" spans="1:18" s="11" customFormat="1" ht="24" x14ac:dyDescent="0.2">
      <c r="A40" s="55" t="s">
        <v>164</v>
      </c>
      <c r="B40" s="56" t="s">
        <v>165</v>
      </c>
      <c r="C40" s="56" t="s">
        <v>24</v>
      </c>
      <c r="D40" s="18" t="s">
        <v>177</v>
      </c>
      <c r="E40" s="5">
        <v>1987533</v>
      </c>
      <c r="F40" s="5">
        <f t="shared" si="3"/>
        <v>0</v>
      </c>
      <c r="G40" s="5"/>
      <c r="H40" s="5"/>
      <c r="I40" s="5">
        <f t="shared" si="4"/>
        <v>1987533</v>
      </c>
      <c r="J40" s="5">
        <v>0</v>
      </c>
      <c r="K40" s="5">
        <f t="shared" si="5"/>
        <v>0</v>
      </c>
      <c r="L40" s="5"/>
      <c r="M40" s="5"/>
      <c r="N40" s="5"/>
      <c r="O40" s="5">
        <f t="shared" si="2"/>
        <v>0</v>
      </c>
      <c r="P40" s="2">
        <f t="shared" si="6"/>
        <v>1987533</v>
      </c>
      <c r="Q40" s="2">
        <f t="shared" si="7"/>
        <v>0</v>
      </c>
      <c r="R40" s="2">
        <f t="shared" si="1"/>
        <v>1987533</v>
      </c>
    </row>
    <row r="41" spans="1:18" s="11" customFormat="1" ht="12" x14ac:dyDescent="0.2">
      <c r="A41" s="55" t="s">
        <v>290</v>
      </c>
      <c r="B41" s="55" t="s">
        <v>276</v>
      </c>
      <c r="C41" s="56" t="s">
        <v>24</v>
      </c>
      <c r="D41" s="19" t="s">
        <v>189</v>
      </c>
      <c r="E41" s="5">
        <f>E43+E44+E45+E46+E47+E48+E49</f>
        <v>4531032</v>
      </c>
      <c r="F41" s="5">
        <f t="shared" si="3"/>
        <v>-1280000</v>
      </c>
      <c r="G41" s="5">
        <f>G43+G44+G45+G46+G47+G48+G49</f>
        <v>-1280000</v>
      </c>
      <c r="H41" s="5"/>
      <c r="I41" s="5">
        <f t="shared" si="4"/>
        <v>3251032</v>
      </c>
      <c r="J41" s="5">
        <v>6908968</v>
      </c>
      <c r="K41" s="5">
        <f>M41+N41</f>
        <v>0</v>
      </c>
      <c r="L41" s="5">
        <f>SUM(L42:L49)</f>
        <v>0</v>
      </c>
      <c r="M41" s="5">
        <f t="shared" ref="M41:N41" si="11">SUM(M42:M49)</f>
        <v>0</v>
      </c>
      <c r="N41" s="5">
        <f t="shared" si="11"/>
        <v>0</v>
      </c>
      <c r="O41" s="5">
        <f>J41+K41</f>
        <v>6908968</v>
      </c>
      <c r="P41" s="2">
        <f t="shared" si="6"/>
        <v>11440000</v>
      </c>
      <c r="Q41" s="2">
        <f t="shared" si="7"/>
        <v>-1280000</v>
      </c>
      <c r="R41" s="2">
        <f t="shared" si="1"/>
        <v>10160000</v>
      </c>
    </row>
    <row r="42" spans="1:18" s="11" customFormat="1" ht="12" x14ac:dyDescent="0.2">
      <c r="A42" s="55"/>
      <c r="B42" s="55"/>
      <c r="C42" s="56"/>
      <c r="D42" s="19" t="s">
        <v>190</v>
      </c>
      <c r="E42" s="5"/>
      <c r="F42" s="5">
        <f t="shared" si="3"/>
        <v>0</v>
      </c>
      <c r="G42" s="5"/>
      <c r="H42" s="5"/>
      <c r="I42" s="5">
        <f t="shared" si="4"/>
        <v>0</v>
      </c>
      <c r="J42" s="5">
        <v>0</v>
      </c>
      <c r="K42" s="5">
        <f t="shared" si="5"/>
        <v>0</v>
      </c>
      <c r="L42" s="5"/>
      <c r="M42" s="5"/>
      <c r="N42" s="5"/>
      <c r="O42" s="5">
        <f t="shared" si="2"/>
        <v>0</v>
      </c>
      <c r="P42" s="2">
        <f t="shared" si="6"/>
        <v>0</v>
      </c>
      <c r="Q42" s="2">
        <f t="shared" si="7"/>
        <v>0</v>
      </c>
      <c r="R42" s="2">
        <f t="shared" si="1"/>
        <v>0</v>
      </c>
    </row>
    <row r="43" spans="1:18" s="11" customFormat="1" ht="24" x14ac:dyDescent="0.2">
      <c r="A43" s="55"/>
      <c r="B43" s="55"/>
      <c r="C43" s="56"/>
      <c r="D43" s="18" t="s">
        <v>418</v>
      </c>
      <c r="E43" s="5">
        <v>171032</v>
      </c>
      <c r="F43" s="5">
        <f t="shared" si="3"/>
        <v>0</v>
      </c>
      <c r="G43" s="5"/>
      <c r="H43" s="5"/>
      <c r="I43" s="5">
        <f t="shared" si="4"/>
        <v>171032</v>
      </c>
      <c r="J43" s="5">
        <v>6908968</v>
      </c>
      <c r="K43" s="5">
        <f t="shared" si="5"/>
        <v>0</v>
      </c>
      <c r="L43" s="5"/>
      <c r="M43" s="5"/>
      <c r="N43" s="5"/>
      <c r="O43" s="5">
        <f>J43+K43</f>
        <v>6908968</v>
      </c>
      <c r="P43" s="2">
        <f t="shared" si="6"/>
        <v>7080000</v>
      </c>
      <c r="Q43" s="2">
        <f t="shared" si="7"/>
        <v>0</v>
      </c>
      <c r="R43" s="2">
        <f t="shared" si="1"/>
        <v>7080000</v>
      </c>
    </row>
    <row r="44" spans="1:18" s="11" customFormat="1" ht="24" x14ac:dyDescent="0.2">
      <c r="A44" s="55"/>
      <c r="B44" s="55"/>
      <c r="C44" s="56"/>
      <c r="D44" s="18" t="s">
        <v>347</v>
      </c>
      <c r="E44" s="5">
        <v>2800000</v>
      </c>
      <c r="F44" s="5">
        <f t="shared" si="3"/>
        <v>-920000</v>
      </c>
      <c r="G44" s="5">
        <f>-670000-250000</f>
        <v>-920000</v>
      </c>
      <c r="H44" s="5"/>
      <c r="I44" s="5">
        <f t="shared" si="4"/>
        <v>1880000</v>
      </c>
      <c r="J44" s="5">
        <v>0</v>
      </c>
      <c r="K44" s="5">
        <f t="shared" si="5"/>
        <v>0</v>
      </c>
      <c r="L44" s="5"/>
      <c r="M44" s="5"/>
      <c r="N44" s="5"/>
      <c r="O44" s="5">
        <f t="shared" si="2"/>
        <v>0</v>
      </c>
      <c r="P44" s="2">
        <f t="shared" si="6"/>
        <v>2800000</v>
      </c>
      <c r="Q44" s="2">
        <f t="shared" si="7"/>
        <v>-920000</v>
      </c>
      <c r="R44" s="2">
        <f t="shared" si="1"/>
        <v>1880000</v>
      </c>
    </row>
    <row r="45" spans="1:18" s="11" customFormat="1" ht="24" x14ac:dyDescent="0.2">
      <c r="A45" s="55"/>
      <c r="B45" s="55"/>
      <c r="C45" s="56"/>
      <c r="D45" s="18" t="s">
        <v>419</v>
      </c>
      <c r="E45" s="5">
        <v>100000</v>
      </c>
      <c r="F45" s="5">
        <f t="shared" si="3"/>
        <v>-100000</v>
      </c>
      <c r="G45" s="5">
        <v>-100000</v>
      </c>
      <c r="H45" s="5"/>
      <c r="I45" s="5">
        <f t="shared" si="4"/>
        <v>0</v>
      </c>
      <c r="J45" s="5">
        <v>0</v>
      </c>
      <c r="K45" s="5">
        <f t="shared" si="5"/>
        <v>0</v>
      </c>
      <c r="L45" s="5"/>
      <c r="M45" s="5"/>
      <c r="N45" s="5"/>
      <c r="O45" s="5">
        <f t="shared" si="2"/>
        <v>0</v>
      </c>
      <c r="P45" s="2">
        <f t="shared" si="6"/>
        <v>100000</v>
      </c>
      <c r="Q45" s="2">
        <f t="shared" si="7"/>
        <v>-100000</v>
      </c>
      <c r="R45" s="2">
        <f t="shared" si="1"/>
        <v>0</v>
      </c>
    </row>
    <row r="46" spans="1:18" s="11" customFormat="1" ht="12" x14ac:dyDescent="0.2">
      <c r="A46" s="55"/>
      <c r="B46" s="55"/>
      <c r="C46" s="56"/>
      <c r="D46" s="18" t="s">
        <v>470</v>
      </c>
      <c r="E46" s="5">
        <v>1200000</v>
      </c>
      <c r="F46" s="5">
        <f t="shared" si="3"/>
        <v>0</v>
      </c>
      <c r="G46" s="5"/>
      <c r="H46" s="5"/>
      <c r="I46" s="5">
        <f t="shared" si="4"/>
        <v>1200000</v>
      </c>
      <c r="J46" s="5">
        <v>0</v>
      </c>
      <c r="K46" s="5">
        <f t="shared" si="5"/>
        <v>0</v>
      </c>
      <c r="L46" s="5"/>
      <c r="M46" s="5"/>
      <c r="N46" s="5"/>
      <c r="O46" s="5">
        <f t="shared" si="2"/>
        <v>0</v>
      </c>
      <c r="P46" s="2">
        <f t="shared" si="6"/>
        <v>1200000</v>
      </c>
      <c r="Q46" s="2">
        <f t="shared" si="7"/>
        <v>0</v>
      </c>
      <c r="R46" s="2">
        <f t="shared" si="1"/>
        <v>1200000</v>
      </c>
    </row>
    <row r="47" spans="1:18" s="11" customFormat="1" ht="24" x14ac:dyDescent="0.2">
      <c r="A47" s="55"/>
      <c r="B47" s="55"/>
      <c r="C47" s="56"/>
      <c r="D47" s="19" t="s">
        <v>360</v>
      </c>
      <c r="E47" s="5">
        <v>100000</v>
      </c>
      <c r="F47" s="5">
        <f t="shared" si="3"/>
        <v>-100000</v>
      </c>
      <c r="G47" s="5">
        <v>-100000</v>
      </c>
      <c r="H47" s="5"/>
      <c r="I47" s="5">
        <f t="shared" si="4"/>
        <v>0</v>
      </c>
      <c r="J47" s="5">
        <v>0</v>
      </c>
      <c r="K47" s="5">
        <f t="shared" si="5"/>
        <v>0</v>
      </c>
      <c r="L47" s="5"/>
      <c r="M47" s="5"/>
      <c r="N47" s="5"/>
      <c r="O47" s="5">
        <f t="shared" si="2"/>
        <v>0</v>
      </c>
      <c r="P47" s="2">
        <f t="shared" si="6"/>
        <v>100000</v>
      </c>
      <c r="Q47" s="2">
        <f t="shared" si="7"/>
        <v>-100000</v>
      </c>
      <c r="R47" s="2">
        <f t="shared" si="1"/>
        <v>0</v>
      </c>
    </row>
    <row r="48" spans="1:18" s="11" customFormat="1" ht="48" x14ac:dyDescent="0.2">
      <c r="A48" s="55"/>
      <c r="B48" s="55"/>
      <c r="C48" s="56"/>
      <c r="D48" s="19" t="s">
        <v>356</v>
      </c>
      <c r="E48" s="5">
        <v>75000</v>
      </c>
      <c r="F48" s="5">
        <f t="shared" si="3"/>
        <v>-75000</v>
      </c>
      <c r="G48" s="5">
        <v>-75000</v>
      </c>
      <c r="H48" s="5"/>
      <c r="I48" s="5">
        <f t="shared" si="4"/>
        <v>0</v>
      </c>
      <c r="J48" s="5">
        <v>0</v>
      </c>
      <c r="K48" s="5">
        <f t="shared" si="5"/>
        <v>0</v>
      </c>
      <c r="L48" s="5"/>
      <c r="M48" s="5"/>
      <c r="N48" s="5"/>
      <c r="O48" s="5">
        <f t="shared" si="2"/>
        <v>0</v>
      </c>
      <c r="P48" s="2">
        <f t="shared" si="6"/>
        <v>75000</v>
      </c>
      <c r="Q48" s="2">
        <f t="shared" si="7"/>
        <v>-75000</v>
      </c>
      <c r="R48" s="2">
        <f t="shared" si="1"/>
        <v>0</v>
      </c>
    </row>
    <row r="49" spans="1:18" s="11" customFormat="1" ht="36" x14ac:dyDescent="0.2">
      <c r="A49" s="55"/>
      <c r="B49" s="55"/>
      <c r="C49" s="56"/>
      <c r="D49" s="19" t="s">
        <v>348</v>
      </c>
      <c r="E49" s="5">
        <v>85000</v>
      </c>
      <c r="F49" s="5">
        <f t="shared" si="3"/>
        <v>-85000</v>
      </c>
      <c r="G49" s="5">
        <v>-85000</v>
      </c>
      <c r="H49" s="5"/>
      <c r="I49" s="5">
        <f t="shared" si="4"/>
        <v>0</v>
      </c>
      <c r="J49" s="5">
        <v>0</v>
      </c>
      <c r="K49" s="5">
        <f t="shared" si="5"/>
        <v>0</v>
      </c>
      <c r="L49" s="5"/>
      <c r="M49" s="5"/>
      <c r="N49" s="5"/>
      <c r="O49" s="5">
        <f t="shared" si="2"/>
        <v>0</v>
      </c>
      <c r="P49" s="2">
        <f t="shared" si="6"/>
        <v>85000</v>
      </c>
      <c r="Q49" s="2">
        <f t="shared" si="7"/>
        <v>-85000</v>
      </c>
      <c r="R49" s="2">
        <f t="shared" si="1"/>
        <v>0</v>
      </c>
    </row>
    <row r="50" spans="1:18" s="11" customFormat="1" ht="24" x14ac:dyDescent="0.2">
      <c r="A50" s="55" t="s">
        <v>173</v>
      </c>
      <c r="B50" s="56" t="s">
        <v>174</v>
      </c>
      <c r="C50" s="56" t="s">
        <v>57</v>
      </c>
      <c r="D50" s="18" t="s">
        <v>267</v>
      </c>
      <c r="E50" s="5">
        <f>E52+E53</f>
        <v>90000</v>
      </c>
      <c r="F50" s="5">
        <f t="shared" si="3"/>
        <v>-90000</v>
      </c>
      <c r="G50" s="5">
        <f>G52+G53</f>
        <v>-90000</v>
      </c>
      <c r="H50" s="5"/>
      <c r="I50" s="5">
        <f t="shared" si="4"/>
        <v>0</v>
      </c>
      <c r="J50" s="5">
        <v>1191000</v>
      </c>
      <c r="K50" s="5">
        <f>M50+N50</f>
        <v>0</v>
      </c>
      <c r="L50" s="5">
        <f>SUM(L52:L53)</f>
        <v>0</v>
      </c>
      <c r="M50" s="5">
        <f t="shared" ref="M50:N50" si="12">SUM(M52:M53)</f>
        <v>0</v>
      </c>
      <c r="N50" s="5">
        <f t="shared" si="12"/>
        <v>0</v>
      </c>
      <c r="O50" s="5">
        <f t="shared" si="2"/>
        <v>1191000</v>
      </c>
      <c r="P50" s="2">
        <f t="shared" si="6"/>
        <v>1281000</v>
      </c>
      <c r="Q50" s="2">
        <f t="shared" si="7"/>
        <v>-90000</v>
      </c>
      <c r="R50" s="2">
        <f t="shared" si="1"/>
        <v>1191000</v>
      </c>
    </row>
    <row r="51" spans="1:18" s="11" customFormat="1" ht="12" x14ac:dyDescent="0.2">
      <c r="A51" s="55"/>
      <c r="B51" s="56"/>
      <c r="C51" s="56"/>
      <c r="D51" s="16" t="s">
        <v>176</v>
      </c>
      <c r="E51" s="5"/>
      <c r="F51" s="5">
        <f t="shared" si="3"/>
        <v>0</v>
      </c>
      <c r="G51" s="5"/>
      <c r="H51" s="5"/>
      <c r="I51" s="5">
        <f t="shared" si="4"/>
        <v>0</v>
      </c>
      <c r="J51" s="5">
        <v>0</v>
      </c>
      <c r="K51" s="5">
        <f t="shared" si="5"/>
        <v>0</v>
      </c>
      <c r="L51" s="5"/>
      <c r="M51" s="5"/>
      <c r="N51" s="5"/>
      <c r="O51" s="5">
        <f t="shared" si="2"/>
        <v>0</v>
      </c>
      <c r="P51" s="2">
        <f t="shared" si="6"/>
        <v>0</v>
      </c>
      <c r="Q51" s="2">
        <f t="shared" si="7"/>
        <v>0</v>
      </c>
      <c r="R51" s="2">
        <f t="shared" si="1"/>
        <v>0</v>
      </c>
    </row>
    <row r="52" spans="1:18" s="11" customFormat="1" ht="60" x14ac:dyDescent="0.2">
      <c r="A52" s="55"/>
      <c r="B52" s="56"/>
      <c r="C52" s="56"/>
      <c r="D52" s="18" t="s">
        <v>420</v>
      </c>
      <c r="E52" s="5">
        <v>90000</v>
      </c>
      <c r="F52" s="5">
        <f t="shared" si="3"/>
        <v>-90000</v>
      </c>
      <c r="G52" s="5">
        <v>-90000</v>
      </c>
      <c r="H52" s="5"/>
      <c r="I52" s="5">
        <f t="shared" si="4"/>
        <v>0</v>
      </c>
      <c r="J52" s="5">
        <v>1191000</v>
      </c>
      <c r="K52" s="5">
        <f t="shared" si="5"/>
        <v>0</v>
      </c>
      <c r="L52" s="5"/>
      <c r="M52" s="5"/>
      <c r="N52" s="5"/>
      <c r="O52" s="5">
        <f t="shared" si="2"/>
        <v>1191000</v>
      </c>
      <c r="P52" s="2">
        <f t="shared" si="6"/>
        <v>1281000</v>
      </c>
      <c r="Q52" s="2">
        <f t="shared" si="7"/>
        <v>-90000</v>
      </c>
      <c r="R52" s="2">
        <f t="shared" si="1"/>
        <v>1191000</v>
      </c>
    </row>
    <row r="53" spans="1:18" s="11" customFormat="1" ht="60" x14ac:dyDescent="0.2">
      <c r="A53" s="55"/>
      <c r="B53" s="56"/>
      <c r="C53" s="56"/>
      <c r="D53" s="18" t="s">
        <v>421</v>
      </c>
      <c r="E53" s="5"/>
      <c r="F53" s="5">
        <f t="shared" si="3"/>
        <v>0</v>
      </c>
      <c r="G53" s="5"/>
      <c r="H53" s="5"/>
      <c r="I53" s="5">
        <f t="shared" si="4"/>
        <v>0</v>
      </c>
      <c r="J53" s="5">
        <v>0</v>
      </c>
      <c r="K53" s="5">
        <f t="shared" si="5"/>
        <v>0</v>
      </c>
      <c r="L53" s="5"/>
      <c r="M53" s="5"/>
      <c r="N53" s="5"/>
      <c r="O53" s="5">
        <f t="shared" si="2"/>
        <v>0</v>
      </c>
      <c r="P53" s="2">
        <f t="shared" si="6"/>
        <v>0</v>
      </c>
      <c r="Q53" s="2">
        <f t="shared" si="7"/>
        <v>0</v>
      </c>
      <c r="R53" s="2">
        <f t="shared" si="1"/>
        <v>0</v>
      </c>
    </row>
    <row r="54" spans="1:18" s="11" customFormat="1" ht="24" x14ac:dyDescent="0.2">
      <c r="A54" s="55" t="s">
        <v>135</v>
      </c>
      <c r="B54" s="56" t="s">
        <v>77</v>
      </c>
      <c r="C54" s="56" t="s">
        <v>57</v>
      </c>
      <c r="D54" s="18" t="s">
        <v>475</v>
      </c>
      <c r="E54" s="5">
        <v>6900000</v>
      </c>
      <c r="F54" s="5">
        <f t="shared" si="3"/>
        <v>453500</v>
      </c>
      <c r="G54" s="5">
        <f>453500</f>
        <v>453500</v>
      </c>
      <c r="H54" s="5"/>
      <c r="I54" s="5">
        <f t="shared" si="4"/>
        <v>7353500</v>
      </c>
      <c r="J54" s="5">
        <v>0</v>
      </c>
      <c r="K54" s="5">
        <f t="shared" si="5"/>
        <v>0</v>
      </c>
      <c r="L54" s="5"/>
      <c r="M54" s="5"/>
      <c r="N54" s="5"/>
      <c r="O54" s="5">
        <f t="shared" si="2"/>
        <v>0</v>
      </c>
      <c r="P54" s="2">
        <f t="shared" si="6"/>
        <v>6900000</v>
      </c>
      <c r="Q54" s="2">
        <f t="shared" si="7"/>
        <v>453500</v>
      </c>
      <c r="R54" s="2">
        <f t="shared" si="1"/>
        <v>7353500</v>
      </c>
    </row>
    <row r="55" spans="1:18" s="11" customFormat="1" ht="24" x14ac:dyDescent="0.2">
      <c r="A55" s="55" t="s">
        <v>166</v>
      </c>
      <c r="B55" s="56" t="s">
        <v>167</v>
      </c>
      <c r="C55" s="56" t="s">
        <v>168</v>
      </c>
      <c r="D55" s="18" t="s">
        <v>169</v>
      </c>
      <c r="E55" s="5">
        <f>E57+E58</f>
        <v>35400000</v>
      </c>
      <c r="F55" s="5">
        <f t="shared" si="3"/>
        <v>0</v>
      </c>
      <c r="G55" s="5"/>
      <c r="H55" s="5"/>
      <c r="I55" s="5">
        <f t="shared" si="4"/>
        <v>35400000</v>
      </c>
      <c r="J55" s="5">
        <v>0</v>
      </c>
      <c r="K55" s="5">
        <f t="shared" si="5"/>
        <v>0</v>
      </c>
      <c r="L55" s="5"/>
      <c r="M55" s="5"/>
      <c r="N55" s="5"/>
      <c r="O55" s="5">
        <f t="shared" si="2"/>
        <v>0</v>
      </c>
      <c r="P55" s="2">
        <f t="shared" si="6"/>
        <v>35400000</v>
      </c>
      <c r="Q55" s="2">
        <f t="shared" si="7"/>
        <v>0</v>
      </c>
      <c r="R55" s="2">
        <f t="shared" si="1"/>
        <v>35400000</v>
      </c>
    </row>
    <row r="56" spans="1:18" s="11" customFormat="1" ht="12" x14ac:dyDescent="0.2">
      <c r="A56" s="55"/>
      <c r="B56" s="56"/>
      <c r="C56" s="56"/>
      <c r="D56" s="16" t="s">
        <v>176</v>
      </c>
      <c r="E56" s="5"/>
      <c r="F56" s="5">
        <f t="shared" si="3"/>
        <v>0</v>
      </c>
      <c r="G56" s="5"/>
      <c r="H56" s="5"/>
      <c r="I56" s="5">
        <f t="shared" si="4"/>
        <v>0</v>
      </c>
      <c r="J56" s="5">
        <v>0</v>
      </c>
      <c r="K56" s="5">
        <f t="shared" si="5"/>
        <v>0</v>
      </c>
      <c r="L56" s="5"/>
      <c r="M56" s="5"/>
      <c r="N56" s="5"/>
      <c r="O56" s="5">
        <f t="shared" si="2"/>
        <v>0</v>
      </c>
      <c r="P56" s="2">
        <f t="shared" si="6"/>
        <v>0</v>
      </c>
      <c r="Q56" s="2">
        <f t="shared" si="7"/>
        <v>0</v>
      </c>
      <c r="R56" s="2">
        <f t="shared" si="1"/>
        <v>0</v>
      </c>
    </row>
    <row r="57" spans="1:18" s="11" customFormat="1" ht="24" x14ac:dyDescent="0.2">
      <c r="A57" s="55"/>
      <c r="B57" s="56"/>
      <c r="C57" s="56"/>
      <c r="D57" s="18" t="s">
        <v>422</v>
      </c>
      <c r="E57" s="5">
        <v>35000000</v>
      </c>
      <c r="F57" s="5">
        <f t="shared" si="3"/>
        <v>0</v>
      </c>
      <c r="G57" s="5"/>
      <c r="H57" s="5"/>
      <c r="I57" s="5">
        <f t="shared" si="4"/>
        <v>35000000</v>
      </c>
      <c r="J57" s="5">
        <v>0</v>
      </c>
      <c r="K57" s="5">
        <f t="shared" si="5"/>
        <v>0</v>
      </c>
      <c r="L57" s="5"/>
      <c r="M57" s="5"/>
      <c r="N57" s="5"/>
      <c r="O57" s="5">
        <f t="shared" si="2"/>
        <v>0</v>
      </c>
      <c r="P57" s="2">
        <f t="shared" si="6"/>
        <v>35000000</v>
      </c>
      <c r="Q57" s="2">
        <f t="shared" si="7"/>
        <v>0</v>
      </c>
      <c r="R57" s="2">
        <f t="shared" si="1"/>
        <v>35000000</v>
      </c>
    </row>
    <row r="58" spans="1:18" s="11" customFormat="1" ht="24" x14ac:dyDescent="0.2">
      <c r="A58" s="55"/>
      <c r="B58" s="56"/>
      <c r="C58" s="56"/>
      <c r="D58" s="18" t="s">
        <v>170</v>
      </c>
      <c r="E58" s="5">
        <v>400000</v>
      </c>
      <c r="F58" s="5">
        <f t="shared" si="3"/>
        <v>0</v>
      </c>
      <c r="G58" s="5"/>
      <c r="H58" s="5"/>
      <c r="I58" s="5">
        <f t="shared" si="4"/>
        <v>400000</v>
      </c>
      <c r="J58" s="5">
        <v>0</v>
      </c>
      <c r="K58" s="5">
        <f t="shared" si="5"/>
        <v>0</v>
      </c>
      <c r="L58" s="5"/>
      <c r="M58" s="5"/>
      <c r="N58" s="5"/>
      <c r="O58" s="5">
        <f t="shared" si="2"/>
        <v>0</v>
      </c>
      <c r="P58" s="2">
        <f t="shared" si="6"/>
        <v>400000</v>
      </c>
      <c r="Q58" s="2">
        <f t="shared" si="7"/>
        <v>0</v>
      </c>
      <c r="R58" s="2">
        <f t="shared" si="1"/>
        <v>400000</v>
      </c>
    </row>
    <row r="59" spans="1:18" s="11" customFormat="1" ht="24" x14ac:dyDescent="0.2">
      <c r="A59" s="55" t="s">
        <v>171</v>
      </c>
      <c r="B59" s="56" t="s">
        <v>172</v>
      </c>
      <c r="C59" s="56" t="s">
        <v>168</v>
      </c>
      <c r="D59" s="18" t="s">
        <v>181</v>
      </c>
      <c r="E59" s="5">
        <f>E61</f>
        <v>1786200</v>
      </c>
      <c r="F59" s="5">
        <f t="shared" si="3"/>
        <v>0</v>
      </c>
      <c r="G59" s="5">
        <f>G61</f>
        <v>0</v>
      </c>
      <c r="H59" s="5"/>
      <c r="I59" s="5">
        <f t="shared" si="4"/>
        <v>1786200</v>
      </c>
      <c r="J59" s="5">
        <v>0</v>
      </c>
      <c r="K59" s="5">
        <f t="shared" si="5"/>
        <v>307615</v>
      </c>
      <c r="L59" s="5">
        <f>SUM(L60:L61)</f>
        <v>307615</v>
      </c>
      <c r="M59" s="5">
        <f t="shared" ref="M59:N59" si="13">SUM(M60:M61)</f>
        <v>0</v>
      </c>
      <c r="N59" s="5">
        <f t="shared" si="13"/>
        <v>307615</v>
      </c>
      <c r="O59" s="5">
        <f t="shared" si="2"/>
        <v>307615</v>
      </c>
      <c r="P59" s="2">
        <f t="shared" si="6"/>
        <v>1786200</v>
      </c>
      <c r="Q59" s="2">
        <f t="shared" si="7"/>
        <v>307615</v>
      </c>
      <c r="R59" s="2">
        <f t="shared" si="1"/>
        <v>2093815</v>
      </c>
    </row>
    <row r="60" spans="1:18" s="11" customFormat="1" ht="12" x14ac:dyDescent="0.2">
      <c r="A60" s="55"/>
      <c r="B60" s="56"/>
      <c r="C60" s="56"/>
      <c r="D60" s="16" t="s">
        <v>176</v>
      </c>
      <c r="E60" s="5"/>
      <c r="F60" s="5">
        <f t="shared" si="3"/>
        <v>0</v>
      </c>
      <c r="G60" s="5"/>
      <c r="H60" s="5"/>
      <c r="I60" s="5">
        <f t="shared" si="4"/>
        <v>0</v>
      </c>
      <c r="J60" s="5">
        <v>0</v>
      </c>
      <c r="K60" s="5">
        <f t="shared" si="5"/>
        <v>0</v>
      </c>
      <c r="L60" s="5"/>
      <c r="M60" s="5"/>
      <c r="N60" s="5"/>
      <c r="O60" s="5">
        <f t="shared" si="2"/>
        <v>0</v>
      </c>
      <c r="P60" s="2">
        <f t="shared" si="6"/>
        <v>0</v>
      </c>
      <c r="Q60" s="2">
        <f t="shared" si="7"/>
        <v>0</v>
      </c>
      <c r="R60" s="2">
        <f t="shared" si="1"/>
        <v>0</v>
      </c>
    </row>
    <row r="61" spans="1:18" s="11" customFormat="1" ht="36" x14ac:dyDescent="0.2">
      <c r="A61" s="55"/>
      <c r="B61" s="56"/>
      <c r="C61" s="56"/>
      <c r="D61" s="18" t="s">
        <v>300</v>
      </c>
      <c r="E61" s="5">
        <v>1786200</v>
      </c>
      <c r="F61" s="5">
        <f t="shared" si="3"/>
        <v>0</v>
      </c>
      <c r="G61" s="5"/>
      <c r="H61" s="5"/>
      <c r="I61" s="5">
        <f t="shared" si="4"/>
        <v>1786200</v>
      </c>
      <c r="J61" s="5">
        <v>0</v>
      </c>
      <c r="K61" s="5">
        <f t="shared" si="5"/>
        <v>307615</v>
      </c>
      <c r="L61" s="5">
        <f>307615</f>
        <v>307615</v>
      </c>
      <c r="M61" s="5"/>
      <c r="N61" s="5">
        <f>307615</f>
        <v>307615</v>
      </c>
      <c r="O61" s="5">
        <f t="shared" si="2"/>
        <v>307615</v>
      </c>
      <c r="P61" s="2">
        <f t="shared" si="6"/>
        <v>1786200</v>
      </c>
      <c r="Q61" s="2">
        <f t="shared" si="7"/>
        <v>307615</v>
      </c>
      <c r="R61" s="2">
        <f t="shared" si="1"/>
        <v>2093815</v>
      </c>
    </row>
    <row r="62" spans="1:18" s="11" customFormat="1" ht="12" x14ac:dyDescent="0.2">
      <c r="A62" s="55" t="s">
        <v>466</v>
      </c>
      <c r="B62" s="56" t="s">
        <v>468</v>
      </c>
      <c r="C62" s="56" t="s">
        <v>168</v>
      </c>
      <c r="D62" s="18" t="s">
        <v>467</v>
      </c>
      <c r="E62" s="5">
        <f>E65+E64</f>
        <v>11829944</v>
      </c>
      <c r="F62" s="5">
        <f t="shared" si="3"/>
        <v>7946603</v>
      </c>
      <c r="G62" s="5">
        <f>G64+G65</f>
        <v>7946603</v>
      </c>
      <c r="H62" s="5"/>
      <c r="I62" s="5">
        <f t="shared" si="4"/>
        <v>19776547</v>
      </c>
      <c r="J62" s="5">
        <v>26471359</v>
      </c>
      <c r="K62" s="5">
        <f t="shared" si="5"/>
        <v>3000000</v>
      </c>
      <c r="L62" s="5">
        <f>SUM(L63:L65)</f>
        <v>3000000</v>
      </c>
      <c r="M62" s="5">
        <f t="shared" ref="M62:N62" si="14">SUM(M63:M65)</f>
        <v>0</v>
      </c>
      <c r="N62" s="5">
        <f t="shared" si="14"/>
        <v>3000000</v>
      </c>
      <c r="O62" s="5">
        <f t="shared" si="2"/>
        <v>29471359</v>
      </c>
      <c r="P62" s="2">
        <f t="shared" si="6"/>
        <v>38301303</v>
      </c>
      <c r="Q62" s="2">
        <f t="shared" si="7"/>
        <v>10946603</v>
      </c>
      <c r="R62" s="2">
        <f t="shared" si="1"/>
        <v>49247906</v>
      </c>
    </row>
    <row r="63" spans="1:18" s="11" customFormat="1" ht="12" x14ac:dyDescent="0.2">
      <c r="A63" s="55"/>
      <c r="B63" s="56"/>
      <c r="C63" s="56"/>
      <c r="D63" s="16" t="s">
        <v>176</v>
      </c>
      <c r="E63" s="5"/>
      <c r="F63" s="5">
        <f t="shared" si="3"/>
        <v>0</v>
      </c>
      <c r="G63" s="5"/>
      <c r="H63" s="5"/>
      <c r="I63" s="5">
        <f t="shared" si="4"/>
        <v>0</v>
      </c>
      <c r="J63" s="5">
        <v>0</v>
      </c>
      <c r="K63" s="5">
        <f t="shared" si="5"/>
        <v>0</v>
      </c>
      <c r="L63" s="5"/>
      <c r="M63" s="5"/>
      <c r="N63" s="5"/>
      <c r="O63" s="5">
        <f t="shared" si="2"/>
        <v>0</v>
      </c>
      <c r="P63" s="2">
        <f t="shared" si="6"/>
        <v>0</v>
      </c>
      <c r="Q63" s="2">
        <f t="shared" si="7"/>
        <v>0</v>
      </c>
      <c r="R63" s="2">
        <f t="shared" si="1"/>
        <v>0</v>
      </c>
    </row>
    <row r="64" spans="1:18" s="11" customFormat="1" ht="36" x14ac:dyDescent="0.2">
      <c r="A64" s="55"/>
      <c r="B64" s="56"/>
      <c r="C64" s="56"/>
      <c r="D64" s="16" t="s">
        <v>300</v>
      </c>
      <c r="E64" s="5">
        <v>10277744</v>
      </c>
      <c r="F64" s="5">
        <f t="shared" si="3"/>
        <v>8587963</v>
      </c>
      <c r="G64" s="5">
        <f>-307615-99000-735000+5000000-2900000-119422-850000+8500000+99000</f>
        <v>8587963</v>
      </c>
      <c r="H64" s="5"/>
      <c r="I64" s="5">
        <f t="shared" si="4"/>
        <v>18865707</v>
      </c>
      <c r="J64" s="5">
        <v>26471359</v>
      </c>
      <c r="K64" s="5">
        <f t="shared" si="5"/>
        <v>3000000</v>
      </c>
      <c r="L64" s="5">
        <f>3000000</f>
        <v>3000000</v>
      </c>
      <c r="M64" s="5"/>
      <c r="N64" s="5">
        <f>3000000</f>
        <v>3000000</v>
      </c>
      <c r="O64" s="5">
        <f t="shared" si="2"/>
        <v>29471359</v>
      </c>
      <c r="P64" s="2">
        <f t="shared" si="6"/>
        <v>36749103</v>
      </c>
      <c r="Q64" s="2">
        <f t="shared" si="7"/>
        <v>11587963</v>
      </c>
      <c r="R64" s="2">
        <f t="shared" si="1"/>
        <v>48337066</v>
      </c>
    </row>
    <row r="65" spans="1:19" s="11" customFormat="1" ht="36" x14ac:dyDescent="0.2">
      <c r="A65" s="55"/>
      <c r="B65" s="56"/>
      <c r="C65" s="56"/>
      <c r="D65" s="18" t="s">
        <v>469</v>
      </c>
      <c r="E65" s="5">
        <v>1552200</v>
      </c>
      <c r="F65" s="5">
        <f t="shared" si="3"/>
        <v>-641360</v>
      </c>
      <c r="G65" s="5">
        <f>-641360</f>
        <v>-641360</v>
      </c>
      <c r="H65" s="5"/>
      <c r="I65" s="5">
        <f t="shared" si="4"/>
        <v>910840</v>
      </c>
      <c r="J65" s="5">
        <v>0</v>
      </c>
      <c r="K65" s="5">
        <f t="shared" si="5"/>
        <v>0</v>
      </c>
      <c r="L65" s="5"/>
      <c r="M65" s="5"/>
      <c r="N65" s="5"/>
      <c r="O65" s="5">
        <f t="shared" si="2"/>
        <v>0</v>
      </c>
      <c r="P65" s="2">
        <f t="shared" si="6"/>
        <v>1552200</v>
      </c>
      <c r="Q65" s="2">
        <f t="shared" si="7"/>
        <v>-641360</v>
      </c>
      <c r="R65" s="2">
        <f t="shared" si="1"/>
        <v>910840</v>
      </c>
    </row>
    <row r="66" spans="1:19" s="11" customFormat="1" ht="57" customHeight="1" x14ac:dyDescent="0.2">
      <c r="A66" s="55" t="s">
        <v>567</v>
      </c>
      <c r="B66" s="56" t="s">
        <v>565</v>
      </c>
      <c r="C66" s="56" t="s">
        <v>168</v>
      </c>
      <c r="D66" s="18" t="s">
        <v>569</v>
      </c>
      <c r="E66" s="5">
        <v>49665</v>
      </c>
      <c r="F66" s="5">
        <f t="shared" si="3"/>
        <v>0</v>
      </c>
      <c r="G66" s="5"/>
      <c r="H66" s="5"/>
      <c r="I66" s="5">
        <f t="shared" si="4"/>
        <v>49665</v>
      </c>
      <c r="J66" s="5"/>
      <c r="K66" s="5"/>
      <c r="L66" s="5"/>
      <c r="M66" s="5"/>
      <c r="N66" s="5"/>
      <c r="O66" s="5"/>
      <c r="P66" s="2">
        <f t="shared" si="6"/>
        <v>49665</v>
      </c>
      <c r="Q66" s="2">
        <f t="shared" si="7"/>
        <v>0</v>
      </c>
      <c r="R66" s="2">
        <f t="shared" si="1"/>
        <v>49665</v>
      </c>
    </row>
    <row r="67" spans="1:19" s="11" customFormat="1" ht="38.25" customHeight="1" x14ac:dyDescent="0.2">
      <c r="A67" s="55" t="s">
        <v>568</v>
      </c>
      <c r="B67" s="56" t="s">
        <v>566</v>
      </c>
      <c r="C67" s="56" t="s">
        <v>168</v>
      </c>
      <c r="D67" s="18" t="s">
        <v>570</v>
      </c>
      <c r="E67" s="5">
        <f>150000+130000+9000000</f>
        <v>9280000</v>
      </c>
      <c r="F67" s="5">
        <f t="shared" si="3"/>
        <v>0</v>
      </c>
      <c r="G67" s="5"/>
      <c r="H67" s="5"/>
      <c r="I67" s="5">
        <f t="shared" si="4"/>
        <v>9280000</v>
      </c>
      <c r="J67" s="5"/>
      <c r="K67" s="5"/>
      <c r="L67" s="5"/>
      <c r="M67" s="5"/>
      <c r="N67" s="5"/>
      <c r="O67" s="5"/>
      <c r="P67" s="2">
        <f t="shared" si="6"/>
        <v>9280000</v>
      </c>
      <c r="Q67" s="2">
        <f t="shared" si="7"/>
        <v>0</v>
      </c>
      <c r="R67" s="2">
        <f t="shared" si="1"/>
        <v>9280000</v>
      </c>
    </row>
    <row r="68" spans="1:19" s="4" customFormat="1" ht="25.5" x14ac:dyDescent="0.2">
      <c r="A68" s="15" t="s">
        <v>107</v>
      </c>
      <c r="B68" s="1"/>
      <c r="C68" s="1"/>
      <c r="D68" s="54" t="s">
        <v>309</v>
      </c>
      <c r="E68" s="3">
        <f>E70+E74+E79+E89+E92+E94+E100+E101+E115+E116+E118+E124+E102+E108+E112+E111+E71+E99+E113</f>
        <v>1733590475</v>
      </c>
      <c r="F68" s="3">
        <f>F70+F74+F79+F89+F92+F94+F100+F101+F115+F116+F118+F124+F102+F108+F112+F111+F71+F99+F113+F117</f>
        <v>56410733.560000002</v>
      </c>
      <c r="G68" s="3">
        <f>G70+G74+G79+G89+G92+G94+G100+G101+G115+G116+G118+G124+G102+G108+G112+G111+G71+G99+G113+G117</f>
        <v>56410733.560000002</v>
      </c>
      <c r="H68" s="3">
        <f>H70+H74+H79+H89+H92+H94+H100+H101+H115+H116+H118+H124+H102+H108+H112+H111+H71+H99</f>
        <v>0</v>
      </c>
      <c r="I68" s="3">
        <f>E68+F68</f>
        <v>1790001208.5599999</v>
      </c>
      <c r="J68" s="3">
        <f>J70+J74+J79+J89+J92+J94+J100+J101+J115+J116+J118+J124+J102+J108+J112+J111+J71+J99+J113+J117+J120+J125+J114</f>
        <v>86223515</v>
      </c>
      <c r="K68" s="3">
        <f>K70+K74+K79+K89+K92+K94+K100+K101+K115+K116+K118+K124+K102+K108+K112+K111+K71+K99+K113+K117+K120+K125+K114</f>
        <v>3760907</v>
      </c>
      <c r="L68" s="3">
        <f t="shared" ref="L68:O68" si="15">L70+L74+L79+L89+L92+L94+L100+L101+L115+L116+L118+L124+L102+L108+L112+L111+L71+L99+L113+L117+L120+L125+L114</f>
        <v>3413107</v>
      </c>
      <c r="M68" s="3">
        <f t="shared" si="15"/>
        <v>0</v>
      </c>
      <c r="N68" s="3">
        <f t="shared" si="15"/>
        <v>3760907</v>
      </c>
      <c r="O68" s="3">
        <f t="shared" si="15"/>
        <v>89984422</v>
      </c>
      <c r="P68" s="2">
        <f t="shared" si="6"/>
        <v>1819813990</v>
      </c>
      <c r="Q68" s="2">
        <f t="shared" si="7"/>
        <v>60171640.560000002</v>
      </c>
      <c r="R68" s="2">
        <f t="shared" si="1"/>
        <v>1879985630.5599999</v>
      </c>
      <c r="S68" s="46"/>
    </row>
    <row r="69" spans="1:19" s="4" customFormat="1" ht="25.5" x14ac:dyDescent="0.2">
      <c r="A69" s="15" t="s">
        <v>136</v>
      </c>
      <c r="B69" s="1"/>
      <c r="C69" s="1"/>
      <c r="D69" s="54" t="s">
        <v>309</v>
      </c>
      <c r="E69" s="2"/>
      <c r="F69" s="2"/>
      <c r="G69" s="2"/>
      <c r="H69" s="2"/>
      <c r="I69" s="5">
        <f t="shared" si="4"/>
        <v>0</v>
      </c>
      <c r="J69" s="5">
        <v>0</v>
      </c>
      <c r="K69" s="5"/>
      <c r="L69" s="2"/>
      <c r="M69" s="2"/>
      <c r="N69" s="2"/>
      <c r="O69" s="5">
        <f t="shared" si="2"/>
        <v>0</v>
      </c>
      <c r="P69" s="2">
        <f t="shared" si="6"/>
        <v>0</v>
      </c>
      <c r="Q69" s="2">
        <f t="shared" si="7"/>
        <v>0</v>
      </c>
      <c r="R69" s="2">
        <f t="shared" si="1"/>
        <v>0</v>
      </c>
    </row>
    <row r="70" spans="1:19" s="11" customFormat="1" ht="36" x14ac:dyDescent="0.2">
      <c r="A70" s="55" t="s">
        <v>137</v>
      </c>
      <c r="B70" s="56" t="s">
        <v>60</v>
      </c>
      <c r="C70" s="56" t="s">
        <v>21</v>
      </c>
      <c r="D70" s="16" t="s">
        <v>447</v>
      </c>
      <c r="E70" s="5">
        <v>6225000</v>
      </c>
      <c r="F70" s="5">
        <f>G70+H70</f>
        <v>0</v>
      </c>
      <c r="G70" s="5"/>
      <c r="H70" s="5"/>
      <c r="I70" s="5">
        <f t="shared" si="4"/>
        <v>6225000</v>
      </c>
      <c r="J70" s="5">
        <v>0</v>
      </c>
      <c r="K70" s="5">
        <f t="shared" ref="K70:K78" si="16">M70+N70</f>
        <v>0</v>
      </c>
      <c r="L70" s="5"/>
      <c r="M70" s="5"/>
      <c r="N70" s="5"/>
      <c r="O70" s="5">
        <f t="shared" si="2"/>
        <v>0</v>
      </c>
      <c r="P70" s="2">
        <f t="shared" si="6"/>
        <v>6225000</v>
      </c>
      <c r="Q70" s="2">
        <f t="shared" si="7"/>
        <v>0</v>
      </c>
      <c r="R70" s="2">
        <f>I70+O70</f>
        <v>6225000</v>
      </c>
    </row>
    <row r="71" spans="1:19" s="11" customFormat="1" ht="12" x14ac:dyDescent="0.2">
      <c r="A71" s="55" t="s">
        <v>414</v>
      </c>
      <c r="B71" s="56" t="s">
        <v>11</v>
      </c>
      <c r="C71" s="56" t="s">
        <v>13</v>
      </c>
      <c r="D71" s="16" t="s">
        <v>163</v>
      </c>
      <c r="E71" s="5">
        <f>E73</f>
        <v>10957196</v>
      </c>
      <c r="F71" s="5">
        <f>F73</f>
        <v>0</v>
      </c>
      <c r="G71" s="5">
        <f>G73</f>
        <v>0</v>
      </c>
      <c r="H71" s="5">
        <f>H73</f>
        <v>0</v>
      </c>
      <c r="I71" s="5">
        <f t="shared" si="4"/>
        <v>10957196</v>
      </c>
      <c r="J71" s="5">
        <v>0</v>
      </c>
      <c r="K71" s="5">
        <f t="shared" si="16"/>
        <v>0</v>
      </c>
      <c r="L71" s="5"/>
      <c r="M71" s="5"/>
      <c r="N71" s="5"/>
      <c r="O71" s="5">
        <f t="shared" si="2"/>
        <v>0</v>
      </c>
      <c r="P71" s="2">
        <f t="shared" si="6"/>
        <v>10957196</v>
      </c>
      <c r="Q71" s="2">
        <f t="shared" si="7"/>
        <v>0</v>
      </c>
      <c r="R71" s="2">
        <f t="shared" ref="R71:R141" si="17">I71+O71</f>
        <v>10957196</v>
      </c>
    </row>
    <row r="72" spans="1:19" s="11" customFormat="1" ht="12" x14ac:dyDescent="0.2">
      <c r="A72" s="55"/>
      <c r="B72" s="56"/>
      <c r="C72" s="56"/>
      <c r="D72" s="16" t="s">
        <v>176</v>
      </c>
      <c r="E72" s="5"/>
      <c r="F72" s="5"/>
      <c r="G72" s="5"/>
      <c r="H72" s="5"/>
      <c r="I72" s="5">
        <f t="shared" si="4"/>
        <v>0</v>
      </c>
      <c r="J72" s="5">
        <v>0</v>
      </c>
      <c r="K72" s="5">
        <f t="shared" si="16"/>
        <v>0</v>
      </c>
      <c r="L72" s="5"/>
      <c r="M72" s="5"/>
      <c r="N72" s="5"/>
      <c r="O72" s="5">
        <f t="shared" si="2"/>
        <v>0</v>
      </c>
      <c r="P72" s="2">
        <f t="shared" si="6"/>
        <v>0</v>
      </c>
      <c r="Q72" s="2">
        <f t="shared" si="7"/>
        <v>0</v>
      </c>
      <c r="R72" s="2">
        <f t="shared" si="17"/>
        <v>0</v>
      </c>
    </row>
    <row r="73" spans="1:19" s="11" customFormat="1" ht="48" x14ac:dyDescent="0.2">
      <c r="A73" s="55"/>
      <c r="B73" s="56"/>
      <c r="C73" s="56"/>
      <c r="D73" s="16" t="s">
        <v>415</v>
      </c>
      <c r="E73" s="5">
        <v>10957196</v>
      </c>
      <c r="F73" s="5">
        <f>G73+H73</f>
        <v>0</v>
      </c>
      <c r="G73" s="5">
        <v>0</v>
      </c>
      <c r="H73" s="5"/>
      <c r="I73" s="5">
        <f t="shared" si="4"/>
        <v>10957196</v>
      </c>
      <c r="J73" s="5">
        <v>0</v>
      </c>
      <c r="K73" s="5">
        <f t="shared" si="16"/>
        <v>0</v>
      </c>
      <c r="L73" s="5"/>
      <c r="M73" s="5"/>
      <c r="N73" s="5"/>
      <c r="O73" s="5">
        <f t="shared" si="2"/>
        <v>0</v>
      </c>
      <c r="P73" s="2">
        <f t="shared" si="6"/>
        <v>10957196</v>
      </c>
      <c r="Q73" s="2">
        <f t="shared" si="7"/>
        <v>0</v>
      </c>
      <c r="R73" s="2">
        <f t="shared" si="17"/>
        <v>10957196</v>
      </c>
    </row>
    <row r="74" spans="1:19" s="11" customFormat="1" ht="12" x14ac:dyDescent="0.2">
      <c r="A74" s="55" t="s">
        <v>138</v>
      </c>
      <c r="B74" s="56">
        <v>1010</v>
      </c>
      <c r="C74" s="56" t="s">
        <v>28</v>
      </c>
      <c r="D74" s="16" t="s">
        <v>79</v>
      </c>
      <c r="E74" s="5">
        <v>407625429</v>
      </c>
      <c r="F74" s="5">
        <f>G74+H74</f>
        <v>6104360</v>
      </c>
      <c r="G74" s="5">
        <f>4000+39000-50000+345700+2584000+3810000+73840-60500+7300+500-185900+30000-83800-383780-49000-27000+50000</f>
        <v>6104360</v>
      </c>
      <c r="H74" s="5"/>
      <c r="I74" s="5">
        <f>E74+F74</f>
        <v>413729789</v>
      </c>
      <c r="J74" s="5">
        <v>33690304</v>
      </c>
      <c r="K74" s="5">
        <f t="shared" si="16"/>
        <v>194660</v>
      </c>
      <c r="L74" s="5">
        <f>194660</f>
        <v>194660</v>
      </c>
      <c r="M74" s="5"/>
      <c r="N74" s="5">
        <f t="shared" ref="N74" si="18">194660</f>
        <v>194660</v>
      </c>
      <c r="O74" s="5">
        <f t="shared" si="2"/>
        <v>33884964</v>
      </c>
      <c r="P74" s="2">
        <f t="shared" si="6"/>
        <v>441315733</v>
      </c>
      <c r="Q74" s="2">
        <f t="shared" si="7"/>
        <v>6299020</v>
      </c>
      <c r="R74" s="2">
        <f t="shared" si="17"/>
        <v>447614753</v>
      </c>
    </row>
    <row r="75" spans="1:19" s="11" customFormat="1" ht="72" x14ac:dyDescent="0.2">
      <c r="A75" s="55"/>
      <c r="B75" s="56"/>
      <c r="C75" s="56"/>
      <c r="D75" s="28" t="s">
        <v>540</v>
      </c>
      <c r="E75" s="5">
        <v>60000</v>
      </c>
      <c r="F75" s="5">
        <f t="shared" ref="F75:F78" si="19">G75+H75</f>
        <v>0</v>
      </c>
      <c r="G75" s="5"/>
      <c r="H75" s="5"/>
      <c r="I75" s="5">
        <f t="shared" ref="I75:I78" si="20">E75+F75</f>
        <v>60000</v>
      </c>
      <c r="J75" s="5"/>
      <c r="K75" s="5">
        <f t="shared" si="16"/>
        <v>0</v>
      </c>
      <c r="L75" s="5"/>
      <c r="M75" s="5"/>
      <c r="N75" s="5"/>
      <c r="O75" s="5">
        <f t="shared" si="2"/>
        <v>0</v>
      </c>
      <c r="P75" s="2">
        <f t="shared" si="6"/>
        <v>60000</v>
      </c>
      <c r="Q75" s="2">
        <f t="shared" si="7"/>
        <v>0</v>
      </c>
      <c r="R75" s="2">
        <f t="shared" si="17"/>
        <v>60000</v>
      </c>
    </row>
    <row r="76" spans="1:19" s="11" customFormat="1" ht="63.75" customHeight="1" x14ac:dyDescent="0.2">
      <c r="A76" s="55"/>
      <c r="B76" s="56"/>
      <c r="C76" s="56"/>
      <c r="D76" s="28" t="s">
        <v>539</v>
      </c>
      <c r="E76" s="5">
        <v>82000</v>
      </c>
      <c r="F76" s="5">
        <f t="shared" si="19"/>
        <v>0</v>
      </c>
      <c r="G76" s="5"/>
      <c r="H76" s="5"/>
      <c r="I76" s="5">
        <f t="shared" si="20"/>
        <v>82000</v>
      </c>
      <c r="J76" s="5"/>
      <c r="K76" s="5">
        <f t="shared" si="16"/>
        <v>0</v>
      </c>
      <c r="L76" s="5"/>
      <c r="M76" s="5"/>
      <c r="N76" s="5"/>
      <c r="O76" s="5">
        <f t="shared" si="2"/>
        <v>0</v>
      </c>
      <c r="P76" s="2">
        <f t="shared" si="6"/>
        <v>82000</v>
      </c>
      <c r="Q76" s="2">
        <f t="shared" si="7"/>
        <v>0</v>
      </c>
      <c r="R76" s="2">
        <f t="shared" si="17"/>
        <v>82000</v>
      </c>
    </row>
    <row r="77" spans="1:19" s="11" customFormat="1" ht="48" x14ac:dyDescent="0.2">
      <c r="A77" s="55"/>
      <c r="B77" s="56"/>
      <c r="C77" s="56"/>
      <c r="D77" s="28" t="s">
        <v>643</v>
      </c>
      <c r="E77" s="5">
        <v>75000</v>
      </c>
      <c r="F77" s="5">
        <f t="shared" si="19"/>
        <v>0</v>
      </c>
      <c r="G77" s="5"/>
      <c r="H77" s="5"/>
      <c r="I77" s="5">
        <f t="shared" si="20"/>
        <v>75000</v>
      </c>
      <c r="J77" s="5"/>
      <c r="K77" s="5">
        <f t="shared" si="16"/>
        <v>0</v>
      </c>
      <c r="L77" s="5"/>
      <c r="M77" s="5"/>
      <c r="N77" s="5"/>
      <c r="O77" s="5">
        <f t="shared" si="2"/>
        <v>0</v>
      </c>
      <c r="P77" s="2">
        <f t="shared" ref="P77" si="21">E77+J77</f>
        <v>75000</v>
      </c>
      <c r="Q77" s="2">
        <f t="shared" ref="Q77" si="22">F77+K77</f>
        <v>0</v>
      </c>
      <c r="R77" s="2">
        <f t="shared" ref="R77" si="23">I77+O77</f>
        <v>75000</v>
      </c>
    </row>
    <row r="78" spans="1:19" s="11" customFormat="1" ht="25.5" customHeight="1" x14ac:dyDescent="0.2">
      <c r="A78" s="55"/>
      <c r="B78" s="56"/>
      <c r="C78" s="56"/>
      <c r="D78" s="28" t="s">
        <v>535</v>
      </c>
      <c r="E78" s="5">
        <v>104000</v>
      </c>
      <c r="F78" s="5">
        <f t="shared" si="19"/>
        <v>0</v>
      </c>
      <c r="G78" s="5"/>
      <c r="H78" s="5"/>
      <c r="I78" s="5">
        <f t="shared" si="20"/>
        <v>104000</v>
      </c>
      <c r="J78" s="5"/>
      <c r="K78" s="5">
        <f t="shared" si="16"/>
        <v>0</v>
      </c>
      <c r="L78" s="5"/>
      <c r="M78" s="5"/>
      <c r="N78" s="5"/>
      <c r="O78" s="5">
        <f t="shared" si="2"/>
        <v>0</v>
      </c>
      <c r="P78" s="2">
        <f t="shared" si="6"/>
        <v>104000</v>
      </c>
      <c r="Q78" s="2">
        <f t="shared" si="7"/>
        <v>0</v>
      </c>
      <c r="R78" s="2">
        <f t="shared" si="17"/>
        <v>104000</v>
      </c>
    </row>
    <row r="79" spans="1:19" s="11" customFormat="1" ht="24" x14ac:dyDescent="0.2">
      <c r="A79" s="55" t="s">
        <v>139</v>
      </c>
      <c r="B79" s="56">
        <v>1020</v>
      </c>
      <c r="C79" s="56"/>
      <c r="D79" s="16" t="s">
        <v>413</v>
      </c>
      <c r="E79" s="5">
        <f>E80+E87</f>
        <v>401426255</v>
      </c>
      <c r="F79" s="5">
        <f>F80+F87</f>
        <v>46807299.560000002</v>
      </c>
      <c r="G79" s="5">
        <f>G80+G87</f>
        <v>46807299.560000002</v>
      </c>
      <c r="H79" s="5"/>
      <c r="I79" s="5">
        <f t="shared" si="4"/>
        <v>448233554.56</v>
      </c>
      <c r="J79" s="5">
        <v>5465008</v>
      </c>
      <c r="K79" s="5">
        <f>M79+N79</f>
        <v>903100</v>
      </c>
      <c r="L79" s="5">
        <f>SUM(L80)</f>
        <v>903100</v>
      </c>
      <c r="M79" s="5">
        <f t="shared" ref="M79:N79" si="24">SUM(M80)</f>
        <v>0</v>
      </c>
      <c r="N79" s="5">
        <f t="shared" si="24"/>
        <v>903100</v>
      </c>
      <c r="O79" s="5">
        <f t="shared" si="2"/>
        <v>6368108</v>
      </c>
      <c r="P79" s="2">
        <f t="shared" si="6"/>
        <v>406891263</v>
      </c>
      <c r="Q79" s="2">
        <f t="shared" si="7"/>
        <v>47710399.560000002</v>
      </c>
      <c r="R79" s="2">
        <f t="shared" si="17"/>
        <v>454601662.56</v>
      </c>
    </row>
    <row r="80" spans="1:19" s="11" customFormat="1" ht="24" x14ac:dyDescent="0.2">
      <c r="A80" s="55" t="s">
        <v>371</v>
      </c>
      <c r="B80" s="56">
        <v>1021</v>
      </c>
      <c r="C80" s="56" t="s">
        <v>29</v>
      </c>
      <c r="D80" s="16" t="s">
        <v>404</v>
      </c>
      <c r="E80" s="5">
        <v>386125255</v>
      </c>
      <c r="F80" s="5">
        <f>G80+H80</f>
        <v>46921838.560000002</v>
      </c>
      <c r="G80" s="5">
        <f>10000+54013.56+50000+136000+851800+599400+8546000+219100+7600000+28000000+60500+119967+420000-25000-352500+128800+297000+83800-49807-201635+383780-58380+49000</f>
        <v>46921838.560000002</v>
      </c>
      <c r="H80" s="5"/>
      <c r="I80" s="5">
        <f t="shared" si="4"/>
        <v>433047093.56</v>
      </c>
      <c r="J80" s="5">
        <v>5465008</v>
      </c>
      <c r="K80" s="5">
        <f>M80+N80</f>
        <v>903100</v>
      </c>
      <c r="L80" s="5">
        <f>903100</f>
        <v>903100</v>
      </c>
      <c r="M80" s="5">
        <f>M81+M88</f>
        <v>0</v>
      </c>
      <c r="N80" s="5">
        <f>903100</f>
        <v>903100</v>
      </c>
      <c r="O80" s="5">
        <f t="shared" si="2"/>
        <v>6368108</v>
      </c>
      <c r="P80" s="2">
        <f t="shared" si="6"/>
        <v>391590263</v>
      </c>
      <c r="Q80" s="2">
        <f t="shared" si="7"/>
        <v>47824938.560000002</v>
      </c>
      <c r="R80" s="2">
        <f t="shared" si="17"/>
        <v>439415201.56</v>
      </c>
    </row>
    <row r="81" spans="1:19" s="11" customFormat="1" ht="84" x14ac:dyDescent="0.2">
      <c r="A81" s="55"/>
      <c r="B81" s="56"/>
      <c r="C81" s="56"/>
      <c r="D81" s="16" t="s">
        <v>534</v>
      </c>
      <c r="E81" s="5">
        <f>7918050+509396+5145804-32773+30000+10037400-30000</f>
        <v>23577877</v>
      </c>
      <c r="F81" s="5">
        <f t="shared" ref="F81:F124" si="25">G81+H81</f>
        <v>0</v>
      </c>
      <c r="G81" s="5"/>
      <c r="H81" s="5"/>
      <c r="I81" s="5">
        <f t="shared" si="4"/>
        <v>23577877</v>
      </c>
      <c r="J81" s="5">
        <v>0</v>
      </c>
      <c r="K81" s="5">
        <f t="shared" ref="K81:K125" si="26">M81+N81</f>
        <v>0</v>
      </c>
      <c r="L81" s="5"/>
      <c r="M81" s="5"/>
      <c r="N81" s="5"/>
      <c r="O81" s="5">
        <f t="shared" si="2"/>
        <v>0</v>
      </c>
      <c r="P81" s="2">
        <f t="shared" si="6"/>
        <v>23577877</v>
      </c>
      <c r="Q81" s="2">
        <f t="shared" si="7"/>
        <v>0</v>
      </c>
      <c r="R81" s="2">
        <f t="shared" si="17"/>
        <v>23577877</v>
      </c>
    </row>
    <row r="82" spans="1:19" s="11" customFormat="1" ht="72" x14ac:dyDescent="0.2">
      <c r="A82" s="55"/>
      <c r="B82" s="56"/>
      <c r="C82" s="56"/>
      <c r="D82" s="28" t="s">
        <v>536</v>
      </c>
      <c r="E82" s="5">
        <v>50000</v>
      </c>
      <c r="F82" s="5">
        <f t="shared" si="25"/>
        <v>0</v>
      </c>
      <c r="G82" s="5"/>
      <c r="H82" s="5"/>
      <c r="I82" s="5">
        <f t="shared" si="4"/>
        <v>50000</v>
      </c>
      <c r="J82" s="5"/>
      <c r="K82" s="5">
        <f t="shared" si="26"/>
        <v>0</v>
      </c>
      <c r="L82" s="5"/>
      <c r="M82" s="5"/>
      <c r="N82" s="5"/>
      <c r="O82" s="5"/>
      <c r="P82" s="2">
        <f t="shared" si="6"/>
        <v>50000</v>
      </c>
      <c r="Q82" s="2">
        <f t="shared" si="7"/>
        <v>0</v>
      </c>
      <c r="R82" s="2">
        <f t="shared" si="17"/>
        <v>50000</v>
      </c>
    </row>
    <row r="83" spans="1:19" s="11" customFormat="1" ht="51.75" customHeight="1" x14ac:dyDescent="0.2">
      <c r="A83" s="55"/>
      <c r="B83" s="56"/>
      <c r="C83" s="56"/>
      <c r="D83" s="28" t="s">
        <v>644</v>
      </c>
      <c r="E83" s="5">
        <v>60000</v>
      </c>
      <c r="F83" s="5">
        <f t="shared" si="25"/>
        <v>0</v>
      </c>
      <c r="G83" s="5"/>
      <c r="H83" s="5"/>
      <c r="I83" s="5">
        <f t="shared" si="4"/>
        <v>60000</v>
      </c>
      <c r="J83" s="5"/>
      <c r="K83" s="5">
        <f t="shared" si="26"/>
        <v>0</v>
      </c>
      <c r="L83" s="5"/>
      <c r="M83" s="5"/>
      <c r="N83" s="5"/>
      <c r="O83" s="5"/>
      <c r="P83" s="2"/>
      <c r="Q83" s="2"/>
      <c r="R83" s="2"/>
    </row>
    <row r="84" spans="1:19" s="11" customFormat="1" ht="60" x14ac:dyDescent="0.2">
      <c r="A84" s="55"/>
      <c r="B84" s="56"/>
      <c r="C84" s="56"/>
      <c r="D84" s="28" t="s">
        <v>537</v>
      </c>
      <c r="E84" s="5">
        <v>370000</v>
      </c>
      <c r="F84" s="5">
        <f t="shared" si="25"/>
        <v>0</v>
      </c>
      <c r="G84" s="5"/>
      <c r="H84" s="5"/>
      <c r="I84" s="5">
        <f t="shared" si="4"/>
        <v>370000</v>
      </c>
      <c r="J84" s="5"/>
      <c r="K84" s="5">
        <f t="shared" si="26"/>
        <v>0</v>
      </c>
      <c r="L84" s="5"/>
      <c r="M84" s="5"/>
      <c r="N84" s="5"/>
      <c r="O84" s="5"/>
      <c r="P84" s="2">
        <f t="shared" si="6"/>
        <v>370000</v>
      </c>
      <c r="Q84" s="2">
        <f t="shared" si="7"/>
        <v>0</v>
      </c>
      <c r="R84" s="2">
        <f t="shared" si="17"/>
        <v>370000</v>
      </c>
    </row>
    <row r="85" spans="1:19" s="11" customFormat="1" ht="42" customHeight="1" x14ac:dyDescent="0.2">
      <c r="A85" s="55"/>
      <c r="B85" s="56"/>
      <c r="C85" s="56"/>
      <c r="D85" s="28" t="s">
        <v>538</v>
      </c>
      <c r="E85" s="5">
        <v>160000</v>
      </c>
      <c r="F85" s="5">
        <f t="shared" si="25"/>
        <v>0</v>
      </c>
      <c r="G85" s="5"/>
      <c r="H85" s="5"/>
      <c r="I85" s="5">
        <f t="shared" si="4"/>
        <v>160000</v>
      </c>
      <c r="J85" s="5"/>
      <c r="K85" s="5">
        <f t="shared" si="26"/>
        <v>0</v>
      </c>
      <c r="L85" s="5"/>
      <c r="M85" s="5"/>
      <c r="N85" s="5"/>
      <c r="O85" s="5"/>
      <c r="P85" s="2">
        <f t="shared" si="6"/>
        <v>160000</v>
      </c>
      <c r="Q85" s="2">
        <f t="shared" si="7"/>
        <v>0</v>
      </c>
      <c r="R85" s="2">
        <f t="shared" si="17"/>
        <v>160000</v>
      </c>
    </row>
    <row r="86" spans="1:19" s="11" customFormat="1" ht="24.75" customHeight="1" x14ac:dyDescent="0.2">
      <c r="A86" s="55"/>
      <c r="B86" s="56"/>
      <c r="C86" s="56"/>
      <c r="D86" s="28" t="s">
        <v>535</v>
      </c>
      <c r="E86" s="5">
        <f>30000+225000</f>
        <v>255000</v>
      </c>
      <c r="F86" s="5">
        <f t="shared" si="25"/>
        <v>54013.56</v>
      </c>
      <c r="G86" s="5">
        <v>54013.56</v>
      </c>
      <c r="H86" s="5"/>
      <c r="I86" s="5">
        <f t="shared" si="4"/>
        <v>309013.56</v>
      </c>
      <c r="J86" s="5"/>
      <c r="K86" s="5">
        <f t="shared" si="26"/>
        <v>0</v>
      </c>
      <c r="L86" s="5"/>
      <c r="M86" s="5"/>
      <c r="N86" s="5"/>
      <c r="O86" s="5"/>
      <c r="P86" s="2">
        <f t="shared" ref="P86:P152" si="27">E86+J86</f>
        <v>255000</v>
      </c>
      <c r="Q86" s="2">
        <f t="shared" ref="Q86:Q152" si="28">F86+K86</f>
        <v>54013.56</v>
      </c>
      <c r="R86" s="2">
        <f t="shared" si="17"/>
        <v>309013.56</v>
      </c>
    </row>
    <row r="87" spans="1:19" s="11" customFormat="1" ht="48" x14ac:dyDescent="0.2">
      <c r="A87" s="55" t="s">
        <v>372</v>
      </c>
      <c r="B87" s="56" t="s">
        <v>373</v>
      </c>
      <c r="C87" s="56" t="s">
        <v>30</v>
      </c>
      <c r="D87" s="42" t="s">
        <v>405</v>
      </c>
      <c r="E87" s="5">
        <v>15301000</v>
      </c>
      <c r="F87" s="5">
        <f t="shared" si="25"/>
        <v>-114539</v>
      </c>
      <c r="G87" s="5">
        <f>-636174+70000+250000+201635</f>
        <v>-114539</v>
      </c>
      <c r="H87" s="5"/>
      <c r="I87" s="5">
        <f t="shared" si="4"/>
        <v>15186461</v>
      </c>
      <c r="J87" s="5">
        <v>0</v>
      </c>
      <c r="K87" s="5">
        <f t="shared" si="26"/>
        <v>0</v>
      </c>
      <c r="L87" s="5"/>
      <c r="M87" s="5"/>
      <c r="N87" s="5"/>
      <c r="O87" s="5">
        <f t="shared" si="2"/>
        <v>0</v>
      </c>
      <c r="P87" s="2">
        <f t="shared" si="27"/>
        <v>15301000</v>
      </c>
      <c r="Q87" s="2">
        <f t="shared" si="28"/>
        <v>-114539</v>
      </c>
      <c r="R87" s="2">
        <f t="shared" si="17"/>
        <v>15186461</v>
      </c>
    </row>
    <row r="88" spans="1:19" s="11" customFormat="1" ht="84" x14ac:dyDescent="0.2">
      <c r="A88" s="55"/>
      <c r="B88" s="56"/>
      <c r="C88" s="56"/>
      <c r="D88" s="16" t="s">
        <v>534</v>
      </c>
      <c r="E88" s="5">
        <v>171900</v>
      </c>
      <c r="F88" s="5">
        <f t="shared" si="25"/>
        <v>0</v>
      </c>
      <c r="G88" s="5">
        <v>0</v>
      </c>
      <c r="H88" s="5"/>
      <c r="I88" s="5">
        <f t="shared" si="4"/>
        <v>171900</v>
      </c>
      <c r="J88" s="5">
        <v>0</v>
      </c>
      <c r="K88" s="5">
        <f t="shared" si="26"/>
        <v>0</v>
      </c>
      <c r="L88" s="5"/>
      <c r="M88" s="5"/>
      <c r="N88" s="5"/>
      <c r="O88" s="5">
        <f t="shared" si="2"/>
        <v>0</v>
      </c>
      <c r="P88" s="2">
        <f t="shared" si="27"/>
        <v>171900</v>
      </c>
      <c r="Q88" s="2">
        <f t="shared" si="28"/>
        <v>0</v>
      </c>
      <c r="R88" s="2">
        <f t="shared" si="17"/>
        <v>171900</v>
      </c>
    </row>
    <row r="89" spans="1:19" s="11" customFormat="1" ht="24" x14ac:dyDescent="0.2">
      <c r="A89" s="55" t="s">
        <v>374</v>
      </c>
      <c r="B89" s="56" t="s">
        <v>45</v>
      </c>
      <c r="C89" s="56"/>
      <c r="D89" s="16" t="s">
        <v>375</v>
      </c>
      <c r="E89" s="5">
        <f>E90+E91</f>
        <v>547719400</v>
      </c>
      <c r="F89" s="5">
        <f t="shared" si="25"/>
        <v>0</v>
      </c>
      <c r="G89" s="5">
        <f>G90+G91</f>
        <v>0</v>
      </c>
      <c r="H89" s="5"/>
      <c r="I89" s="5">
        <f t="shared" si="4"/>
        <v>547719400</v>
      </c>
      <c r="J89" s="5">
        <v>0</v>
      </c>
      <c r="K89" s="5">
        <f t="shared" si="26"/>
        <v>0</v>
      </c>
      <c r="L89" s="5"/>
      <c r="M89" s="5"/>
      <c r="N89" s="5"/>
      <c r="O89" s="5">
        <f t="shared" si="2"/>
        <v>0</v>
      </c>
      <c r="P89" s="2">
        <f t="shared" si="27"/>
        <v>547719400</v>
      </c>
      <c r="Q89" s="2">
        <f t="shared" si="28"/>
        <v>0</v>
      </c>
      <c r="R89" s="2">
        <f t="shared" si="17"/>
        <v>547719400</v>
      </c>
      <c r="S89" s="10"/>
    </row>
    <row r="90" spans="1:19" s="11" customFormat="1" ht="24" x14ac:dyDescent="0.2">
      <c r="A90" s="55" t="s">
        <v>376</v>
      </c>
      <c r="B90" s="56" t="s">
        <v>377</v>
      </c>
      <c r="C90" s="56" t="s">
        <v>29</v>
      </c>
      <c r="D90" s="16" t="s">
        <v>404</v>
      </c>
      <c r="E90" s="5">
        <v>536858400</v>
      </c>
      <c r="F90" s="5">
        <f t="shared" si="25"/>
        <v>-3100</v>
      </c>
      <c r="G90" s="5">
        <v>-3100</v>
      </c>
      <c r="H90" s="5"/>
      <c r="I90" s="5">
        <f t="shared" si="4"/>
        <v>536855300</v>
      </c>
      <c r="J90" s="5">
        <v>0</v>
      </c>
      <c r="K90" s="5">
        <f t="shared" si="26"/>
        <v>0</v>
      </c>
      <c r="L90" s="5"/>
      <c r="M90" s="5"/>
      <c r="N90" s="5"/>
      <c r="O90" s="5">
        <f t="shared" si="2"/>
        <v>0</v>
      </c>
      <c r="P90" s="2">
        <f t="shared" si="27"/>
        <v>536858400</v>
      </c>
      <c r="Q90" s="2">
        <f t="shared" si="28"/>
        <v>-3100</v>
      </c>
      <c r="R90" s="2">
        <f t="shared" si="17"/>
        <v>536855300</v>
      </c>
      <c r="S90" s="10"/>
    </row>
    <row r="91" spans="1:19" s="11" customFormat="1" ht="48" x14ac:dyDescent="0.2">
      <c r="A91" s="55" t="s">
        <v>378</v>
      </c>
      <c r="B91" s="56" t="s">
        <v>379</v>
      </c>
      <c r="C91" s="56" t="s">
        <v>30</v>
      </c>
      <c r="D91" s="42" t="s">
        <v>405</v>
      </c>
      <c r="E91" s="5">
        <v>10861000</v>
      </c>
      <c r="F91" s="5">
        <f t="shared" si="25"/>
        <v>3100</v>
      </c>
      <c r="G91" s="5">
        <v>3100</v>
      </c>
      <c r="H91" s="5"/>
      <c r="I91" s="5">
        <f t="shared" si="4"/>
        <v>10864100</v>
      </c>
      <c r="J91" s="5">
        <v>0</v>
      </c>
      <c r="K91" s="5">
        <f t="shared" si="26"/>
        <v>0</v>
      </c>
      <c r="L91" s="5"/>
      <c r="M91" s="5"/>
      <c r="N91" s="5"/>
      <c r="O91" s="5">
        <f t="shared" si="2"/>
        <v>0</v>
      </c>
      <c r="P91" s="2">
        <f t="shared" si="27"/>
        <v>10861000</v>
      </c>
      <c r="Q91" s="2">
        <f t="shared" si="28"/>
        <v>3100</v>
      </c>
      <c r="R91" s="2">
        <f t="shared" si="17"/>
        <v>10864100</v>
      </c>
    </row>
    <row r="92" spans="1:19" s="11" customFormat="1" ht="29.25" customHeight="1" x14ac:dyDescent="0.2">
      <c r="A92" s="55" t="s">
        <v>140</v>
      </c>
      <c r="B92" s="56" t="s">
        <v>22</v>
      </c>
      <c r="C92" s="56" t="s">
        <v>31</v>
      </c>
      <c r="D92" s="42" t="s">
        <v>343</v>
      </c>
      <c r="E92" s="5">
        <v>41167458</v>
      </c>
      <c r="F92" s="5">
        <f t="shared" si="25"/>
        <v>261313</v>
      </c>
      <c r="G92" s="5">
        <f>30000+58000+215600-42287</f>
        <v>261313</v>
      </c>
      <c r="H92" s="5"/>
      <c r="I92" s="5">
        <f t="shared" si="4"/>
        <v>41428771</v>
      </c>
      <c r="J92" s="5">
        <v>4074500</v>
      </c>
      <c r="K92" s="5">
        <f t="shared" si="26"/>
        <v>0</v>
      </c>
      <c r="L92" s="5"/>
      <c r="M92" s="5"/>
      <c r="N92" s="5"/>
      <c r="O92" s="5">
        <f t="shared" si="2"/>
        <v>4074500</v>
      </c>
      <c r="P92" s="2">
        <f t="shared" si="27"/>
        <v>45241958</v>
      </c>
      <c r="Q92" s="2">
        <f t="shared" si="28"/>
        <v>261313</v>
      </c>
      <c r="R92" s="2">
        <f t="shared" si="17"/>
        <v>45503271</v>
      </c>
    </row>
    <row r="93" spans="1:19" s="11" customFormat="1" ht="22.5" customHeight="1" x14ac:dyDescent="0.2">
      <c r="A93" s="55"/>
      <c r="B93" s="56"/>
      <c r="C93" s="56"/>
      <c r="D93" s="28" t="s">
        <v>535</v>
      </c>
      <c r="E93" s="5">
        <v>18699</v>
      </c>
      <c r="F93" s="5">
        <f t="shared" si="25"/>
        <v>0</v>
      </c>
      <c r="G93" s="5">
        <v>0</v>
      </c>
      <c r="H93" s="5"/>
      <c r="I93" s="5">
        <f t="shared" si="4"/>
        <v>18699</v>
      </c>
      <c r="J93" s="5"/>
      <c r="K93" s="5">
        <f t="shared" si="26"/>
        <v>0</v>
      </c>
      <c r="L93" s="5"/>
      <c r="M93" s="5"/>
      <c r="N93" s="5"/>
      <c r="O93" s="5"/>
      <c r="P93" s="2">
        <f t="shared" si="27"/>
        <v>18699</v>
      </c>
      <c r="Q93" s="2">
        <f t="shared" si="28"/>
        <v>0</v>
      </c>
      <c r="R93" s="2">
        <f t="shared" si="17"/>
        <v>18699</v>
      </c>
    </row>
    <row r="94" spans="1:19" s="11" customFormat="1" ht="37.5" customHeight="1" x14ac:dyDescent="0.2">
      <c r="A94" s="55" t="s">
        <v>394</v>
      </c>
      <c r="B94" s="56" t="s">
        <v>49</v>
      </c>
      <c r="C94" s="56"/>
      <c r="D94" s="42" t="s">
        <v>395</v>
      </c>
      <c r="E94" s="5">
        <f>E95+E98</f>
        <v>209510846</v>
      </c>
      <c r="F94" s="5">
        <f>G94+H94</f>
        <v>1226880</v>
      </c>
      <c r="G94" s="5">
        <f>G95+G98</f>
        <v>1226880</v>
      </c>
      <c r="H94" s="5"/>
      <c r="I94" s="5">
        <f t="shared" si="4"/>
        <v>210737726</v>
      </c>
      <c r="J94" s="5">
        <v>24608000</v>
      </c>
      <c r="K94" s="5">
        <f t="shared" si="26"/>
        <v>0</v>
      </c>
      <c r="L94" s="5">
        <f>L95+L98</f>
        <v>0</v>
      </c>
      <c r="M94" s="5">
        <f>M95+M98</f>
        <v>0</v>
      </c>
      <c r="N94" s="5">
        <f>N95+N98</f>
        <v>0</v>
      </c>
      <c r="O94" s="5">
        <f t="shared" si="2"/>
        <v>24608000</v>
      </c>
      <c r="P94" s="2">
        <f t="shared" si="27"/>
        <v>234118846</v>
      </c>
      <c r="Q94" s="2">
        <f t="shared" si="28"/>
        <v>1226880</v>
      </c>
      <c r="R94" s="2">
        <f t="shared" si="17"/>
        <v>235345726</v>
      </c>
    </row>
    <row r="95" spans="1:19" s="11" customFormat="1" ht="45" customHeight="1" x14ac:dyDescent="0.2">
      <c r="A95" s="55" t="s">
        <v>396</v>
      </c>
      <c r="B95" s="56" t="s">
        <v>397</v>
      </c>
      <c r="C95" s="56" t="s">
        <v>14</v>
      </c>
      <c r="D95" s="42" t="s">
        <v>398</v>
      </c>
      <c r="E95" s="5">
        <v>186519846</v>
      </c>
      <c r="F95" s="5">
        <f t="shared" si="25"/>
        <v>1226880</v>
      </c>
      <c r="G95" s="5">
        <f>-68000+320500+1969000+57100-1110100+58380</f>
        <v>1226880</v>
      </c>
      <c r="H95" s="5"/>
      <c r="I95" s="5">
        <f>E95+F95</f>
        <v>187746726</v>
      </c>
      <c r="J95" s="5">
        <v>24608000</v>
      </c>
      <c r="K95" s="5">
        <f t="shared" si="26"/>
        <v>0</v>
      </c>
      <c r="L95" s="5"/>
      <c r="M95" s="5"/>
      <c r="N95" s="5"/>
      <c r="O95" s="5">
        <f t="shared" si="2"/>
        <v>24608000</v>
      </c>
      <c r="P95" s="2">
        <f t="shared" si="27"/>
        <v>211127846</v>
      </c>
      <c r="Q95" s="2">
        <f t="shared" si="28"/>
        <v>1226880</v>
      </c>
      <c r="R95" s="2">
        <f t="shared" si="17"/>
        <v>212354726</v>
      </c>
    </row>
    <row r="96" spans="1:19" s="11" customFormat="1" ht="84" customHeight="1" x14ac:dyDescent="0.2">
      <c r="A96" s="55"/>
      <c r="B96" s="56"/>
      <c r="C96" s="56"/>
      <c r="D96" s="16" t="s">
        <v>534</v>
      </c>
      <c r="E96" s="5">
        <f>308050+32773</f>
        <v>340823</v>
      </c>
      <c r="F96" s="5">
        <f t="shared" si="25"/>
        <v>0</v>
      </c>
      <c r="G96" s="5">
        <v>0</v>
      </c>
      <c r="H96" s="5"/>
      <c r="I96" s="5">
        <f>E96+F96</f>
        <v>340823</v>
      </c>
      <c r="J96" s="5"/>
      <c r="K96" s="5">
        <f t="shared" si="26"/>
        <v>0</v>
      </c>
      <c r="L96" s="5"/>
      <c r="M96" s="5"/>
      <c r="N96" s="5"/>
      <c r="O96" s="5"/>
      <c r="P96" s="2">
        <f t="shared" si="27"/>
        <v>340823</v>
      </c>
      <c r="Q96" s="2">
        <f t="shared" si="28"/>
        <v>0</v>
      </c>
      <c r="R96" s="2">
        <f t="shared" si="17"/>
        <v>340823</v>
      </c>
    </row>
    <row r="97" spans="1:18" s="11" customFormat="1" ht="21.75" customHeight="1" x14ac:dyDescent="0.2">
      <c r="A97" s="55"/>
      <c r="B97" s="56"/>
      <c r="C97" s="56"/>
      <c r="D97" s="28" t="s">
        <v>535</v>
      </c>
      <c r="E97" s="5">
        <f>295000</f>
        <v>295000</v>
      </c>
      <c r="F97" s="5">
        <f t="shared" si="25"/>
        <v>0</v>
      </c>
      <c r="G97" s="5">
        <v>0</v>
      </c>
      <c r="H97" s="5"/>
      <c r="I97" s="5">
        <f>E97+F97</f>
        <v>295000</v>
      </c>
      <c r="J97" s="5"/>
      <c r="K97" s="5">
        <f t="shared" si="26"/>
        <v>0</v>
      </c>
      <c r="L97" s="5"/>
      <c r="M97" s="5"/>
      <c r="N97" s="5"/>
      <c r="O97" s="5"/>
      <c r="P97" s="2">
        <f t="shared" si="27"/>
        <v>295000</v>
      </c>
      <c r="Q97" s="2">
        <f t="shared" si="28"/>
        <v>0</v>
      </c>
      <c r="R97" s="2">
        <f t="shared" si="17"/>
        <v>295000</v>
      </c>
    </row>
    <row r="98" spans="1:18" s="11" customFormat="1" ht="36" x14ac:dyDescent="0.2">
      <c r="A98" s="55" t="s">
        <v>399</v>
      </c>
      <c r="B98" s="56" t="s">
        <v>400</v>
      </c>
      <c r="C98" s="56" t="s">
        <v>14</v>
      </c>
      <c r="D98" s="42" t="s">
        <v>401</v>
      </c>
      <c r="E98" s="5">
        <v>22991000</v>
      </c>
      <c r="F98" s="5">
        <f t="shared" si="25"/>
        <v>0</v>
      </c>
      <c r="G98" s="5">
        <v>0</v>
      </c>
      <c r="H98" s="5"/>
      <c r="I98" s="5">
        <f t="shared" si="4"/>
        <v>22991000</v>
      </c>
      <c r="J98" s="5">
        <v>0</v>
      </c>
      <c r="K98" s="5">
        <f t="shared" si="26"/>
        <v>0</v>
      </c>
      <c r="L98" s="5"/>
      <c r="M98" s="5"/>
      <c r="N98" s="5"/>
      <c r="O98" s="5">
        <f t="shared" si="2"/>
        <v>0</v>
      </c>
      <c r="P98" s="2">
        <f t="shared" si="27"/>
        <v>22991000</v>
      </c>
      <c r="Q98" s="2">
        <f t="shared" si="28"/>
        <v>0</v>
      </c>
      <c r="R98" s="2">
        <f t="shared" si="17"/>
        <v>22991000</v>
      </c>
    </row>
    <row r="99" spans="1:18" s="11" customFormat="1" ht="24" x14ac:dyDescent="0.2">
      <c r="A99" s="55" t="s">
        <v>433</v>
      </c>
      <c r="B99" s="56" t="s">
        <v>434</v>
      </c>
      <c r="C99" s="56" t="s">
        <v>440</v>
      </c>
      <c r="D99" s="42" t="s">
        <v>435</v>
      </c>
      <c r="E99" s="5">
        <v>12981078</v>
      </c>
      <c r="F99" s="5">
        <f t="shared" si="25"/>
        <v>-252500</v>
      </c>
      <c r="G99" s="5">
        <f>68000-320500</f>
        <v>-252500</v>
      </c>
      <c r="H99" s="5"/>
      <c r="I99" s="5">
        <f t="shared" si="4"/>
        <v>12728578</v>
      </c>
      <c r="J99" s="5">
        <v>0</v>
      </c>
      <c r="K99" s="5">
        <f t="shared" si="26"/>
        <v>0</v>
      </c>
      <c r="L99" s="5"/>
      <c r="M99" s="5"/>
      <c r="N99" s="5"/>
      <c r="O99" s="5">
        <f t="shared" si="2"/>
        <v>0</v>
      </c>
      <c r="P99" s="2">
        <f t="shared" si="27"/>
        <v>12981078</v>
      </c>
      <c r="Q99" s="2">
        <f t="shared" si="28"/>
        <v>-252500</v>
      </c>
      <c r="R99" s="2">
        <f t="shared" si="17"/>
        <v>12728578</v>
      </c>
    </row>
    <row r="100" spans="1:18" s="11" customFormat="1" ht="24" x14ac:dyDescent="0.2">
      <c r="A100" s="55" t="s">
        <v>380</v>
      </c>
      <c r="B100" s="56" t="s">
        <v>381</v>
      </c>
      <c r="C100" s="56" t="s">
        <v>32</v>
      </c>
      <c r="D100" s="42" t="s">
        <v>80</v>
      </c>
      <c r="E100" s="5">
        <v>4238</v>
      </c>
      <c r="F100" s="5">
        <f t="shared" si="25"/>
        <v>-4200</v>
      </c>
      <c r="G100" s="5">
        <v>-4200</v>
      </c>
      <c r="H100" s="5"/>
      <c r="I100" s="5">
        <f t="shared" si="4"/>
        <v>38</v>
      </c>
      <c r="J100" s="5">
        <v>0</v>
      </c>
      <c r="K100" s="5">
        <f t="shared" si="26"/>
        <v>0</v>
      </c>
      <c r="L100" s="5"/>
      <c r="M100" s="5"/>
      <c r="N100" s="5"/>
      <c r="O100" s="5">
        <f t="shared" si="2"/>
        <v>0</v>
      </c>
      <c r="P100" s="2">
        <f t="shared" si="27"/>
        <v>4238</v>
      </c>
      <c r="Q100" s="2">
        <f t="shared" si="28"/>
        <v>-4200</v>
      </c>
      <c r="R100" s="2">
        <f t="shared" si="17"/>
        <v>38</v>
      </c>
    </row>
    <row r="101" spans="1:18" s="11" customFormat="1" ht="24" x14ac:dyDescent="0.2">
      <c r="A101" s="55" t="s">
        <v>382</v>
      </c>
      <c r="B101" s="56" t="s">
        <v>383</v>
      </c>
      <c r="C101" s="56" t="s">
        <v>33</v>
      </c>
      <c r="D101" s="42" t="s">
        <v>82</v>
      </c>
      <c r="E101" s="5">
        <v>1010000</v>
      </c>
      <c r="F101" s="5">
        <f t="shared" si="25"/>
        <v>112950</v>
      </c>
      <c r="G101" s="5">
        <f>42100+22350-1800+50300</f>
        <v>112950</v>
      </c>
      <c r="H101" s="5"/>
      <c r="I101" s="5">
        <f t="shared" si="4"/>
        <v>1122950</v>
      </c>
      <c r="J101" s="5">
        <v>0</v>
      </c>
      <c r="K101" s="5">
        <f t="shared" si="26"/>
        <v>0</v>
      </c>
      <c r="L101" s="5"/>
      <c r="M101" s="5"/>
      <c r="N101" s="5"/>
      <c r="O101" s="5">
        <f t="shared" si="2"/>
        <v>0</v>
      </c>
      <c r="P101" s="2">
        <f t="shared" si="27"/>
        <v>1010000</v>
      </c>
      <c r="Q101" s="2">
        <f t="shared" si="28"/>
        <v>112950</v>
      </c>
      <c r="R101" s="2">
        <f t="shared" si="17"/>
        <v>1122950</v>
      </c>
    </row>
    <row r="102" spans="1:18" s="11" customFormat="1" ht="12" x14ac:dyDescent="0.2">
      <c r="A102" s="55" t="s">
        <v>141</v>
      </c>
      <c r="B102" s="56" t="s">
        <v>388</v>
      </c>
      <c r="C102" s="56"/>
      <c r="D102" s="16" t="s">
        <v>201</v>
      </c>
      <c r="E102" s="5">
        <f>E103+E105</f>
        <v>26352658</v>
      </c>
      <c r="F102" s="5">
        <f t="shared" si="25"/>
        <v>1293181</v>
      </c>
      <c r="G102" s="5">
        <f>G103+G105</f>
        <v>1293181</v>
      </c>
      <c r="H102" s="5"/>
      <c r="I102" s="5">
        <f t="shared" si="4"/>
        <v>27645839</v>
      </c>
      <c r="J102" s="5">
        <v>400000</v>
      </c>
      <c r="K102" s="5">
        <f t="shared" si="26"/>
        <v>0</v>
      </c>
      <c r="L102" s="5">
        <f t="shared" ref="L102:N102" si="29">L103+L105</f>
        <v>0</v>
      </c>
      <c r="M102" s="5">
        <f t="shared" si="29"/>
        <v>0</v>
      </c>
      <c r="N102" s="5">
        <f t="shared" si="29"/>
        <v>0</v>
      </c>
      <c r="O102" s="5">
        <f t="shared" si="2"/>
        <v>400000</v>
      </c>
      <c r="P102" s="2">
        <f t="shared" si="27"/>
        <v>26752658</v>
      </c>
      <c r="Q102" s="2">
        <f t="shared" si="28"/>
        <v>1293181</v>
      </c>
      <c r="R102" s="2">
        <f t="shared" si="17"/>
        <v>28045839</v>
      </c>
    </row>
    <row r="103" spans="1:18" s="11" customFormat="1" ht="24" x14ac:dyDescent="0.2">
      <c r="A103" s="55" t="s">
        <v>384</v>
      </c>
      <c r="B103" s="56" t="s">
        <v>385</v>
      </c>
      <c r="C103" s="56" t="s">
        <v>33</v>
      </c>
      <c r="D103" s="16" t="s">
        <v>406</v>
      </c>
      <c r="E103" s="5">
        <v>25980894</v>
      </c>
      <c r="F103" s="5">
        <f t="shared" si="25"/>
        <v>1294981</v>
      </c>
      <c r="G103" s="5">
        <f>-54014+197100+42288+1059800+49807</f>
        <v>1294981</v>
      </c>
      <c r="H103" s="5"/>
      <c r="I103" s="5">
        <f t="shared" si="4"/>
        <v>27275875</v>
      </c>
      <c r="J103" s="5">
        <v>400000</v>
      </c>
      <c r="K103" s="5">
        <f t="shared" si="26"/>
        <v>0</v>
      </c>
      <c r="L103" s="5"/>
      <c r="M103" s="5"/>
      <c r="N103" s="5"/>
      <c r="O103" s="5">
        <f t="shared" si="2"/>
        <v>400000</v>
      </c>
      <c r="P103" s="2">
        <f t="shared" si="27"/>
        <v>26380894</v>
      </c>
      <c r="Q103" s="2">
        <f t="shared" si="28"/>
        <v>1294981</v>
      </c>
      <c r="R103" s="2">
        <f t="shared" si="17"/>
        <v>27675875</v>
      </c>
    </row>
    <row r="104" spans="1:18" s="11" customFormat="1" ht="21" customHeight="1" x14ac:dyDescent="0.2">
      <c r="A104" s="55"/>
      <c r="B104" s="56"/>
      <c r="C104" s="56"/>
      <c r="D104" s="16" t="s">
        <v>535</v>
      </c>
      <c r="E104" s="5">
        <f>374690+1001501</f>
        <v>1376191</v>
      </c>
      <c r="F104" s="5">
        <f t="shared" si="25"/>
        <v>-54012.56</v>
      </c>
      <c r="G104" s="5">
        <f>-54013.56+1</f>
        <v>-54012.56</v>
      </c>
      <c r="H104" s="5"/>
      <c r="I104" s="5">
        <f t="shared" si="4"/>
        <v>1322178.44</v>
      </c>
      <c r="J104" s="5"/>
      <c r="K104" s="5">
        <f t="shared" si="26"/>
        <v>0</v>
      </c>
      <c r="L104" s="5"/>
      <c r="M104" s="5"/>
      <c r="N104" s="5"/>
      <c r="O104" s="5"/>
      <c r="P104" s="2">
        <f t="shared" si="27"/>
        <v>1376191</v>
      </c>
      <c r="Q104" s="2">
        <f t="shared" si="28"/>
        <v>-54012.56</v>
      </c>
      <c r="R104" s="2">
        <f t="shared" si="17"/>
        <v>1322178.44</v>
      </c>
    </row>
    <row r="105" spans="1:18" s="11" customFormat="1" ht="12" x14ac:dyDescent="0.2">
      <c r="A105" s="55" t="s">
        <v>386</v>
      </c>
      <c r="B105" s="56" t="s">
        <v>387</v>
      </c>
      <c r="C105" s="56" t="s">
        <v>33</v>
      </c>
      <c r="D105" s="27" t="s">
        <v>407</v>
      </c>
      <c r="E105" s="5">
        <v>371764</v>
      </c>
      <c r="F105" s="5">
        <f>G105+H105</f>
        <v>-1800</v>
      </c>
      <c r="G105" s="5">
        <f>-1800</f>
        <v>-1800</v>
      </c>
      <c r="H105" s="5"/>
      <c r="I105" s="5">
        <f>E105+F105</f>
        <v>369964</v>
      </c>
      <c r="J105" s="5">
        <v>0</v>
      </c>
      <c r="K105" s="5">
        <f t="shared" si="26"/>
        <v>0</v>
      </c>
      <c r="L105" s="5"/>
      <c r="M105" s="5"/>
      <c r="N105" s="5"/>
      <c r="O105" s="5">
        <f t="shared" ref="O105:O193" si="30">J105+K105</f>
        <v>0</v>
      </c>
      <c r="P105" s="2">
        <f t="shared" si="27"/>
        <v>371764</v>
      </c>
      <c r="Q105" s="2">
        <f t="shared" si="28"/>
        <v>-1800</v>
      </c>
      <c r="R105" s="2">
        <f t="shared" si="17"/>
        <v>369964</v>
      </c>
    </row>
    <row r="106" spans="1:18" s="11" customFormat="1" ht="12" x14ac:dyDescent="0.2">
      <c r="A106" s="55"/>
      <c r="B106" s="56"/>
      <c r="C106" s="56"/>
      <c r="D106" s="16" t="s">
        <v>285</v>
      </c>
      <c r="E106" s="5"/>
      <c r="F106" s="5">
        <f t="shared" si="25"/>
        <v>0</v>
      </c>
      <c r="G106" s="5"/>
      <c r="H106" s="5"/>
      <c r="I106" s="5">
        <f t="shared" ref="I106:I194" si="31">E106+F106</f>
        <v>0</v>
      </c>
      <c r="J106" s="5">
        <v>0</v>
      </c>
      <c r="K106" s="5">
        <f t="shared" si="26"/>
        <v>0</v>
      </c>
      <c r="L106" s="5"/>
      <c r="M106" s="5"/>
      <c r="N106" s="5"/>
      <c r="O106" s="5">
        <f t="shared" si="30"/>
        <v>0</v>
      </c>
      <c r="P106" s="2">
        <f t="shared" si="27"/>
        <v>0</v>
      </c>
      <c r="Q106" s="2">
        <f t="shared" si="28"/>
        <v>0</v>
      </c>
      <c r="R106" s="2">
        <f t="shared" si="17"/>
        <v>0</v>
      </c>
    </row>
    <row r="107" spans="1:18" s="11" customFormat="1" ht="36" x14ac:dyDescent="0.2">
      <c r="A107" s="55"/>
      <c r="B107" s="56"/>
      <c r="C107" s="56"/>
      <c r="D107" s="18" t="s">
        <v>346</v>
      </c>
      <c r="E107" s="5">
        <v>1814</v>
      </c>
      <c r="F107" s="5">
        <f t="shared" si="25"/>
        <v>-1800</v>
      </c>
      <c r="G107" s="5">
        <v>-1800</v>
      </c>
      <c r="H107" s="5"/>
      <c r="I107" s="5">
        <f t="shared" si="31"/>
        <v>14</v>
      </c>
      <c r="J107" s="5">
        <v>0</v>
      </c>
      <c r="K107" s="5">
        <f t="shared" si="26"/>
        <v>0</v>
      </c>
      <c r="L107" s="5"/>
      <c r="M107" s="5"/>
      <c r="N107" s="5"/>
      <c r="O107" s="5">
        <f t="shared" si="30"/>
        <v>0</v>
      </c>
      <c r="P107" s="2">
        <f t="shared" si="27"/>
        <v>1814</v>
      </c>
      <c r="Q107" s="2">
        <f t="shared" si="28"/>
        <v>-1800</v>
      </c>
      <c r="R107" s="2">
        <f t="shared" si="17"/>
        <v>14</v>
      </c>
    </row>
    <row r="108" spans="1:18" s="11" customFormat="1" ht="24" x14ac:dyDescent="0.2">
      <c r="A108" s="55" t="s">
        <v>142</v>
      </c>
      <c r="B108" s="56" t="s">
        <v>81</v>
      </c>
      <c r="C108" s="56"/>
      <c r="D108" s="18" t="s">
        <v>303</v>
      </c>
      <c r="E108" s="5">
        <f>E109+E110</f>
        <v>2540830</v>
      </c>
      <c r="F108" s="5">
        <f t="shared" si="25"/>
        <v>0</v>
      </c>
      <c r="G108" s="5">
        <f>G109+G110</f>
        <v>0</v>
      </c>
      <c r="H108" s="5"/>
      <c r="I108" s="5">
        <f t="shared" si="31"/>
        <v>2540830</v>
      </c>
      <c r="J108" s="5">
        <v>0</v>
      </c>
      <c r="K108" s="5">
        <f t="shared" si="26"/>
        <v>0</v>
      </c>
      <c r="L108" s="5"/>
      <c r="M108" s="5"/>
      <c r="N108" s="5"/>
      <c r="O108" s="5">
        <f t="shared" si="30"/>
        <v>0</v>
      </c>
      <c r="P108" s="2">
        <f t="shared" si="27"/>
        <v>2540830</v>
      </c>
      <c r="Q108" s="2">
        <f t="shared" si="28"/>
        <v>0</v>
      </c>
      <c r="R108" s="2">
        <f t="shared" si="17"/>
        <v>2540830</v>
      </c>
    </row>
    <row r="109" spans="1:18" s="11" customFormat="1" ht="24" x14ac:dyDescent="0.2">
      <c r="A109" s="55" t="s">
        <v>389</v>
      </c>
      <c r="B109" s="56" t="s">
        <v>390</v>
      </c>
      <c r="C109" s="56" t="s">
        <v>33</v>
      </c>
      <c r="D109" s="18" t="s">
        <v>408</v>
      </c>
      <c r="E109" s="5">
        <v>614430</v>
      </c>
      <c r="F109" s="5">
        <f t="shared" si="25"/>
        <v>0</v>
      </c>
      <c r="G109" s="5">
        <v>0</v>
      </c>
      <c r="H109" s="5"/>
      <c r="I109" s="5">
        <f t="shared" si="31"/>
        <v>614430</v>
      </c>
      <c r="J109" s="5">
        <v>0</v>
      </c>
      <c r="K109" s="5">
        <f t="shared" si="26"/>
        <v>0</v>
      </c>
      <c r="L109" s="5"/>
      <c r="M109" s="5"/>
      <c r="N109" s="5"/>
      <c r="O109" s="5">
        <f t="shared" si="30"/>
        <v>0</v>
      </c>
      <c r="P109" s="2">
        <f t="shared" si="27"/>
        <v>614430</v>
      </c>
      <c r="Q109" s="2">
        <f t="shared" si="28"/>
        <v>0</v>
      </c>
      <c r="R109" s="2">
        <f t="shared" si="17"/>
        <v>614430</v>
      </c>
    </row>
    <row r="110" spans="1:18" s="11" customFormat="1" ht="24" x14ac:dyDescent="0.2">
      <c r="A110" s="55" t="s">
        <v>391</v>
      </c>
      <c r="B110" s="56" t="s">
        <v>392</v>
      </c>
      <c r="C110" s="56" t="s">
        <v>33</v>
      </c>
      <c r="D110" s="18" t="s">
        <v>409</v>
      </c>
      <c r="E110" s="5">
        <f>2026400-100000</f>
        <v>1926400</v>
      </c>
      <c r="F110" s="5">
        <f t="shared" si="25"/>
        <v>0</v>
      </c>
      <c r="G110" s="5">
        <v>0</v>
      </c>
      <c r="H110" s="5"/>
      <c r="I110" s="5">
        <f t="shared" si="31"/>
        <v>1926400</v>
      </c>
      <c r="J110" s="5">
        <v>0</v>
      </c>
      <c r="K110" s="5">
        <f t="shared" si="26"/>
        <v>0</v>
      </c>
      <c r="L110" s="5"/>
      <c r="M110" s="5"/>
      <c r="N110" s="5"/>
      <c r="O110" s="5">
        <f t="shared" si="30"/>
        <v>0</v>
      </c>
      <c r="P110" s="2">
        <f t="shared" si="27"/>
        <v>1926400</v>
      </c>
      <c r="Q110" s="2">
        <f t="shared" si="28"/>
        <v>0</v>
      </c>
      <c r="R110" s="2">
        <f t="shared" si="17"/>
        <v>1926400</v>
      </c>
    </row>
    <row r="111" spans="1:18" s="11" customFormat="1" ht="24" x14ac:dyDescent="0.2">
      <c r="A111" s="55" t="s">
        <v>143</v>
      </c>
      <c r="B111" s="56" t="s">
        <v>83</v>
      </c>
      <c r="C111" s="56" t="s">
        <v>33</v>
      </c>
      <c r="D111" s="18" t="s">
        <v>393</v>
      </c>
      <c r="E111" s="5">
        <v>3300000</v>
      </c>
      <c r="F111" s="5">
        <f t="shared" si="25"/>
        <v>-261550</v>
      </c>
      <c r="G111" s="5">
        <f>-42100-219450</f>
        <v>-261550</v>
      </c>
      <c r="H111" s="5"/>
      <c r="I111" s="5">
        <f t="shared" si="31"/>
        <v>3038450</v>
      </c>
      <c r="J111" s="5">
        <v>0</v>
      </c>
      <c r="K111" s="5">
        <f t="shared" si="26"/>
        <v>0</v>
      </c>
      <c r="L111" s="5"/>
      <c r="M111" s="5"/>
      <c r="N111" s="5"/>
      <c r="O111" s="5">
        <f t="shared" si="30"/>
        <v>0</v>
      </c>
      <c r="P111" s="2">
        <f t="shared" si="27"/>
        <v>3300000</v>
      </c>
      <c r="Q111" s="2">
        <f t="shared" si="28"/>
        <v>-261550</v>
      </c>
      <c r="R111" s="2">
        <f t="shared" si="17"/>
        <v>3038450</v>
      </c>
    </row>
    <row r="112" spans="1:18" s="11" customFormat="1" ht="48" customHeight="1" x14ac:dyDescent="0.2">
      <c r="A112" s="55" t="s">
        <v>366</v>
      </c>
      <c r="B112" s="56" t="s">
        <v>367</v>
      </c>
      <c r="C112" s="56" t="s">
        <v>33</v>
      </c>
      <c r="D112" s="16" t="s">
        <v>368</v>
      </c>
      <c r="E112" s="5">
        <v>2776100</v>
      </c>
      <c r="F112" s="5">
        <f t="shared" si="25"/>
        <v>0</v>
      </c>
      <c r="G112" s="5"/>
      <c r="H112" s="5"/>
      <c r="I112" s="5">
        <f t="shared" si="31"/>
        <v>2776100</v>
      </c>
      <c r="J112" s="5">
        <v>0</v>
      </c>
      <c r="K112" s="5">
        <f t="shared" si="26"/>
        <v>0</v>
      </c>
      <c r="L112" s="5"/>
      <c r="M112" s="5"/>
      <c r="N112" s="5"/>
      <c r="O112" s="5">
        <f t="shared" si="30"/>
        <v>0</v>
      </c>
      <c r="P112" s="2">
        <f t="shared" si="27"/>
        <v>2776100</v>
      </c>
      <c r="Q112" s="2">
        <f t="shared" si="28"/>
        <v>0</v>
      </c>
      <c r="R112" s="2">
        <f t="shared" si="17"/>
        <v>2776100</v>
      </c>
    </row>
    <row r="113" spans="1:19" s="11" customFormat="1" ht="48" x14ac:dyDescent="0.2">
      <c r="A113" s="55" t="s">
        <v>492</v>
      </c>
      <c r="B113" s="56" t="s">
        <v>493</v>
      </c>
      <c r="C113" s="56" t="s">
        <v>33</v>
      </c>
      <c r="D113" s="16" t="s">
        <v>494</v>
      </c>
      <c r="E113" s="60">
        <f>478183.67+1174720-0.67</f>
        <v>1652903</v>
      </c>
      <c r="F113" s="5">
        <f t="shared" si="25"/>
        <v>0</v>
      </c>
      <c r="G113" s="60"/>
      <c r="H113" s="5"/>
      <c r="I113" s="5">
        <f t="shared" si="31"/>
        <v>1652903</v>
      </c>
      <c r="J113" s="5">
        <v>0</v>
      </c>
      <c r="K113" s="5">
        <f t="shared" si="26"/>
        <v>0</v>
      </c>
      <c r="L113" s="5">
        <f>1174720-1174720</f>
        <v>0</v>
      </c>
      <c r="M113" s="5"/>
      <c r="N113" s="5">
        <f>1174720-1174720</f>
        <v>0</v>
      </c>
      <c r="O113" s="5">
        <f t="shared" ref="O113:O114" si="32">K113+J113</f>
        <v>0</v>
      </c>
      <c r="P113" s="2">
        <f t="shared" si="27"/>
        <v>1652903</v>
      </c>
      <c r="Q113" s="2">
        <f t="shared" si="28"/>
        <v>0</v>
      </c>
      <c r="R113" s="2">
        <f t="shared" si="17"/>
        <v>1652903</v>
      </c>
    </row>
    <row r="114" spans="1:19" s="11" customFormat="1" ht="36" x14ac:dyDescent="0.2">
      <c r="A114" s="55" t="s">
        <v>649</v>
      </c>
      <c r="B114" s="56" t="s">
        <v>650</v>
      </c>
      <c r="C114" s="56" t="s">
        <v>33</v>
      </c>
      <c r="D114" s="16" t="s">
        <v>648</v>
      </c>
      <c r="E114" s="5"/>
      <c r="F114" s="5"/>
      <c r="G114" s="60"/>
      <c r="H114" s="5"/>
      <c r="I114" s="5"/>
      <c r="J114" s="5"/>
      <c r="K114" s="5">
        <f t="shared" si="26"/>
        <v>347800</v>
      </c>
      <c r="L114" s="5"/>
      <c r="M114" s="5"/>
      <c r="N114" s="5">
        <f>347800</f>
        <v>347800</v>
      </c>
      <c r="O114" s="5">
        <f t="shared" si="32"/>
        <v>347800</v>
      </c>
      <c r="P114" s="2">
        <f t="shared" ref="P114" si="33">E114+J114</f>
        <v>0</v>
      </c>
      <c r="Q114" s="2">
        <f t="shared" ref="Q114" si="34">F114+K114</f>
        <v>347800</v>
      </c>
      <c r="R114" s="2">
        <f t="shared" ref="R114" si="35">I114+O114</f>
        <v>347800</v>
      </c>
    </row>
    <row r="115" spans="1:19" s="11" customFormat="1" ht="12" x14ac:dyDescent="0.2">
      <c r="A115" s="55" t="s">
        <v>144</v>
      </c>
      <c r="B115" s="56" t="s">
        <v>84</v>
      </c>
      <c r="C115" s="56" t="s">
        <v>34</v>
      </c>
      <c r="D115" s="16" t="s">
        <v>85</v>
      </c>
      <c r="E115" s="5">
        <v>12767430</v>
      </c>
      <c r="F115" s="5">
        <f t="shared" si="25"/>
        <v>152000</v>
      </c>
      <c r="G115" s="5">
        <f>152000</f>
        <v>152000</v>
      </c>
      <c r="H115" s="5"/>
      <c r="I115" s="5">
        <f t="shared" si="31"/>
        <v>12919430</v>
      </c>
      <c r="J115" s="5">
        <v>0</v>
      </c>
      <c r="K115" s="5">
        <f t="shared" si="26"/>
        <v>0</v>
      </c>
      <c r="L115" s="5"/>
      <c r="M115" s="5"/>
      <c r="N115" s="5"/>
      <c r="O115" s="5">
        <f t="shared" si="30"/>
        <v>0</v>
      </c>
      <c r="P115" s="2">
        <f t="shared" si="27"/>
        <v>12767430</v>
      </c>
      <c r="Q115" s="2">
        <f t="shared" si="28"/>
        <v>152000</v>
      </c>
      <c r="R115" s="2">
        <f t="shared" si="17"/>
        <v>12919430</v>
      </c>
    </row>
    <row r="116" spans="1:19" s="11" customFormat="1" ht="48" x14ac:dyDescent="0.2">
      <c r="A116" s="55" t="s">
        <v>145</v>
      </c>
      <c r="B116" s="56" t="s">
        <v>86</v>
      </c>
      <c r="C116" s="56" t="s">
        <v>34</v>
      </c>
      <c r="D116" s="42" t="s">
        <v>87</v>
      </c>
      <c r="E116" s="5">
        <v>194400</v>
      </c>
      <c r="F116" s="5">
        <f t="shared" si="25"/>
        <v>-100000</v>
      </c>
      <c r="G116" s="5">
        <f>-26160-73840</f>
        <v>-100000</v>
      </c>
      <c r="H116" s="5"/>
      <c r="I116" s="5">
        <f t="shared" si="31"/>
        <v>94400</v>
      </c>
      <c r="J116" s="5">
        <v>0</v>
      </c>
      <c r="K116" s="5">
        <f t="shared" si="26"/>
        <v>0</v>
      </c>
      <c r="L116" s="5"/>
      <c r="M116" s="5"/>
      <c r="N116" s="5"/>
      <c r="O116" s="5">
        <f t="shared" si="30"/>
        <v>0</v>
      </c>
      <c r="P116" s="2">
        <f t="shared" si="27"/>
        <v>194400</v>
      </c>
      <c r="Q116" s="2">
        <f t="shared" si="28"/>
        <v>-100000</v>
      </c>
      <c r="R116" s="2">
        <f t="shared" si="17"/>
        <v>94400</v>
      </c>
    </row>
    <row r="117" spans="1:19" s="11" customFormat="1" ht="36" x14ac:dyDescent="0.2">
      <c r="A117" s="55" t="s">
        <v>495</v>
      </c>
      <c r="B117" s="56" t="s">
        <v>454</v>
      </c>
      <c r="C117" s="56" t="s">
        <v>22</v>
      </c>
      <c r="D117" s="42" t="s">
        <v>496</v>
      </c>
      <c r="E117" s="5"/>
      <c r="F117" s="5">
        <f t="shared" si="25"/>
        <v>0</v>
      </c>
      <c r="G117" s="5"/>
      <c r="H117" s="5"/>
      <c r="I117" s="5">
        <f t="shared" si="31"/>
        <v>0</v>
      </c>
      <c r="J117" s="5">
        <v>249300</v>
      </c>
      <c r="K117" s="5">
        <f t="shared" si="26"/>
        <v>0</v>
      </c>
      <c r="L117" s="5"/>
      <c r="M117" s="5"/>
      <c r="N117" s="5"/>
      <c r="O117" s="5">
        <f t="shared" si="30"/>
        <v>249300</v>
      </c>
      <c r="P117" s="2">
        <f t="shared" si="27"/>
        <v>249300</v>
      </c>
      <c r="Q117" s="2">
        <f t="shared" si="28"/>
        <v>0</v>
      </c>
      <c r="R117" s="2">
        <f t="shared" si="17"/>
        <v>249300</v>
      </c>
    </row>
    <row r="118" spans="1:19" s="11" customFormat="1" ht="24" x14ac:dyDescent="0.2">
      <c r="A118" s="55" t="s">
        <v>146</v>
      </c>
      <c r="B118" s="56" t="s">
        <v>65</v>
      </c>
      <c r="C118" s="56" t="s">
        <v>35</v>
      </c>
      <c r="D118" s="42" t="s">
        <v>56</v>
      </c>
      <c r="E118" s="5">
        <v>45379254</v>
      </c>
      <c r="F118" s="5">
        <f t="shared" si="25"/>
        <v>1071000</v>
      </c>
      <c r="G118" s="5">
        <f>870000+621000-420000</f>
        <v>1071000</v>
      </c>
      <c r="H118" s="5"/>
      <c r="I118" s="5">
        <f t="shared" si="31"/>
        <v>46450254</v>
      </c>
      <c r="J118" s="5">
        <v>2613700</v>
      </c>
      <c r="K118" s="5">
        <f t="shared" si="26"/>
        <v>420000</v>
      </c>
      <c r="L118" s="5">
        <f>420000</f>
        <v>420000</v>
      </c>
      <c r="M118" s="5"/>
      <c r="N118" s="5">
        <f>420000</f>
        <v>420000</v>
      </c>
      <c r="O118" s="5">
        <f t="shared" si="30"/>
        <v>3033700</v>
      </c>
      <c r="P118" s="2">
        <f t="shared" si="27"/>
        <v>47992954</v>
      </c>
      <c r="Q118" s="2">
        <f t="shared" si="28"/>
        <v>1491000</v>
      </c>
      <c r="R118" s="2">
        <f t="shared" si="17"/>
        <v>49483954</v>
      </c>
    </row>
    <row r="119" spans="1:19" s="11" customFormat="1" ht="24" x14ac:dyDescent="0.2">
      <c r="A119" s="55"/>
      <c r="B119" s="56"/>
      <c r="C119" s="56"/>
      <c r="D119" s="28" t="s">
        <v>535</v>
      </c>
      <c r="E119" s="5">
        <v>20000</v>
      </c>
      <c r="F119" s="5">
        <f t="shared" si="25"/>
        <v>0</v>
      </c>
      <c r="G119" s="5">
        <v>0</v>
      </c>
      <c r="H119" s="5"/>
      <c r="I119" s="5">
        <f t="shared" si="31"/>
        <v>20000</v>
      </c>
      <c r="J119" s="5"/>
      <c r="K119" s="5">
        <f t="shared" si="26"/>
        <v>0</v>
      </c>
      <c r="L119" s="5"/>
      <c r="M119" s="5"/>
      <c r="N119" s="5"/>
      <c r="O119" s="5"/>
      <c r="P119" s="2">
        <f t="shared" si="27"/>
        <v>20000</v>
      </c>
      <c r="Q119" s="2">
        <f t="shared" si="28"/>
        <v>0</v>
      </c>
      <c r="R119" s="2">
        <f t="shared" si="17"/>
        <v>20000</v>
      </c>
    </row>
    <row r="120" spans="1:19" s="11" customFormat="1" ht="12" x14ac:dyDescent="0.2">
      <c r="A120" s="55" t="s">
        <v>497</v>
      </c>
      <c r="B120" s="56" t="s">
        <v>498</v>
      </c>
      <c r="C120" s="56" t="s">
        <v>203</v>
      </c>
      <c r="D120" s="42" t="s">
        <v>499</v>
      </c>
      <c r="E120" s="5"/>
      <c r="F120" s="5">
        <f t="shared" si="25"/>
        <v>0</v>
      </c>
      <c r="G120" s="5"/>
      <c r="H120" s="5"/>
      <c r="I120" s="5"/>
      <c r="J120" s="5">
        <v>14127331</v>
      </c>
      <c r="K120" s="5">
        <f t="shared" si="26"/>
        <v>1895347</v>
      </c>
      <c r="L120" s="5">
        <f>1895347</f>
        <v>1895347</v>
      </c>
      <c r="M120" s="5"/>
      <c r="N120" s="5">
        <f>1895347</f>
        <v>1895347</v>
      </c>
      <c r="O120" s="5">
        <f t="shared" ref="O120:O123" si="36">K120+J120</f>
        <v>16022678</v>
      </c>
      <c r="P120" s="2">
        <f t="shared" si="27"/>
        <v>14127331</v>
      </c>
      <c r="Q120" s="2">
        <f t="shared" si="28"/>
        <v>1895347</v>
      </c>
      <c r="R120" s="2">
        <f t="shared" si="17"/>
        <v>16022678</v>
      </c>
    </row>
    <row r="121" spans="1:19" s="11" customFormat="1" ht="12" x14ac:dyDescent="0.2">
      <c r="A121" s="55"/>
      <c r="B121" s="56"/>
      <c r="C121" s="56"/>
      <c r="D121" s="42" t="s">
        <v>574</v>
      </c>
      <c r="E121" s="5"/>
      <c r="F121" s="5"/>
      <c r="G121" s="5"/>
      <c r="H121" s="5"/>
      <c r="I121" s="5"/>
      <c r="J121" s="5">
        <v>0</v>
      </c>
      <c r="K121" s="5">
        <f t="shared" si="26"/>
        <v>0</v>
      </c>
      <c r="L121" s="5"/>
      <c r="M121" s="5"/>
      <c r="N121" s="5"/>
      <c r="O121" s="5">
        <f t="shared" si="36"/>
        <v>0</v>
      </c>
      <c r="P121" s="2">
        <f t="shared" si="27"/>
        <v>0</v>
      </c>
      <c r="Q121" s="2">
        <f t="shared" si="28"/>
        <v>0</v>
      </c>
      <c r="R121" s="2">
        <f t="shared" si="17"/>
        <v>0</v>
      </c>
    </row>
    <row r="122" spans="1:19" s="11" customFormat="1" ht="48" x14ac:dyDescent="0.2">
      <c r="A122" s="55"/>
      <c r="B122" s="56"/>
      <c r="C122" s="56"/>
      <c r="D122" s="61" t="s">
        <v>602</v>
      </c>
      <c r="E122" s="5"/>
      <c r="F122" s="5"/>
      <c r="G122" s="5"/>
      <c r="H122" s="5"/>
      <c r="I122" s="5"/>
      <c r="J122" s="5">
        <v>150000</v>
      </c>
      <c r="K122" s="5">
        <f t="shared" si="26"/>
        <v>0</v>
      </c>
      <c r="L122" s="5"/>
      <c r="M122" s="5"/>
      <c r="N122" s="5"/>
      <c r="O122" s="5">
        <f t="shared" si="36"/>
        <v>150000</v>
      </c>
      <c r="P122" s="2">
        <f t="shared" si="27"/>
        <v>150000</v>
      </c>
      <c r="Q122" s="2">
        <f t="shared" si="28"/>
        <v>0</v>
      </c>
      <c r="R122" s="2">
        <f t="shared" si="17"/>
        <v>150000</v>
      </c>
    </row>
    <row r="123" spans="1:19" s="11" customFormat="1" ht="36" x14ac:dyDescent="0.2">
      <c r="A123" s="55"/>
      <c r="B123" s="56"/>
      <c r="C123" s="56"/>
      <c r="D123" s="61" t="s">
        <v>603</v>
      </c>
      <c r="E123" s="5"/>
      <c r="F123" s="5"/>
      <c r="G123" s="5"/>
      <c r="H123" s="5"/>
      <c r="I123" s="5"/>
      <c r="J123" s="5">
        <v>550000</v>
      </c>
      <c r="K123" s="5">
        <f t="shared" si="26"/>
        <v>0</v>
      </c>
      <c r="L123" s="5"/>
      <c r="M123" s="5"/>
      <c r="N123" s="5"/>
      <c r="O123" s="5">
        <f t="shared" si="36"/>
        <v>550000</v>
      </c>
      <c r="P123" s="2">
        <f t="shared" si="27"/>
        <v>550000</v>
      </c>
      <c r="Q123" s="2">
        <f t="shared" si="28"/>
        <v>0</v>
      </c>
      <c r="R123" s="2">
        <f t="shared" si="17"/>
        <v>550000</v>
      </c>
    </row>
    <row r="124" spans="1:19" s="11" customFormat="1" ht="92.25" customHeight="1" x14ac:dyDescent="0.2">
      <c r="A124" s="55" t="s">
        <v>261</v>
      </c>
      <c r="B124" s="56" t="s">
        <v>259</v>
      </c>
      <c r="C124" s="56" t="s">
        <v>24</v>
      </c>
      <c r="D124" s="16" t="s">
        <v>260</v>
      </c>
      <c r="E124" s="5"/>
      <c r="F124" s="5">
        <f t="shared" si="25"/>
        <v>0</v>
      </c>
      <c r="G124" s="5"/>
      <c r="H124" s="5"/>
      <c r="I124" s="5">
        <f t="shared" si="31"/>
        <v>0</v>
      </c>
      <c r="J124" s="5">
        <v>905372</v>
      </c>
      <c r="K124" s="5">
        <f t="shared" si="26"/>
        <v>0</v>
      </c>
      <c r="L124" s="5"/>
      <c r="M124" s="5"/>
      <c r="N124" s="5"/>
      <c r="O124" s="5">
        <f t="shared" si="30"/>
        <v>905372</v>
      </c>
      <c r="P124" s="2">
        <f t="shared" si="27"/>
        <v>905372</v>
      </c>
      <c r="Q124" s="2">
        <f t="shared" si="28"/>
        <v>0</v>
      </c>
      <c r="R124" s="2">
        <f t="shared" si="17"/>
        <v>905372</v>
      </c>
    </row>
    <row r="125" spans="1:19" s="11" customFormat="1" ht="24" x14ac:dyDescent="0.2">
      <c r="A125" s="55" t="s">
        <v>584</v>
      </c>
      <c r="B125" s="56" t="s">
        <v>97</v>
      </c>
      <c r="C125" s="56" t="s">
        <v>15</v>
      </c>
      <c r="D125" s="16" t="s">
        <v>6</v>
      </c>
      <c r="E125" s="5"/>
      <c r="F125" s="5">
        <v>0</v>
      </c>
      <c r="G125" s="5"/>
      <c r="H125" s="5"/>
      <c r="I125" s="5">
        <v>0</v>
      </c>
      <c r="J125" s="5">
        <v>90000</v>
      </c>
      <c r="K125" s="5">
        <f t="shared" si="26"/>
        <v>0</v>
      </c>
      <c r="L125" s="5"/>
      <c r="M125" s="5"/>
      <c r="N125" s="5"/>
      <c r="O125" s="5">
        <f t="shared" si="30"/>
        <v>90000</v>
      </c>
      <c r="P125" s="2">
        <f t="shared" si="27"/>
        <v>90000</v>
      </c>
      <c r="Q125" s="2">
        <f t="shared" si="28"/>
        <v>0</v>
      </c>
      <c r="R125" s="2">
        <f t="shared" si="17"/>
        <v>90000</v>
      </c>
    </row>
    <row r="126" spans="1:19" s="4" customFormat="1" ht="25.5" x14ac:dyDescent="0.2">
      <c r="A126" s="15" t="s">
        <v>108</v>
      </c>
      <c r="B126" s="1"/>
      <c r="C126" s="1"/>
      <c r="D126" s="54" t="s">
        <v>88</v>
      </c>
      <c r="E126" s="3">
        <f>E129+E134+E135+E136+E138+E128+E137</f>
        <v>104893064</v>
      </c>
      <c r="F126" s="3">
        <f>F129+F134+F135+F136+F138+F128+F137</f>
        <v>6603736</v>
      </c>
      <c r="G126" s="3">
        <f>G129+G134+G135+G136+G138+G128+G137</f>
        <v>6603736</v>
      </c>
      <c r="H126" s="3">
        <f>H129+H134+H135+H136+H138+H128+H137</f>
        <v>0</v>
      </c>
      <c r="I126" s="12">
        <f t="shared" si="31"/>
        <v>111496800</v>
      </c>
      <c r="J126" s="3">
        <f>SUM(J127:J129)+J134+J135+J136+J137+J138+J139+J140</f>
        <v>16356293</v>
      </c>
      <c r="K126" s="3">
        <f>SUM(K127:K129)+K134+K135+K136+K137+K138+K139+K140</f>
        <v>592866</v>
      </c>
      <c r="L126" s="3">
        <f t="shared" ref="L126:O126" si="37">SUM(L127:L129)+L134+L135+L136+L137+L138+L139+L140</f>
        <v>592866</v>
      </c>
      <c r="M126" s="3">
        <f t="shared" si="37"/>
        <v>0</v>
      </c>
      <c r="N126" s="3">
        <f t="shared" si="37"/>
        <v>592866</v>
      </c>
      <c r="O126" s="3">
        <f t="shared" si="37"/>
        <v>16949159</v>
      </c>
      <c r="P126" s="2">
        <f t="shared" si="27"/>
        <v>121249357</v>
      </c>
      <c r="Q126" s="2">
        <f t="shared" si="28"/>
        <v>7196602</v>
      </c>
      <c r="R126" s="2">
        <f t="shared" si="17"/>
        <v>128445959</v>
      </c>
      <c r="S126" s="46"/>
    </row>
    <row r="127" spans="1:19" s="4" customFormat="1" ht="25.5" x14ac:dyDescent="0.2">
      <c r="A127" s="15" t="s">
        <v>109</v>
      </c>
      <c r="B127" s="1"/>
      <c r="C127" s="1"/>
      <c r="D127" s="54" t="s">
        <v>88</v>
      </c>
      <c r="E127" s="2"/>
      <c r="F127" s="2"/>
      <c r="G127" s="2"/>
      <c r="H127" s="2"/>
      <c r="I127" s="5">
        <f t="shared" si="31"/>
        <v>0</v>
      </c>
      <c r="J127" s="5"/>
      <c r="K127" s="5"/>
      <c r="L127" s="2"/>
      <c r="M127" s="2"/>
      <c r="N127" s="2"/>
      <c r="O127" s="2"/>
      <c r="P127" s="2">
        <f t="shared" si="27"/>
        <v>0</v>
      </c>
      <c r="Q127" s="2">
        <f t="shared" si="28"/>
        <v>0</v>
      </c>
      <c r="R127" s="2">
        <f t="shared" si="17"/>
        <v>0</v>
      </c>
    </row>
    <row r="128" spans="1:19" s="4" customFormat="1" ht="36" x14ac:dyDescent="0.2">
      <c r="A128" s="55" t="s">
        <v>110</v>
      </c>
      <c r="B128" s="56" t="s">
        <v>60</v>
      </c>
      <c r="C128" s="56" t="s">
        <v>21</v>
      </c>
      <c r="D128" s="16" t="s">
        <v>447</v>
      </c>
      <c r="E128" s="5">
        <v>2900000</v>
      </c>
      <c r="F128" s="5">
        <f>G128+H128</f>
        <v>0</v>
      </c>
      <c r="G128" s="5"/>
      <c r="H128" s="5"/>
      <c r="I128" s="5">
        <f t="shared" si="31"/>
        <v>2900000</v>
      </c>
      <c r="J128" s="5">
        <v>0</v>
      </c>
      <c r="K128" s="5">
        <f t="shared" ref="K128:K140" si="38">M128+N128</f>
        <v>0</v>
      </c>
      <c r="L128" s="5"/>
      <c r="M128" s="5"/>
      <c r="N128" s="5"/>
      <c r="O128" s="5">
        <f t="shared" si="30"/>
        <v>0</v>
      </c>
      <c r="P128" s="2">
        <f t="shared" si="27"/>
        <v>2900000</v>
      </c>
      <c r="Q128" s="2">
        <f t="shared" si="28"/>
        <v>0</v>
      </c>
      <c r="R128" s="2">
        <f t="shared" si="17"/>
        <v>2900000</v>
      </c>
    </row>
    <row r="129" spans="1:19" s="11" customFormat="1" ht="24" x14ac:dyDescent="0.2">
      <c r="A129" s="55" t="s">
        <v>111</v>
      </c>
      <c r="B129" s="56">
        <v>2010</v>
      </c>
      <c r="C129" s="56" t="s">
        <v>16</v>
      </c>
      <c r="D129" s="16" t="s">
        <v>8</v>
      </c>
      <c r="E129" s="5">
        <v>41092559</v>
      </c>
      <c r="F129" s="5">
        <f>G129+H129</f>
        <v>6475992</v>
      </c>
      <c r="G129" s="5">
        <v>6475992</v>
      </c>
      <c r="H129" s="5"/>
      <c r="I129" s="5">
        <f>E129+F129</f>
        <v>47568551</v>
      </c>
      <c r="J129" s="5">
        <v>10980000</v>
      </c>
      <c r="K129" s="5">
        <f>M129+N129</f>
        <v>694064</v>
      </c>
      <c r="L129" s="5">
        <f>694064</f>
        <v>694064</v>
      </c>
      <c r="M129" s="5"/>
      <c r="N129" s="5">
        <f>694064</f>
        <v>694064</v>
      </c>
      <c r="O129" s="5">
        <f t="shared" si="30"/>
        <v>11674064</v>
      </c>
      <c r="P129" s="2">
        <f t="shared" si="27"/>
        <v>52072559</v>
      </c>
      <c r="Q129" s="2">
        <f t="shared" si="28"/>
        <v>7170056</v>
      </c>
      <c r="R129" s="2">
        <f t="shared" si="17"/>
        <v>59242615</v>
      </c>
    </row>
    <row r="130" spans="1:19" s="11" customFormat="1" ht="12" x14ac:dyDescent="0.2">
      <c r="A130" s="55"/>
      <c r="B130" s="56"/>
      <c r="C130" s="56"/>
      <c r="D130" s="16" t="s">
        <v>574</v>
      </c>
      <c r="E130" s="5"/>
      <c r="F130" s="5"/>
      <c r="G130" s="5"/>
      <c r="H130" s="5"/>
      <c r="I130" s="5"/>
      <c r="J130" s="5">
        <v>0</v>
      </c>
      <c r="K130" s="5">
        <f t="shared" si="38"/>
        <v>0</v>
      </c>
      <c r="L130" s="5"/>
      <c r="M130" s="5"/>
      <c r="N130" s="5"/>
      <c r="O130" s="5">
        <f t="shared" si="30"/>
        <v>0</v>
      </c>
      <c r="P130" s="2">
        <f t="shared" si="27"/>
        <v>0</v>
      </c>
      <c r="Q130" s="2">
        <f t="shared" si="28"/>
        <v>0</v>
      </c>
      <c r="R130" s="2">
        <f t="shared" si="17"/>
        <v>0</v>
      </c>
    </row>
    <row r="131" spans="1:19" s="11" customFormat="1" ht="60" x14ac:dyDescent="0.2">
      <c r="A131" s="55"/>
      <c r="B131" s="56"/>
      <c r="C131" s="56"/>
      <c r="D131" s="28" t="s">
        <v>614</v>
      </c>
      <c r="E131" s="5">
        <v>1310050</v>
      </c>
      <c r="F131" s="5">
        <f>G131</f>
        <v>0</v>
      </c>
      <c r="G131" s="5"/>
      <c r="H131" s="5"/>
      <c r="I131" s="5">
        <f>E131+F131</f>
        <v>1310050</v>
      </c>
      <c r="J131" s="5"/>
      <c r="K131" s="5"/>
      <c r="L131" s="5"/>
      <c r="M131" s="5"/>
      <c r="N131" s="5"/>
      <c r="O131" s="5"/>
      <c r="P131" s="2">
        <f t="shared" si="27"/>
        <v>1310050</v>
      </c>
      <c r="Q131" s="2">
        <f t="shared" si="28"/>
        <v>0</v>
      </c>
      <c r="R131" s="2">
        <f t="shared" si="17"/>
        <v>1310050</v>
      </c>
    </row>
    <row r="132" spans="1:19" s="11" customFormat="1" ht="60" x14ac:dyDescent="0.2">
      <c r="A132" s="55"/>
      <c r="B132" s="56"/>
      <c r="C132" s="56"/>
      <c r="D132" s="28" t="s">
        <v>575</v>
      </c>
      <c r="E132" s="5"/>
      <c r="F132" s="5"/>
      <c r="G132" s="5"/>
      <c r="H132" s="5"/>
      <c r="I132" s="5"/>
      <c r="J132" s="5">
        <v>80000</v>
      </c>
      <c r="K132" s="5">
        <f t="shared" si="38"/>
        <v>0</v>
      </c>
      <c r="L132" s="5"/>
      <c r="M132" s="5"/>
      <c r="N132" s="5"/>
      <c r="O132" s="5">
        <f t="shared" si="30"/>
        <v>80000</v>
      </c>
      <c r="P132" s="2">
        <f t="shared" si="27"/>
        <v>80000</v>
      </c>
      <c r="Q132" s="2">
        <f t="shared" si="28"/>
        <v>0</v>
      </c>
      <c r="R132" s="2">
        <f t="shared" si="17"/>
        <v>80000</v>
      </c>
    </row>
    <row r="133" spans="1:19" s="11" customFormat="1" ht="36" x14ac:dyDescent="0.2">
      <c r="A133" s="55"/>
      <c r="B133" s="56"/>
      <c r="C133" s="56"/>
      <c r="D133" s="28" t="s">
        <v>576</v>
      </c>
      <c r="E133" s="5"/>
      <c r="F133" s="5"/>
      <c r="G133" s="5"/>
      <c r="H133" s="5"/>
      <c r="I133" s="5"/>
      <c r="J133" s="5">
        <v>250000</v>
      </c>
      <c r="K133" s="5">
        <f t="shared" si="38"/>
        <v>0</v>
      </c>
      <c r="L133" s="5"/>
      <c r="M133" s="5"/>
      <c r="N133" s="5"/>
      <c r="O133" s="5">
        <f t="shared" si="30"/>
        <v>250000</v>
      </c>
      <c r="P133" s="2">
        <f t="shared" si="27"/>
        <v>250000</v>
      </c>
      <c r="Q133" s="2">
        <f t="shared" si="28"/>
        <v>0</v>
      </c>
      <c r="R133" s="2">
        <f t="shared" si="17"/>
        <v>250000</v>
      </c>
    </row>
    <row r="134" spans="1:19" s="11" customFormat="1" ht="24" x14ac:dyDescent="0.2">
      <c r="A134" s="55" t="s">
        <v>112</v>
      </c>
      <c r="B134" s="56" t="s">
        <v>89</v>
      </c>
      <c r="C134" s="56" t="s">
        <v>17</v>
      </c>
      <c r="D134" s="16" t="s">
        <v>10</v>
      </c>
      <c r="E134" s="5">
        <v>19679345</v>
      </c>
      <c r="F134" s="5">
        <f t="shared" ref="F134:F140" si="39">G134+H134</f>
        <v>2315000</v>
      </c>
      <c r="G134" s="5">
        <v>2315000</v>
      </c>
      <c r="H134" s="5"/>
      <c r="I134" s="5">
        <f t="shared" si="31"/>
        <v>21994345</v>
      </c>
      <c r="J134" s="5">
        <v>218900</v>
      </c>
      <c r="K134" s="5">
        <f t="shared" si="38"/>
        <v>0</v>
      </c>
      <c r="L134" s="5"/>
      <c r="M134" s="5"/>
      <c r="N134" s="5"/>
      <c r="O134" s="5">
        <f t="shared" si="30"/>
        <v>218900</v>
      </c>
      <c r="P134" s="2">
        <f t="shared" si="27"/>
        <v>19898245</v>
      </c>
      <c r="Q134" s="2">
        <f t="shared" si="28"/>
        <v>2315000</v>
      </c>
      <c r="R134" s="2">
        <f t="shared" si="17"/>
        <v>22213245</v>
      </c>
    </row>
    <row r="135" spans="1:19" s="11" customFormat="1" ht="24" x14ac:dyDescent="0.2">
      <c r="A135" s="55" t="s">
        <v>113</v>
      </c>
      <c r="B135" s="56" t="s">
        <v>90</v>
      </c>
      <c r="C135" s="56" t="s">
        <v>18</v>
      </c>
      <c r="D135" s="16" t="s">
        <v>249</v>
      </c>
      <c r="E135" s="5">
        <v>19077984</v>
      </c>
      <c r="F135" s="5">
        <f t="shared" si="39"/>
        <v>835700</v>
      </c>
      <c r="G135" s="5">
        <v>835700</v>
      </c>
      <c r="H135" s="5"/>
      <c r="I135" s="5">
        <f t="shared" si="31"/>
        <v>19913684</v>
      </c>
      <c r="J135" s="5">
        <v>0</v>
      </c>
      <c r="K135" s="5">
        <f t="shared" si="38"/>
        <v>0</v>
      </c>
      <c r="L135" s="5"/>
      <c r="M135" s="5"/>
      <c r="N135" s="5"/>
      <c r="O135" s="5">
        <f t="shared" si="30"/>
        <v>0</v>
      </c>
      <c r="P135" s="2">
        <f t="shared" si="27"/>
        <v>19077984</v>
      </c>
      <c r="Q135" s="2">
        <f t="shared" si="28"/>
        <v>835700</v>
      </c>
      <c r="R135" s="2">
        <f t="shared" si="17"/>
        <v>19913684</v>
      </c>
    </row>
    <row r="136" spans="1:19" s="11" customFormat="1" ht="12" x14ac:dyDescent="0.2">
      <c r="A136" s="55" t="s">
        <v>114</v>
      </c>
      <c r="B136" s="56" t="s">
        <v>91</v>
      </c>
      <c r="C136" s="56" t="s">
        <v>19</v>
      </c>
      <c r="D136" s="16" t="s">
        <v>92</v>
      </c>
      <c r="E136" s="5">
        <v>9241862</v>
      </c>
      <c r="F136" s="5">
        <f t="shared" si="39"/>
        <v>-1822256</v>
      </c>
      <c r="G136" s="5">
        <f>-1822256</f>
        <v>-1822256</v>
      </c>
      <c r="H136" s="5"/>
      <c r="I136" s="5">
        <f t="shared" si="31"/>
        <v>7419606</v>
      </c>
      <c r="J136" s="5">
        <v>0</v>
      </c>
      <c r="K136" s="5">
        <f t="shared" si="38"/>
        <v>0</v>
      </c>
      <c r="L136" s="5"/>
      <c r="M136" s="5"/>
      <c r="N136" s="5"/>
      <c r="O136" s="5">
        <f t="shared" si="30"/>
        <v>0</v>
      </c>
      <c r="P136" s="2">
        <f t="shared" si="27"/>
        <v>9241862</v>
      </c>
      <c r="Q136" s="2">
        <f t="shared" si="28"/>
        <v>-1822256</v>
      </c>
      <c r="R136" s="2">
        <f t="shared" si="17"/>
        <v>7419606</v>
      </c>
    </row>
    <row r="137" spans="1:19" s="11" customFormat="1" ht="36" x14ac:dyDescent="0.2">
      <c r="A137" s="55" t="s">
        <v>287</v>
      </c>
      <c r="B137" s="24" t="s">
        <v>274</v>
      </c>
      <c r="C137" s="24" t="s">
        <v>288</v>
      </c>
      <c r="D137" s="25" t="s">
        <v>275</v>
      </c>
      <c r="E137" s="5">
        <v>12576314</v>
      </c>
      <c r="F137" s="5">
        <f t="shared" si="39"/>
        <v>-1200700</v>
      </c>
      <c r="G137" s="5">
        <f>-1200700</f>
        <v>-1200700</v>
      </c>
      <c r="H137" s="5"/>
      <c r="I137" s="5">
        <f t="shared" si="31"/>
        <v>11375614</v>
      </c>
      <c r="J137" s="5">
        <v>0</v>
      </c>
      <c r="K137" s="5">
        <f t="shared" si="38"/>
        <v>0</v>
      </c>
      <c r="L137" s="5"/>
      <c r="M137" s="5"/>
      <c r="N137" s="5"/>
      <c r="O137" s="5">
        <f t="shared" si="30"/>
        <v>0</v>
      </c>
      <c r="P137" s="2">
        <f t="shared" si="27"/>
        <v>12576314</v>
      </c>
      <c r="Q137" s="2">
        <f t="shared" si="28"/>
        <v>-1200700</v>
      </c>
      <c r="R137" s="2">
        <f t="shared" si="17"/>
        <v>11375614</v>
      </c>
    </row>
    <row r="138" spans="1:19" s="11" customFormat="1" ht="12" x14ac:dyDescent="0.2">
      <c r="A138" s="55" t="s">
        <v>283</v>
      </c>
      <c r="B138" s="56" t="s">
        <v>284</v>
      </c>
      <c r="C138" s="56" t="s">
        <v>20</v>
      </c>
      <c r="D138" s="16" t="s">
        <v>289</v>
      </c>
      <c r="E138" s="5">
        <v>325000</v>
      </c>
      <c r="F138" s="5">
        <f t="shared" si="39"/>
        <v>0</v>
      </c>
      <c r="G138" s="5"/>
      <c r="H138" s="5"/>
      <c r="I138" s="5">
        <f t="shared" si="31"/>
        <v>325000</v>
      </c>
      <c r="J138" s="5">
        <v>0</v>
      </c>
      <c r="K138" s="5">
        <f t="shared" si="38"/>
        <v>0</v>
      </c>
      <c r="L138" s="5"/>
      <c r="M138" s="5"/>
      <c r="N138" s="5"/>
      <c r="O138" s="5">
        <f t="shared" si="30"/>
        <v>0</v>
      </c>
      <c r="P138" s="2">
        <f t="shared" si="27"/>
        <v>325000</v>
      </c>
      <c r="Q138" s="2">
        <f t="shared" si="28"/>
        <v>0</v>
      </c>
      <c r="R138" s="2">
        <f t="shared" si="17"/>
        <v>325000</v>
      </c>
    </row>
    <row r="139" spans="1:19" s="11" customFormat="1" ht="12" x14ac:dyDescent="0.2">
      <c r="A139" s="55" t="s">
        <v>500</v>
      </c>
      <c r="B139" s="56" t="s">
        <v>501</v>
      </c>
      <c r="C139" s="56" t="s">
        <v>203</v>
      </c>
      <c r="D139" s="16" t="s">
        <v>502</v>
      </c>
      <c r="E139" s="5"/>
      <c r="F139" s="5"/>
      <c r="G139" s="5"/>
      <c r="H139" s="5"/>
      <c r="I139" s="5"/>
      <c r="J139" s="5">
        <v>3842393</v>
      </c>
      <c r="K139" s="5">
        <f t="shared" si="38"/>
        <v>-101198</v>
      </c>
      <c r="L139" s="5">
        <f>-101198</f>
        <v>-101198</v>
      </c>
      <c r="M139" s="5"/>
      <c r="N139" s="5">
        <f>-101198</f>
        <v>-101198</v>
      </c>
      <c r="O139" s="5">
        <f t="shared" ref="O139" si="40">K139+J139</f>
        <v>3741195</v>
      </c>
      <c r="P139" s="2">
        <f t="shared" si="27"/>
        <v>3842393</v>
      </c>
      <c r="Q139" s="2">
        <f t="shared" si="28"/>
        <v>-101198</v>
      </c>
      <c r="R139" s="2">
        <f t="shared" si="17"/>
        <v>3741195</v>
      </c>
    </row>
    <row r="140" spans="1:19" s="11" customFormat="1" ht="88.5" customHeight="1" x14ac:dyDescent="0.2">
      <c r="A140" s="55" t="s">
        <v>262</v>
      </c>
      <c r="B140" s="56" t="s">
        <v>259</v>
      </c>
      <c r="C140" s="56" t="s">
        <v>24</v>
      </c>
      <c r="D140" s="16" t="s">
        <v>260</v>
      </c>
      <c r="E140" s="5"/>
      <c r="F140" s="5">
        <f t="shared" si="39"/>
        <v>0</v>
      </c>
      <c r="G140" s="5"/>
      <c r="H140" s="5"/>
      <c r="I140" s="5">
        <f t="shared" si="31"/>
        <v>0</v>
      </c>
      <c r="J140" s="5">
        <v>1315000</v>
      </c>
      <c r="K140" s="5">
        <f t="shared" si="38"/>
        <v>0</v>
      </c>
      <c r="L140" s="5"/>
      <c r="M140" s="5"/>
      <c r="N140" s="5"/>
      <c r="O140" s="5">
        <f t="shared" si="30"/>
        <v>1315000</v>
      </c>
      <c r="P140" s="2">
        <f t="shared" si="27"/>
        <v>1315000</v>
      </c>
      <c r="Q140" s="2">
        <f t="shared" si="28"/>
        <v>0</v>
      </c>
      <c r="R140" s="2">
        <f t="shared" si="17"/>
        <v>1315000</v>
      </c>
    </row>
    <row r="141" spans="1:19" s="4" customFormat="1" ht="25.5" x14ac:dyDescent="0.2">
      <c r="A141" s="15" t="s">
        <v>115</v>
      </c>
      <c r="B141" s="1"/>
      <c r="C141" s="1"/>
      <c r="D141" s="54" t="s">
        <v>306</v>
      </c>
      <c r="E141" s="3">
        <f>E143+E144+E147+E148+E149+E150+E152+E156+E157+E163+E174+E175+E179+E151+E158+E162+E180+E155</f>
        <v>384985499</v>
      </c>
      <c r="F141" s="3">
        <f>F143+F144+F147+F148+F149+F150+F152+F156+F157+F163+F174+F175+F179+F151+F158+F162+F180+F155</f>
        <v>84388712</v>
      </c>
      <c r="G141" s="3">
        <f>G143+G144+G147+G148+G149+G150+G152+G156+G157+G163+G174+G175+G179+G151+G158+G162+G180+G155</f>
        <v>84388712</v>
      </c>
      <c r="H141" s="3">
        <f t="shared" ref="H141:I141" si="41">H143+H144+H147+H148+H149+H150+H152+H156+H157+H163+H174+H175+H179+H151+H158+H162+H180+H155</f>
        <v>0</v>
      </c>
      <c r="I141" s="3">
        <f t="shared" si="41"/>
        <v>469374211</v>
      </c>
      <c r="J141" s="3">
        <f>J143+J144+J147+J148+J149+J150+J152+J156+J157+J163+J174+J175+J179+J151+J158+J162+J180+J159+J160+J161+J178+J155+J164</f>
        <v>107392717</v>
      </c>
      <c r="K141" s="3">
        <f>K143+K144+K147+K148+K149+K150+K152+K156+K157+K163+K174+K175+K179+K151+K158+K162+K180+K159+K160+K161+K178+K155+K164</f>
        <v>-209302</v>
      </c>
      <c r="L141" s="3">
        <f t="shared" ref="L141:N141" si="42">L143+L144+L147+L148+L149+L150+L152+L156+L157+L163+L174+L175+L179+L151+L158+L162+L180+L159+L160+L161+L178+L155+L164</f>
        <v>-209302</v>
      </c>
      <c r="M141" s="3">
        <f t="shared" si="42"/>
        <v>0</v>
      </c>
      <c r="N141" s="3">
        <f t="shared" si="42"/>
        <v>-209302</v>
      </c>
      <c r="O141" s="3">
        <f>O143+O144+O147+O148+O149+O150+O152+O156+O157+O163+O174+O175+O179+O151+O158+O162+O180+O159+O160+O161+O178+O155+O164</f>
        <v>107183415</v>
      </c>
      <c r="P141" s="2">
        <f t="shared" si="27"/>
        <v>492378216</v>
      </c>
      <c r="Q141" s="2">
        <f t="shared" si="28"/>
        <v>84179410</v>
      </c>
      <c r="R141" s="2">
        <f t="shared" si="17"/>
        <v>576557626</v>
      </c>
      <c r="S141" s="46"/>
    </row>
    <row r="142" spans="1:19" s="4" customFormat="1" ht="25.5" x14ac:dyDescent="0.2">
      <c r="A142" s="15" t="s">
        <v>134</v>
      </c>
      <c r="B142" s="1"/>
      <c r="C142" s="1"/>
      <c r="D142" s="54" t="s">
        <v>306</v>
      </c>
      <c r="E142" s="3"/>
      <c r="F142" s="3"/>
      <c r="G142" s="3"/>
      <c r="H142" s="3"/>
      <c r="I142" s="12">
        <f t="shared" si="31"/>
        <v>0</v>
      </c>
      <c r="J142" s="12">
        <v>0</v>
      </c>
      <c r="K142" s="12">
        <f t="shared" ref="K142:K179" si="43">M142+N142</f>
        <v>0</v>
      </c>
      <c r="L142" s="3"/>
      <c r="M142" s="3"/>
      <c r="N142" s="3"/>
      <c r="O142" s="3">
        <f t="shared" si="30"/>
        <v>0</v>
      </c>
      <c r="P142" s="2">
        <f t="shared" si="27"/>
        <v>0</v>
      </c>
      <c r="Q142" s="2">
        <f t="shared" si="28"/>
        <v>0</v>
      </c>
      <c r="R142" s="2">
        <f t="shared" ref="R142:R204" si="44">I142+O142</f>
        <v>0</v>
      </c>
    </row>
    <row r="143" spans="1:19" s="11" customFormat="1" ht="36" x14ac:dyDescent="0.2">
      <c r="A143" s="55" t="s">
        <v>127</v>
      </c>
      <c r="B143" s="56" t="s">
        <v>60</v>
      </c>
      <c r="C143" s="56" t="s">
        <v>21</v>
      </c>
      <c r="D143" s="16" t="s">
        <v>447</v>
      </c>
      <c r="E143" s="48">
        <v>31560000</v>
      </c>
      <c r="F143" s="12">
        <f>G143+H143</f>
        <v>225400</v>
      </c>
      <c r="G143" s="12">
        <f>-740000+400000+225400+340000</f>
        <v>225400</v>
      </c>
      <c r="H143" s="12"/>
      <c r="I143" s="12">
        <f t="shared" si="31"/>
        <v>31785400</v>
      </c>
      <c r="J143" s="12">
        <v>0</v>
      </c>
      <c r="K143" s="12">
        <f t="shared" si="43"/>
        <v>0</v>
      </c>
      <c r="L143" s="12"/>
      <c r="M143" s="12"/>
      <c r="N143" s="12"/>
      <c r="O143" s="12">
        <f t="shared" si="30"/>
        <v>0</v>
      </c>
      <c r="P143" s="2">
        <f t="shared" si="27"/>
        <v>31560000</v>
      </c>
      <c r="Q143" s="2">
        <f t="shared" si="28"/>
        <v>225400</v>
      </c>
      <c r="R143" s="2">
        <f t="shared" si="44"/>
        <v>31785400</v>
      </c>
    </row>
    <row r="144" spans="1:19" s="11" customFormat="1" ht="15" x14ac:dyDescent="0.2">
      <c r="A144" s="55" t="s">
        <v>268</v>
      </c>
      <c r="B144" s="56" t="s">
        <v>11</v>
      </c>
      <c r="C144" s="56" t="s">
        <v>13</v>
      </c>
      <c r="D144" s="16" t="s">
        <v>163</v>
      </c>
      <c r="E144" s="48">
        <v>2962900</v>
      </c>
      <c r="F144" s="12">
        <f t="shared" ref="F144:F179" si="45">G144+H144</f>
        <v>0</v>
      </c>
      <c r="G144" s="12"/>
      <c r="H144" s="12"/>
      <c r="I144" s="12">
        <f t="shared" si="31"/>
        <v>2962900</v>
      </c>
      <c r="J144" s="12">
        <v>0</v>
      </c>
      <c r="K144" s="12">
        <f t="shared" si="43"/>
        <v>0</v>
      </c>
      <c r="L144" s="12"/>
      <c r="M144" s="12"/>
      <c r="N144" s="12"/>
      <c r="O144" s="12">
        <f t="shared" si="30"/>
        <v>0</v>
      </c>
      <c r="P144" s="2">
        <f t="shared" si="27"/>
        <v>2962900</v>
      </c>
      <c r="Q144" s="2">
        <f t="shared" si="28"/>
        <v>0</v>
      </c>
      <c r="R144" s="2">
        <f t="shared" si="44"/>
        <v>2962900</v>
      </c>
    </row>
    <row r="145" spans="1:18" s="11" customFormat="1" ht="15" x14ac:dyDescent="0.2">
      <c r="A145" s="55"/>
      <c r="B145" s="56"/>
      <c r="C145" s="56"/>
      <c r="D145" s="16" t="s">
        <v>176</v>
      </c>
      <c r="E145" s="48"/>
      <c r="F145" s="12">
        <f t="shared" si="45"/>
        <v>0</v>
      </c>
      <c r="G145" s="12"/>
      <c r="H145" s="12"/>
      <c r="I145" s="12">
        <f t="shared" si="31"/>
        <v>0</v>
      </c>
      <c r="J145" s="12">
        <v>0</v>
      </c>
      <c r="K145" s="12">
        <f t="shared" si="43"/>
        <v>0</v>
      </c>
      <c r="L145" s="12"/>
      <c r="M145" s="12"/>
      <c r="N145" s="12"/>
      <c r="O145" s="12">
        <f t="shared" si="30"/>
        <v>0</v>
      </c>
      <c r="P145" s="2">
        <f t="shared" si="27"/>
        <v>0</v>
      </c>
      <c r="Q145" s="2">
        <f t="shared" si="28"/>
        <v>0</v>
      </c>
      <c r="R145" s="2">
        <f t="shared" si="44"/>
        <v>0</v>
      </c>
    </row>
    <row r="146" spans="1:18" s="11" customFormat="1" ht="15" x14ac:dyDescent="0.2">
      <c r="A146" s="55"/>
      <c r="B146" s="56"/>
      <c r="C146" s="56"/>
      <c r="D146" s="18" t="s">
        <v>296</v>
      </c>
      <c r="E146" s="48">
        <v>2962900</v>
      </c>
      <c r="F146" s="12">
        <f t="shared" si="45"/>
        <v>0</v>
      </c>
      <c r="G146" s="12"/>
      <c r="H146" s="12"/>
      <c r="I146" s="12">
        <f t="shared" si="31"/>
        <v>2962900</v>
      </c>
      <c r="J146" s="12">
        <v>0</v>
      </c>
      <c r="K146" s="12">
        <f t="shared" si="43"/>
        <v>0</v>
      </c>
      <c r="L146" s="12"/>
      <c r="M146" s="12"/>
      <c r="N146" s="12"/>
      <c r="O146" s="12">
        <f t="shared" si="30"/>
        <v>0</v>
      </c>
      <c r="P146" s="2">
        <f t="shared" si="27"/>
        <v>2962900</v>
      </c>
      <c r="Q146" s="2">
        <f t="shared" si="28"/>
        <v>0</v>
      </c>
      <c r="R146" s="2">
        <f t="shared" si="44"/>
        <v>2962900</v>
      </c>
    </row>
    <row r="147" spans="1:18" s="11" customFormat="1" ht="24" x14ac:dyDescent="0.2">
      <c r="A147" s="55" t="s">
        <v>128</v>
      </c>
      <c r="B147" s="56">
        <v>3031</v>
      </c>
      <c r="C147" s="56" t="s">
        <v>45</v>
      </c>
      <c r="D147" s="16" t="s">
        <v>104</v>
      </c>
      <c r="E147" s="48">
        <v>250000</v>
      </c>
      <c r="F147" s="12">
        <f t="shared" si="45"/>
        <v>-5400</v>
      </c>
      <c r="G147" s="12">
        <v>-5400</v>
      </c>
      <c r="H147" s="12"/>
      <c r="I147" s="12">
        <f t="shared" si="31"/>
        <v>244600</v>
      </c>
      <c r="J147" s="12">
        <v>0</v>
      </c>
      <c r="K147" s="12">
        <f t="shared" si="43"/>
        <v>0</v>
      </c>
      <c r="L147" s="12"/>
      <c r="M147" s="12"/>
      <c r="N147" s="12"/>
      <c r="O147" s="12">
        <f t="shared" si="30"/>
        <v>0</v>
      </c>
      <c r="P147" s="2">
        <f t="shared" si="27"/>
        <v>250000</v>
      </c>
      <c r="Q147" s="2">
        <f t="shared" si="28"/>
        <v>-5400</v>
      </c>
      <c r="R147" s="2">
        <f t="shared" si="44"/>
        <v>244600</v>
      </c>
    </row>
    <row r="148" spans="1:18" s="11" customFormat="1" ht="24" x14ac:dyDescent="0.2">
      <c r="A148" s="55" t="s">
        <v>129</v>
      </c>
      <c r="B148" s="56" t="s">
        <v>105</v>
      </c>
      <c r="C148" s="56" t="s">
        <v>22</v>
      </c>
      <c r="D148" s="16" t="s">
        <v>403</v>
      </c>
      <c r="E148" s="48">
        <v>850000</v>
      </c>
      <c r="F148" s="12">
        <f t="shared" si="45"/>
        <v>-479500</v>
      </c>
      <c r="G148" s="12">
        <f>-299500-180000</f>
        <v>-479500</v>
      </c>
      <c r="H148" s="12"/>
      <c r="I148" s="12">
        <f t="shared" si="31"/>
        <v>370500</v>
      </c>
      <c r="J148" s="12">
        <v>0</v>
      </c>
      <c r="K148" s="12">
        <f t="shared" si="43"/>
        <v>0</v>
      </c>
      <c r="L148" s="12"/>
      <c r="M148" s="12"/>
      <c r="N148" s="12"/>
      <c r="O148" s="12">
        <f t="shared" si="30"/>
        <v>0</v>
      </c>
      <c r="P148" s="2">
        <f t="shared" si="27"/>
        <v>850000</v>
      </c>
      <c r="Q148" s="2">
        <f t="shared" si="28"/>
        <v>-479500</v>
      </c>
      <c r="R148" s="2">
        <f t="shared" si="44"/>
        <v>370500</v>
      </c>
    </row>
    <row r="149" spans="1:18" s="11" customFormat="1" ht="36" x14ac:dyDescent="0.2">
      <c r="A149" s="55" t="s">
        <v>158</v>
      </c>
      <c r="B149" s="56" t="s">
        <v>159</v>
      </c>
      <c r="C149" s="56" t="s">
        <v>22</v>
      </c>
      <c r="D149" s="16" t="s">
        <v>53</v>
      </c>
      <c r="E149" s="48">
        <v>71700000</v>
      </c>
      <c r="F149" s="12">
        <f t="shared" si="45"/>
        <v>17630000</v>
      </c>
      <c r="G149" s="12">
        <v>17630000</v>
      </c>
      <c r="H149" s="12"/>
      <c r="I149" s="12">
        <f t="shared" si="31"/>
        <v>89330000</v>
      </c>
      <c r="J149" s="12">
        <v>0</v>
      </c>
      <c r="K149" s="12">
        <f t="shared" si="43"/>
        <v>0</v>
      </c>
      <c r="L149" s="12"/>
      <c r="M149" s="12"/>
      <c r="N149" s="12"/>
      <c r="O149" s="12">
        <f t="shared" si="30"/>
        <v>0</v>
      </c>
      <c r="P149" s="2">
        <f t="shared" si="27"/>
        <v>71700000</v>
      </c>
      <c r="Q149" s="2">
        <f t="shared" si="28"/>
        <v>17630000</v>
      </c>
      <c r="R149" s="2">
        <f t="shared" si="44"/>
        <v>89330000</v>
      </c>
    </row>
    <row r="150" spans="1:18" s="11" customFormat="1" ht="24" x14ac:dyDescent="0.2">
      <c r="A150" s="55" t="s">
        <v>160</v>
      </c>
      <c r="B150" s="56" t="s">
        <v>161</v>
      </c>
      <c r="C150" s="56" t="s">
        <v>22</v>
      </c>
      <c r="D150" s="16" t="s">
        <v>4</v>
      </c>
      <c r="E150" s="48">
        <v>1700000</v>
      </c>
      <c r="F150" s="12">
        <f t="shared" si="45"/>
        <v>0</v>
      </c>
      <c r="G150" s="12"/>
      <c r="H150" s="12"/>
      <c r="I150" s="12">
        <f t="shared" si="31"/>
        <v>1700000</v>
      </c>
      <c r="J150" s="12">
        <v>0</v>
      </c>
      <c r="K150" s="12">
        <f t="shared" si="43"/>
        <v>0</v>
      </c>
      <c r="L150" s="12"/>
      <c r="M150" s="12"/>
      <c r="N150" s="12"/>
      <c r="O150" s="12">
        <f t="shared" si="30"/>
        <v>0</v>
      </c>
      <c r="P150" s="2">
        <f t="shared" si="27"/>
        <v>1700000</v>
      </c>
      <c r="Q150" s="2">
        <f t="shared" si="28"/>
        <v>0</v>
      </c>
      <c r="R150" s="2">
        <f t="shared" si="44"/>
        <v>1700000</v>
      </c>
    </row>
    <row r="151" spans="1:18" s="11" customFormat="1" ht="24" x14ac:dyDescent="0.2">
      <c r="A151" s="55" t="s">
        <v>130</v>
      </c>
      <c r="B151" s="56">
        <v>3050</v>
      </c>
      <c r="C151" s="56" t="s">
        <v>22</v>
      </c>
      <c r="D151" s="16" t="s">
        <v>54</v>
      </c>
      <c r="E151" s="48">
        <v>303400</v>
      </c>
      <c r="F151" s="12">
        <f t="shared" si="45"/>
        <v>0</v>
      </c>
      <c r="G151" s="12"/>
      <c r="H151" s="12"/>
      <c r="I151" s="12">
        <f t="shared" si="31"/>
        <v>303400</v>
      </c>
      <c r="J151" s="12">
        <v>0</v>
      </c>
      <c r="K151" s="12">
        <f t="shared" si="43"/>
        <v>0</v>
      </c>
      <c r="L151" s="12"/>
      <c r="M151" s="12"/>
      <c r="N151" s="12"/>
      <c r="O151" s="12">
        <f t="shared" si="30"/>
        <v>0</v>
      </c>
      <c r="P151" s="2">
        <f t="shared" si="27"/>
        <v>303400</v>
      </c>
      <c r="Q151" s="2">
        <f t="shared" si="28"/>
        <v>0</v>
      </c>
      <c r="R151" s="2">
        <f t="shared" si="44"/>
        <v>303400</v>
      </c>
    </row>
    <row r="152" spans="1:18" s="11" customFormat="1" ht="24" x14ac:dyDescent="0.2">
      <c r="A152" s="55" t="s">
        <v>131</v>
      </c>
      <c r="B152" s="56">
        <v>3090</v>
      </c>
      <c r="C152" s="56" t="s">
        <v>45</v>
      </c>
      <c r="D152" s="16" t="s">
        <v>272</v>
      </c>
      <c r="E152" s="48">
        <v>1771264</v>
      </c>
      <c r="F152" s="12">
        <f>G152+H152</f>
        <v>180000</v>
      </c>
      <c r="G152" s="12">
        <f>180000</f>
        <v>180000</v>
      </c>
      <c r="H152" s="12"/>
      <c r="I152" s="12">
        <f t="shared" si="31"/>
        <v>1951264</v>
      </c>
      <c r="J152" s="12">
        <v>0</v>
      </c>
      <c r="K152" s="12">
        <f t="shared" si="43"/>
        <v>0</v>
      </c>
      <c r="L152" s="12"/>
      <c r="M152" s="12"/>
      <c r="N152" s="12"/>
      <c r="O152" s="12">
        <f t="shared" si="30"/>
        <v>0</v>
      </c>
      <c r="P152" s="2">
        <f t="shared" si="27"/>
        <v>1771264</v>
      </c>
      <c r="Q152" s="2">
        <f t="shared" si="28"/>
        <v>180000</v>
      </c>
      <c r="R152" s="2">
        <f t="shared" si="44"/>
        <v>1951264</v>
      </c>
    </row>
    <row r="153" spans="1:18" s="11" customFormat="1" ht="12.75" x14ac:dyDescent="0.2">
      <c r="A153" s="55"/>
      <c r="B153" s="56"/>
      <c r="C153" s="56"/>
      <c r="D153" s="16" t="s">
        <v>244</v>
      </c>
      <c r="E153" s="12"/>
      <c r="F153" s="12"/>
      <c r="G153" s="12"/>
      <c r="H153" s="12"/>
      <c r="I153" s="12">
        <f t="shared" si="31"/>
        <v>0</v>
      </c>
      <c r="J153" s="12"/>
      <c r="K153" s="12"/>
      <c r="L153" s="12"/>
      <c r="M153" s="12"/>
      <c r="N153" s="12"/>
      <c r="O153" s="12"/>
      <c r="P153" s="2">
        <f t="shared" ref="P153:P216" si="46">E153+J153</f>
        <v>0</v>
      </c>
      <c r="Q153" s="2">
        <f t="shared" ref="Q153:Q216" si="47">F153+K153</f>
        <v>0</v>
      </c>
      <c r="R153" s="2">
        <f t="shared" si="44"/>
        <v>0</v>
      </c>
    </row>
    <row r="154" spans="1:18" s="11" customFormat="1" ht="18" customHeight="1" x14ac:dyDescent="0.2">
      <c r="A154" s="55"/>
      <c r="B154" s="56"/>
      <c r="C154" s="56"/>
      <c r="D154" s="16" t="s">
        <v>541</v>
      </c>
      <c r="E154" s="12">
        <v>91096</v>
      </c>
      <c r="F154" s="12">
        <f t="shared" ref="F154:F155" si="48">G154+H154</f>
        <v>0</v>
      </c>
      <c r="G154" s="12"/>
      <c r="H154" s="12"/>
      <c r="I154" s="12">
        <f>E154+F154</f>
        <v>91096</v>
      </c>
      <c r="J154" s="12"/>
      <c r="K154" s="12"/>
      <c r="L154" s="12"/>
      <c r="M154" s="12"/>
      <c r="N154" s="12"/>
      <c r="O154" s="12"/>
      <c r="P154" s="2">
        <f t="shared" si="46"/>
        <v>91096</v>
      </c>
      <c r="Q154" s="2">
        <f t="shared" si="47"/>
        <v>0</v>
      </c>
      <c r="R154" s="2">
        <f t="shared" si="44"/>
        <v>91096</v>
      </c>
    </row>
    <row r="155" spans="1:18" s="11" customFormat="1" ht="48" x14ac:dyDescent="0.2">
      <c r="A155" s="55" t="s">
        <v>625</v>
      </c>
      <c r="B155" s="56" t="s">
        <v>86</v>
      </c>
      <c r="C155" s="56" t="s">
        <v>34</v>
      </c>
      <c r="D155" s="42" t="s">
        <v>87</v>
      </c>
      <c r="E155" s="12">
        <v>398600</v>
      </c>
      <c r="F155" s="12">
        <f t="shared" si="48"/>
        <v>0</v>
      </c>
      <c r="G155" s="12"/>
      <c r="H155" s="12"/>
      <c r="I155" s="12">
        <f>E155+F155</f>
        <v>398600</v>
      </c>
      <c r="J155" s="12"/>
      <c r="K155" s="12"/>
      <c r="L155" s="12"/>
      <c r="M155" s="12"/>
      <c r="N155" s="12"/>
      <c r="O155" s="12"/>
      <c r="P155" s="2">
        <f t="shared" si="46"/>
        <v>398600</v>
      </c>
      <c r="Q155" s="2">
        <f t="shared" si="47"/>
        <v>0</v>
      </c>
      <c r="R155" s="2">
        <f t="shared" si="44"/>
        <v>398600</v>
      </c>
    </row>
    <row r="156" spans="1:18" s="11" customFormat="1" ht="60" x14ac:dyDescent="0.2">
      <c r="A156" s="55" t="s">
        <v>246</v>
      </c>
      <c r="B156" s="56" t="s">
        <v>247</v>
      </c>
      <c r="C156" s="56" t="s">
        <v>47</v>
      </c>
      <c r="D156" s="16" t="s">
        <v>248</v>
      </c>
      <c r="E156" s="12">
        <v>7000000</v>
      </c>
      <c r="F156" s="12">
        <f t="shared" si="45"/>
        <v>1000000</v>
      </c>
      <c r="G156" s="12">
        <f>-1200000+2000000+200000</f>
        <v>1000000</v>
      </c>
      <c r="H156" s="12"/>
      <c r="I156" s="12">
        <f t="shared" si="31"/>
        <v>8000000</v>
      </c>
      <c r="J156" s="12">
        <v>0</v>
      </c>
      <c r="K156" s="12">
        <f t="shared" si="43"/>
        <v>0</v>
      </c>
      <c r="L156" s="12"/>
      <c r="M156" s="12"/>
      <c r="N156" s="12"/>
      <c r="O156" s="12">
        <f t="shared" si="30"/>
        <v>0</v>
      </c>
      <c r="P156" s="2">
        <f t="shared" si="46"/>
        <v>7000000</v>
      </c>
      <c r="Q156" s="2">
        <f t="shared" si="47"/>
        <v>1000000</v>
      </c>
      <c r="R156" s="2">
        <f t="shared" si="44"/>
        <v>8000000</v>
      </c>
    </row>
    <row r="157" spans="1:18" s="11" customFormat="1" ht="48" x14ac:dyDescent="0.2">
      <c r="A157" s="55" t="s">
        <v>234</v>
      </c>
      <c r="B157" s="56" t="s">
        <v>235</v>
      </c>
      <c r="C157" s="56" t="s">
        <v>46</v>
      </c>
      <c r="D157" s="16" t="s">
        <v>233</v>
      </c>
      <c r="E157" s="12">
        <v>16000000</v>
      </c>
      <c r="F157" s="12">
        <f t="shared" si="45"/>
        <v>-1160000</v>
      </c>
      <c r="G157" s="12">
        <f>-3250000+2000000+90000</f>
        <v>-1160000</v>
      </c>
      <c r="H157" s="12"/>
      <c r="I157" s="12">
        <f t="shared" si="31"/>
        <v>14840000</v>
      </c>
      <c r="J157" s="12">
        <v>0</v>
      </c>
      <c r="K157" s="12">
        <f t="shared" si="43"/>
        <v>0</v>
      </c>
      <c r="L157" s="12"/>
      <c r="M157" s="12"/>
      <c r="N157" s="12"/>
      <c r="O157" s="12">
        <f t="shared" si="30"/>
        <v>0</v>
      </c>
      <c r="P157" s="2">
        <f t="shared" si="46"/>
        <v>16000000</v>
      </c>
      <c r="Q157" s="2">
        <f t="shared" si="47"/>
        <v>-1160000</v>
      </c>
      <c r="R157" s="2">
        <f t="shared" si="44"/>
        <v>14840000</v>
      </c>
    </row>
    <row r="158" spans="1:18" s="11" customFormat="1" ht="36" x14ac:dyDescent="0.2">
      <c r="A158" s="55" t="s">
        <v>437</v>
      </c>
      <c r="B158" s="56" t="s">
        <v>438</v>
      </c>
      <c r="C158" s="56" t="s">
        <v>45</v>
      </c>
      <c r="D158" s="16" t="s">
        <v>439</v>
      </c>
      <c r="E158" s="12">
        <v>100000</v>
      </c>
      <c r="F158" s="12">
        <f t="shared" si="45"/>
        <v>0</v>
      </c>
      <c r="G158" s="12"/>
      <c r="H158" s="12"/>
      <c r="I158" s="12">
        <f t="shared" si="31"/>
        <v>100000</v>
      </c>
      <c r="J158" s="12">
        <v>0</v>
      </c>
      <c r="K158" s="12">
        <f t="shared" si="43"/>
        <v>0</v>
      </c>
      <c r="L158" s="12"/>
      <c r="M158" s="12"/>
      <c r="N158" s="12"/>
      <c r="O158" s="12">
        <f t="shared" si="30"/>
        <v>0</v>
      </c>
      <c r="P158" s="2">
        <f t="shared" si="46"/>
        <v>100000</v>
      </c>
      <c r="Q158" s="2">
        <f t="shared" si="47"/>
        <v>0</v>
      </c>
      <c r="R158" s="2">
        <f t="shared" si="44"/>
        <v>100000</v>
      </c>
    </row>
    <row r="159" spans="1:18" s="11" customFormat="1" ht="240" x14ac:dyDescent="0.2">
      <c r="A159" s="55" t="s">
        <v>585</v>
      </c>
      <c r="B159" s="56" t="s">
        <v>588</v>
      </c>
      <c r="C159" s="56" t="s">
        <v>46</v>
      </c>
      <c r="D159" s="16" t="s">
        <v>591</v>
      </c>
      <c r="E159" s="12"/>
      <c r="F159" s="12">
        <f t="shared" ref="F159" si="49">G159+H159</f>
        <v>0</v>
      </c>
      <c r="G159" s="12"/>
      <c r="H159" s="12"/>
      <c r="I159" s="12">
        <f t="shared" ref="I159" si="50">E159+F159</f>
        <v>0</v>
      </c>
      <c r="J159" s="12">
        <v>9110522</v>
      </c>
      <c r="K159" s="12">
        <f t="shared" si="43"/>
        <v>0</v>
      </c>
      <c r="L159" s="12"/>
      <c r="M159" s="12"/>
      <c r="N159" s="12"/>
      <c r="O159" s="12">
        <f t="shared" si="30"/>
        <v>9110522</v>
      </c>
      <c r="P159" s="2">
        <f t="shared" si="46"/>
        <v>9110522</v>
      </c>
      <c r="Q159" s="2">
        <f t="shared" si="47"/>
        <v>0</v>
      </c>
      <c r="R159" s="2">
        <f t="shared" si="44"/>
        <v>9110522</v>
      </c>
    </row>
    <row r="160" spans="1:18" s="11" customFormat="1" ht="228" x14ac:dyDescent="0.2">
      <c r="A160" s="55" t="s">
        <v>586</v>
      </c>
      <c r="B160" s="56" t="s">
        <v>589</v>
      </c>
      <c r="C160" s="56" t="s">
        <v>46</v>
      </c>
      <c r="D160" s="16" t="s">
        <v>592</v>
      </c>
      <c r="E160" s="12"/>
      <c r="F160" s="12">
        <f>G160+H160</f>
        <v>0</v>
      </c>
      <c r="G160" s="12"/>
      <c r="H160" s="12">
        <f t="shared" ref="H160" si="51">H161+H166</f>
        <v>0</v>
      </c>
      <c r="I160" s="12">
        <f>E160+F160</f>
        <v>0</v>
      </c>
      <c r="J160" s="12">
        <v>90294314</v>
      </c>
      <c r="K160" s="12">
        <f t="shared" si="43"/>
        <v>0</v>
      </c>
      <c r="L160" s="12"/>
      <c r="M160" s="12"/>
      <c r="N160" s="12"/>
      <c r="O160" s="12">
        <f t="shared" si="30"/>
        <v>90294314</v>
      </c>
      <c r="P160" s="2">
        <f t="shared" si="46"/>
        <v>90294314</v>
      </c>
      <c r="Q160" s="2">
        <f t="shared" si="47"/>
        <v>0</v>
      </c>
      <c r="R160" s="2">
        <f t="shared" si="44"/>
        <v>90294314</v>
      </c>
    </row>
    <row r="161" spans="1:18" s="11" customFormat="1" ht="156" x14ac:dyDescent="0.2">
      <c r="A161" s="55" t="s">
        <v>587</v>
      </c>
      <c r="B161" s="56" t="s">
        <v>590</v>
      </c>
      <c r="C161" s="56" t="s">
        <v>46</v>
      </c>
      <c r="D161" s="16" t="s">
        <v>593</v>
      </c>
      <c r="E161" s="12"/>
      <c r="F161" s="12">
        <f t="shared" ref="F161" si="52">G161+H161</f>
        <v>0</v>
      </c>
      <c r="G161" s="12"/>
      <c r="H161" s="12">
        <f t="shared" ref="H161" si="53">H163+H164+H165</f>
        <v>0</v>
      </c>
      <c r="I161" s="12">
        <f t="shared" ref="I161" si="54">E161+F161</f>
        <v>0</v>
      </c>
      <c r="J161" s="12">
        <v>5687881</v>
      </c>
      <c r="K161" s="12">
        <f t="shared" si="43"/>
        <v>0</v>
      </c>
      <c r="L161" s="12"/>
      <c r="M161" s="12"/>
      <c r="N161" s="12"/>
      <c r="O161" s="12">
        <f t="shared" si="30"/>
        <v>5687881</v>
      </c>
      <c r="P161" s="2">
        <f t="shared" si="46"/>
        <v>5687881</v>
      </c>
      <c r="Q161" s="2">
        <f t="shared" si="47"/>
        <v>0</v>
      </c>
      <c r="R161" s="2">
        <f t="shared" si="44"/>
        <v>5687881</v>
      </c>
    </row>
    <row r="162" spans="1:18" s="11" customFormat="1" ht="36" x14ac:dyDescent="0.2">
      <c r="A162" s="55" t="s">
        <v>453</v>
      </c>
      <c r="B162" s="56" t="s">
        <v>454</v>
      </c>
      <c r="C162" s="56" t="s">
        <v>22</v>
      </c>
      <c r="D162" s="16" t="s">
        <v>455</v>
      </c>
      <c r="E162" s="12">
        <v>709500</v>
      </c>
      <c r="F162" s="12">
        <f t="shared" si="45"/>
        <v>0</v>
      </c>
      <c r="G162" s="12"/>
      <c r="H162" s="12"/>
      <c r="I162" s="12">
        <f t="shared" si="31"/>
        <v>709500</v>
      </c>
      <c r="J162" s="12">
        <v>0</v>
      </c>
      <c r="K162" s="12">
        <f t="shared" si="43"/>
        <v>0</v>
      </c>
      <c r="L162" s="12"/>
      <c r="M162" s="12"/>
      <c r="N162" s="12"/>
      <c r="O162" s="12">
        <f t="shared" si="30"/>
        <v>0</v>
      </c>
      <c r="P162" s="2">
        <f t="shared" si="46"/>
        <v>709500</v>
      </c>
      <c r="Q162" s="2">
        <f t="shared" si="47"/>
        <v>0</v>
      </c>
      <c r="R162" s="2">
        <f t="shared" si="44"/>
        <v>709500</v>
      </c>
    </row>
    <row r="163" spans="1:18" s="11" customFormat="1" ht="16.5" customHeight="1" x14ac:dyDescent="0.2">
      <c r="A163" s="55" t="s">
        <v>239</v>
      </c>
      <c r="B163" s="56" t="s">
        <v>240</v>
      </c>
      <c r="C163" s="56"/>
      <c r="D163" s="16" t="s">
        <v>273</v>
      </c>
      <c r="E163" s="12">
        <f>E164+E170</f>
        <v>226966535</v>
      </c>
      <c r="F163" s="12">
        <f>G163+H163</f>
        <v>65098812</v>
      </c>
      <c r="G163" s="12">
        <f>G164+G170</f>
        <v>65098812</v>
      </c>
      <c r="H163" s="12">
        <f t="shared" ref="H163" si="55">H164+H170</f>
        <v>0</v>
      </c>
      <c r="I163" s="12">
        <f>E163+F163</f>
        <v>292065347</v>
      </c>
      <c r="J163" s="12">
        <v>0</v>
      </c>
      <c r="K163" s="12">
        <f t="shared" si="43"/>
        <v>0</v>
      </c>
      <c r="L163" s="12"/>
      <c r="M163" s="12"/>
      <c r="N163" s="12"/>
      <c r="O163" s="12">
        <f t="shared" si="30"/>
        <v>0</v>
      </c>
      <c r="P163" s="2">
        <f t="shared" si="46"/>
        <v>226966535</v>
      </c>
      <c r="Q163" s="2">
        <f t="shared" si="47"/>
        <v>65098812</v>
      </c>
      <c r="R163" s="2">
        <f t="shared" si="44"/>
        <v>292065347</v>
      </c>
    </row>
    <row r="164" spans="1:18" s="11" customFormat="1" ht="24" x14ac:dyDescent="0.2">
      <c r="A164" s="55" t="s">
        <v>236</v>
      </c>
      <c r="B164" s="56" t="s">
        <v>237</v>
      </c>
      <c r="C164" s="56" t="s">
        <v>49</v>
      </c>
      <c r="D164" s="16" t="s">
        <v>238</v>
      </c>
      <c r="E164" s="12">
        <f>E166+E167+E168+E169</f>
        <v>7837000</v>
      </c>
      <c r="F164" s="12">
        <f>G164+H164</f>
        <v>786202</v>
      </c>
      <c r="G164" s="12">
        <f>G166+G167+G168+G169</f>
        <v>786202</v>
      </c>
      <c r="H164" s="12">
        <f>H166+H167+H168+H169</f>
        <v>0</v>
      </c>
      <c r="I164" s="12">
        <f>E164+F164</f>
        <v>8623202</v>
      </c>
      <c r="J164" s="12">
        <v>0</v>
      </c>
      <c r="K164" s="12">
        <f>M164+N164</f>
        <v>38000</v>
      </c>
      <c r="L164" s="12">
        <f>SUM(L165:L169)</f>
        <v>38000</v>
      </c>
      <c r="M164" s="12">
        <f t="shared" ref="M164:N164" si="56">SUM(M165:M169)</f>
        <v>0</v>
      </c>
      <c r="N164" s="12">
        <f t="shared" si="56"/>
        <v>38000</v>
      </c>
      <c r="O164" s="12">
        <f t="shared" si="30"/>
        <v>38000</v>
      </c>
      <c r="P164" s="2">
        <f t="shared" si="46"/>
        <v>7837000</v>
      </c>
      <c r="Q164" s="2">
        <f t="shared" si="47"/>
        <v>824202</v>
      </c>
      <c r="R164" s="2">
        <f t="shared" si="44"/>
        <v>8661202</v>
      </c>
    </row>
    <row r="165" spans="1:18" s="11" customFormat="1" ht="12.75" x14ac:dyDescent="0.2">
      <c r="A165" s="55"/>
      <c r="B165" s="56"/>
      <c r="C165" s="56"/>
      <c r="D165" s="28" t="s">
        <v>244</v>
      </c>
      <c r="E165" s="12"/>
      <c r="F165" s="12">
        <f t="shared" si="45"/>
        <v>0</v>
      </c>
      <c r="G165" s="12"/>
      <c r="H165" s="12"/>
      <c r="I165" s="12">
        <f t="shared" si="31"/>
        <v>0</v>
      </c>
      <c r="J165" s="12">
        <v>0</v>
      </c>
      <c r="K165" s="12">
        <f t="shared" si="43"/>
        <v>0</v>
      </c>
      <c r="L165" s="12"/>
      <c r="M165" s="12"/>
      <c r="N165" s="12"/>
      <c r="O165" s="12">
        <f t="shared" si="30"/>
        <v>0</v>
      </c>
      <c r="P165" s="2">
        <f t="shared" si="46"/>
        <v>0</v>
      </c>
      <c r="Q165" s="2">
        <f t="shared" si="47"/>
        <v>0</v>
      </c>
      <c r="R165" s="2">
        <f t="shared" si="44"/>
        <v>0</v>
      </c>
    </row>
    <row r="166" spans="1:18" s="11" customFormat="1" ht="12.75" x14ac:dyDescent="0.2">
      <c r="A166" s="55"/>
      <c r="B166" s="56"/>
      <c r="C166" s="56"/>
      <c r="D166" s="28" t="s">
        <v>478</v>
      </c>
      <c r="E166" s="12">
        <v>550000</v>
      </c>
      <c r="F166" s="12">
        <f t="shared" si="45"/>
        <v>0</v>
      </c>
      <c r="G166" s="12"/>
      <c r="H166" s="12"/>
      <c r="I166" s="12">
        <f t="shared" si="31"/>
        <v>550000</v>
      </c>
      <c r="J166" s="12">
        <v>0</v>
      </c>
      <c r="K166" s="12">
        <f t="shared" si="43"/>
        <v>0</v>
      </c>
      <c r="L166" s="12"/>
      <c r="M166" s="12"/>
      <c r="N166" s="12"/>
      <c r="O166" s="12">
        <f t="shared" si="30"/>
        <v>0</v>
      </c>
      <c r="P166" s="2">
        <f t="shared" si="46"/>
        <v>550000</v>
      </c>
      <c r="Q166" s="2">
        <f t="shared" si="47"/>
        <v>0</v>
      </c>
      <c r="R166" s="2">
        <f t="shared" si="44"/>
        <v>550000</v>
      </c>
    </row>
    <row r="167" spans="1:18" s="11" customFormat="1" ht="24" x14ac:dyDescent="0.2">
      <c r="A167" s="55"/>
      <c r="B167" s="56"/>
      <c r="C167" s="56"/>
      <c r="D167" s="28" t="s">
        <v>211</v>
      </c>
      <c r="E167" s="12">
        <v>2000000</v>
      </c>
      <c r="F167" s="12">
        <f t="shared" si="45"/>
        <v>209900</v>
      </c>
      <c r="G167" s="12">
        <f>49900+160000</f>
        <v>209900</v>
      </c>
      <c r="H167" s="12"/>
      <c r="I167" s="12">
        <f t="shared" si="31"/>
        <v>2209900</v>
      </c>
      <c r="J167" s="12">
        <v>0</v>
      </c>
      <c r="K167" s="12">
        <f t="shared" si="43"/>
        <v>0</v>
      </c>
      <c r="L167" s="12"/>
      <c r="M167" s="12"/>
      <c r="N167" s="12"/>
      <c r="O167" s="12">
        <f>J167+K167</f>
        <v>0</v>
      </c>
      <c r="P167" s="2">
        <f t="shared" si="46"/>
        <v>2000000</v>
      </c>
      <c r="Q167" s="2">
        <f t="shared" si="47"/>
        <v>209900</v>
      </c>
      <c r="R167" s="2">
        <f t="shared" si="44"/>
        <v>2209900</v>
      </c>
    </row>
    <row r="168" spans="1:18" s="11" customFormat="1" ht="12.75" x14ac:dyDescent="0.2">
      <c r="A168" s="55"/>
      <c r="B168" s="56"/>
      <c r="C168" s="56"/>
      <c r="D168" s="28" t="s">
        <v>212</v>
      </c>
      <c r="E168" s="12">
        <f>3487000+300000</f>
        <v>3787000</v>
      </c>
      <c r="F168" s="12">
        <f t="shared" si="45"/>
        <v>190000</v>
      </c>
      <c r="G168" s="12">
        <v>190000</v>
      </c>
      <c r="H168" s="12"/>
      <c r="I168" s="12">
        <f t="shared" si="31"/>
        <v>3977000</v>
      </c>
      <c r="J168" s="12">
        <v>0</v>
      </c>
      <c r="K168" s="12">
        <f t="shared" si="43"/>
        <v>0</v>
      </c>
      <c r="L168" s="12"/>
      <c r="M168" s="12"/>
      <c r="N168" s="12"/>
      <c r="O168" s="12">
        <f t="shared" si="30"/>
        <v>0</v>
      </c>
      <c r="P168" s="2">
        <f t="shared" si="46"/>
        <v>3787000</v>
      </c>
      <c r="Q168" s="2">
        <f t="shared" si="47"/>
        <v>190000</v>
      </c>
      <c r="R168" s="2">
        <f t="shared" si="44"/>
        <v>3977000</v>
      </c>
    </row>
    <row r="169" spans="1:18" s="11" customFormat="1" ht="12.75" x14ac:dyDescent="0.2">
      <c r="A169" s="55"/>
      <c r="B169" s="56"/>
      <c r="C169" s="56"/>
      <c r="D169" s="28" t="s">
        <v>624</v>
      </c>
      <c r="E169" s="12">
        <v>1500000</v>
      </c>
      <c r="F169" s="12">
        <f t="shared" si="45"/>
        <v>386302</v>
      </c>
      <c r="G169" s="12">
        <f>20000+97000+60000+209302</f>
        <v>386302</v>
      </c>
      <c r="H169" s="12"/>
      <c r="I169" s="12">
        <f>E169+F169</f>
        <v>1886302</v>
      </c>
      <c r="J169" s="12"/>
      <c r="K169" s="12">
        <f t="shared" si="43"/>
        <v>38000</v>
      </c>
      <c r="L169" s="12">
        <f>38000</f>
        <v>38000</v>
      </c>
      <c r="M169" s="12"/>
      <c r="N169" s="12">
        <f>38000</f>
        <v>38000</v>
      </c>
      <c r="O169" s="12">
        <f t="shared" si="30"/>
        <v>38000</v>
      </c>
      <c r="P169" s="2">
        <f t="shared" si="46"/>
        <v>1500000</v>
      </c>
      <c r="Q169" s="2">
        <f t="shared" si="47"/>
        <v>424302</v>
      </c>
      <c r="R169" s="2">
        <f t="shared" si="44"/>
        <v>1924302</v>
      </c>
    </row>
    <row r="170" spans="1:18" s="11" customFormat="1" ht="24" x14ac:dyDescent="0.2">
      <c r="A170" s="55" t="s">
        <v>241</v>
      </c>
      <c r="B170" s="56" t="s">
        <v>242</v>
      </c>
      <c r="C170" s="56" t="s">
        <v>49</v>
      </c>
      <c r="D170" s="16" t="s">
        <v>243</v>
      </c>
      <c r="E170" s="12">
        <f>E172+E173</f>
        <v>219129535</v>
      </c>
      <c r="F170" s="12">
        <f t="shared" ref="F170:H170" si="57">F172+F173</f>
        <v>64312610</v>
      </c>
      <c r="G170" s="12">
        <f t="shared" si="57"/>
        <v>64312610</v>
      </c>
      <c r="H170" s="12">
        <f t="shared" si="57"/>
        <v>0</v>
      </c>
      <c r="I170" s="12">
        <f t="shared" si="31"/>
        <v>283442145</v>
      </c>
      <c r="J170" s="12">
        <v>0</v>
      </c>
      <c r="K170" s="12">
        <f t="shared" si="43"/>
        <v>0</v>
      </c>
      <c r="L170" s="12"/>
      <c r="M170" s="12"/>
      <c r="N170" s="12"/>
      <c r="O170" s="12">
        <f t="shared" si="30"/>
        <v>0</v>
      </c>
      <c r="P170" s="2">
        <f t="shared" si="46"/>
        <v>219129535</v>
      </c>
      <c r="Q170" s="2">
        <f t="shared" si="47"/>
        <v>64312610</v>
      </c>
      <c r="R170" s="2">
        <f t="shared" si="44"/>
        <v>283442145</v>
      </c>
    </row>
    <row r="171" spans="1:18" s="11" customFormat="1" ht="12.75" x14ac:dyDescent="0.2">
      <c r="A171" s="55"/>
      <c r="B171" s="56"/>
      <c r="C171" s="56"/>
      <c r="D171" s="28" t="s">
        <v>244</v>
      </c>
      <c r="E171" s="12"/>
      <c r="F171" s="12">
        <f t="shared" si="45"/>
        <v>0</v>
      </c>
      <c r="G171" s="12"/>
      <c r="H171" s="12"/>
      <c r="I171" s="12">
        <f t="shared" si="31"/>
        <v>0</v>
      </c>
      <c r="J171" s="12">
        <v>0</v>
      </c>
      <c r="K171" s="12">
        <f t="shared" si="43"/>
        <v>0</v>
      </c>
      <c r="L171" s="12"/>
      <c r="M171" s="12"/>
      <c r="N171" s="12"/>
      <c r="O171" s="12">
        <f t="shared" si="30"/>
        <v>0</v>
      </c>
      <c r="P171" s="2">
        <f t="shared" si="46"/>
        <v>0</v>
      </c>
      <c r="Q171" s="2">
        <f t="shared" si="47"/>
        <v>0</v>
      </c>
      <c r="R171" s="2">
        <f t="shared" si="44"/>
        <v>0</v>
      </c>
    </row>
    <row r="172" spans="1:18" s="11" customFormat="1" ht="12.75" x14ac:dyDescent="0.2">
      <c r="A172" s="55"/>
      <c r="B172" s="56"/>
      <c r="C172" s="56"/>
      <c r="D172" s="28" t="s">
        <v>245</v>
      </c>
      <c r="E172" s="12">
        <v>218680400</v>
      </c>
      <c r="F172" s="12">
        <f t="shared" si="45"/>
        <v>64312610</v>
      </c>
      <c r="G172" s="12">
        <f>250000+4450000+250000+250000+2000000+6500000+30000000+299900-500000+20000000+250000+562710</f>
        <v>64312610</v>
      </c>
      <c r="H172" s="12"/>
      <c r="I172" s="12">
        <f t="shared" si="31"/>
        <v>282993010</v>
      </c>
      <c r="J172" s="12">
        <v>0</v>
      </c>
      <c r="K172" s="12">
        <f t="shared" si="43"/>
        <v>0</v>
      </c>
      <c r="L172" s="12"/>
      <c r="M172" s="12"/>
      <c r="N172" s="12"/>
      <c r="O172" s="12">
        <f t="shared" si="30"/>
        <v>0</v>
      </c>
      <c r="P172" s="2">
        <f t="shared" si="46"/>
        <v>218680400</v>
      </c>
      <c r="Q172" s="2">
        <f t="shared" si="47"/>
        <v>64312610</v>
      </c>
      <c r="R172" s="2">
        <f t="shared" si="44"/>
        <v>282993010</v>
      </c>
    </row>
    <row r="173" spans="1:18" s="11" customFormat="1" ht="12.75" x14ac:dyDescent="0.2">
      <c r="A173" s="55"/>
      <c r="B173" s="56"/>
      <c r="C173" s="56"/>
      <c r="D173" s="28" t="s">
        <v>210</v>
      </c>
      <c r="E173" s="12">
        <v>449135</v>
      </c>
      <c r="F173" s="12">
        <f t="shared" si="45"/>
        <v>0</v>
      </c>
      <c r="G173" s="12"/>
      <c r="H173" s="12"/>
      <c r="I173" s="12">
        <f t="shared" si="31"/>
        <v>449135</v>
      </c>
      <c r="J173" s="12">
        <v>0</v>
      </c>
      <c r="K173" s="12">
        <f t="shared" si="43"/>
        <v>0</v>
      </c>
      <c r="L173" s="12"/>
      <c r="M173" s="12"/>
      <c r="N173" s="12"/>
      <c r="O173" s="12">
        <f t="shared" si="30"/>
        <v>0</v>
      </c>
      <c r="P173" s="2">
        <f t="shared" si="46"/>
        <v>449135</v>
      </c>
      <c r="Q173" s="2">
        <f t="shared" si="47"/>
        <v>0</v>
      </c>
      <c r="R173" s="2">
        <f t="shared" si="44"/>
        <v>449135</v>
      </c>
    </row>
    <row r="174" spans="1:18" s="11" customFormat="1" ht="48" x14ac:dyDescent="0.2">
      <c r="A174" s="55" t="s">
        <v>132</v>
      </c>
      <c r="B174" s="56">
        <v>3104</v>
      </c>
      <c r="C174" s="56" t="s">
        <v>48</v>
      </c>
      <c r="D174" s="16" t="s">
        <v>5</v>
      </c>
      <c r="E174" s="12">
        <v>16500000</v>
      </c>
      <c r="F174" s="12">
        <f t="shared" si="45"/>
        <v>550000</v>
      </c>
      <c r="G174" s="12">
        <f>250000+250000+250000+250000+250000-700000</f>
        <v>550000</v>
      </c>
      <c r="H174" s="12"/>
      <c r="I174" s="12">
        <f t="shared" si="31"/>
        <v>17050000</v>
      </c>
      <c r="J174" s="12">
        <v>0</v>
      </c>
      <c r="K174" s="12">
        <f t="shared" si="43"/>
        <v>0</v>
      </c>
      <c r="L174" s="12"/>
      <c r="M174" s="12"/>
      <c r="N174" s="12"/>
      <c r="O174" s="12">
        <f t="shared" si="30"/>
        <v>0</v>
      </c>
      <c r="P174" s="2">
        <f t="shared" si="46"/>
        <v>16500000</v>
      </c>
      <c r="Q174" s="2">
        <f t="shared" si="47"/>
        <v>550000</v>
      </c>
      <c r="R174" s="2">
        <f t="shared" si="44"/>
        <v>17050000</v>
      </c>
    </row>
    <row r="175" spans="1:18" s="11" customFormat="1" ht="24" x14ac:dyDescent="0.2">
      <c r="A175" s="55" t="s">
        <v>133</v>
      </c>
      <c r="B175" s="56" t="s">
        <v>106</v>
      </c>
      <c r="C175" s="56" t="s">
        <v>34</v>
      </c>
      <c r="D175" s="16" t="s">
        <v>402</v>
      </c>
      <c r="E175" s="12">
        <f>5600000+97800</f>
        <v>5697800</v>
      </c>
      <c r="F175" s="12">
        <f t="shared" si="45"/>
        <v>1349400</v>
      </c>
      <c r="G175" s="12">
        <f>49500+1000000+299900</f>
        <v>1349400</v>
      </c>
      <c r="H175" s="12"/>
      <c r="I175" s="12">
        <f t="shared" si="31"/>
        <v>7047200</v>
      </c>
      <c r="J175" s="12">
        <v>0</v>
      </c>
      <c r="K175" s="12">
        <f t="shared" si="43"/>
        <v>0</v>
      </c>
      <c r="L175" s="12"/>
      <c r="M175" s="12"/>
      <c r="N175" s="12"/>
      <c r="O175" s="12">
        <f t="shared" si="30"/>
        <v>0</v>
      </c>
      <c r="P175" s="2">
        <f t="shared" si="46"/>
        <v>5697800</v>
      </c>
      <c r="Q175" s="2">
        <f t="shared" si="47"/>
        <v>1349400</v>
      </c>
      <c r="R175" s="2">
        <f t="shared" si="44"/>
        <v>7047200</v>
      </c>
    </row>
    <row r="176" spans="1:18" s="11" customFormat="1" ht="12.75" x14ac:dyDescent="0.2">
      <c r="A176" s="55"/>
      <c r="B176" s="56"/>
      <c r="C176" s="56"/>
      <c r="D176" s="16" t="s">
        <v>345</v>
      </c>
      <c r="E176" s="12"/>
      <c r="F176" s="12">
        <f t="shared" si="45"/>
        <v>0</v>
      </c>
      <c r="G176" s="12"/>
      <c r="H176" s="12"/>
      <c r="I176" s="12">
        <f t="shared" si="31"/>
        <v>0</v>
      </c>
      <c r="J176" s="12">
        <v>0</v>
      </c>
      <c r="K176" s="12">
        <f t="shared" si="43"/>
        <v>0</v>
      </c>
      <c r="L176" s="12"/>
      <c r="M176" s="12"/>
      <c r="N176" s="12"/>
      <c r="O176" s="12">
        <f t="shared" si="30"/>
        <v>0</v>
      </c>
      <c r="P176" s="2">
        <f t="shared" si="46"/>
        <v>0</v>
      </c>
      <c r="Q176" s="2">
        <f t="shared" si="47"/>
        <v>0</v>
      </c>
      <c r="R176" s="2">
        <f t="shared" si="44"/>
        <v>0</v>
      </c>
    </row>
    <row r="177" spans="1:19" s="11" customFormat="1" ht="24" x14ac:dyDescent="0.2">
      <c r="A177" s="55"/>
      <c r="B177" s="56"/>
      <c r="C177" s="56"/>
      <c r="D177" s="28" t="s">
        <v>444</v>
      </c>
      <c r="E177" s="12">
        <f>500000+97800</f>
        <v>597800</v>
      </c>
      <c r="F177" s="12">
        <f t="shared" si="45"/>
        <v>1299900</v>
      </c>
      <c r="G177" s="12">
        <f>1000000+299900</f>
        <v>1299900</v>
      </c>
      <c r="H177" s="12"/>
      <c r="I177" s="12">
        <f t="shared" si="31"/>
        <v>1897700</v>
      </c>
      <c r="J177" s="12">
        <v>0</v>
      </c>
      <c r="K177" s="12">
        <f t="shared" si="43"/>
        <v>0</v>
      </c>
      <c r="L177" s="12"/>
      <c r="M177" s="12"/>
      <c r="N177" s="12"/>
      <c r="O177" s="12">
        <f t="shared" si="30"/>
        <v>0</v>
      </c>
      <c r="P177" s="2">
        <f t="shared" si="46"/>
        <v>597800</v>
      </c>
      <c r="Q177" s="2">
        <f t="shared" si="47"/>
        <v>1299900</v>
      </c>
      <c r="R177" s="2">
        <f t="shared" si="44"/>
        <v>1897700</v>
      </c>
    </row>
    <row r="178" spans="1:19" s="11" customFormat="1" ht="17.25" customHeight="1" x14ac:dyDescent="0.2">
      <c r="A178" s="55" t="s">
        <v>594</v>
      </c>
      <c r="B178" s="56" t="s">
        <v>229</v>
      </c>
      <c r="C178" s="56" t="s">
        <v>203</v>
      </c>
      <c r="D178" s="16" t="s">
        <v>484</v>
      </c>
      <c r="E178" s="12"/>
      <c r="F178" s="12">
        <v>0</v>
      </c>
      <c r="G178" s="12"/>
      <c r="H178" s="12"/>
      <c r="I178" s="12">
        <v>0</v>
      </c>
      <c r="J178" s="12">
        <v>1450000</v>
      </c>
      <c r="K178" s="12">
        <f t="shared" si="43"/>
        <v>-247302</v>
      </c>
      <c r="L178" s="12">
        <f>-247302</f>
        <v>-247302</v>
      </c>
      <c r="M178" s="12"/>
      <c r="N178" s="12">
        <f>-247302</f>
        <v>-247302</v>
      </c>
      <c r="O178" s="12">
        <f t="shared" si="30"/>
        <v>1202698</v>
      </c>
      <c r="P178" s="2">
        <f t="shared" si="46"/>
        <v>1450000</v>
      </c>
      <c r="Q178" s="2">
        <f t="shared" si="47"/>
        <v>-247302</v>
      </c>
      <c r="R178" s="2">
        <f t="shared" si="44"/>
        <v>1202698</v>
      </c>
    </row>
    <row r="179" spans="1:19" s="11" customFormat="1" ht="90" customHeight="1" x14ac:dyDescent="0.2">
      <c r="A179" s="55" t="s">
        <v>263</v>
      </c>
      <c r="B179" s="56" t="s">
        <v>259</v>
      </c>
      <c r="C179" s="56" t="s">
        <v>24</v>
      </c>
      <c r="D179" s="16" t="s">
        <v>260</v>
      </c>
      <c r="E179" s="12"/>
      <c r="F179" s="12">
        <f t="shared" si="45"/>
        <v>0</v>
      </c>
      <c r="G179" s="12"/>
      <c r="H179" s="12"/>
      <c r="I179" s="12">
        <f t="shared" si="31"/>
        <v>0</v>
      </c>
      <c r="J179" s="12">
        <v>850000</v>
      </c>
      <c r="K179" s="12">
        <f t="shared" si="43"/>
        <v>0</v>
      </c>
      <c r="L179" s="12"/>
      <c r="M179" s="12"/>
      <c r="N179" s="12"/>
      <c r="O179" s="12">
        <f t="shared" si="30"/>
        <v>850000</v>
      </c>
      <c r="P179" s="2">
        <f t="shared" si="46"/>
        <v>850000</v>
      </c>
      <c r="Q179" s="2">
        <f t="shared" si="47"/>
        <v>0</v>
      </c>
      <c r="R179" s="2">
        <f t="shared" si="44"/>
        <v>850000</v>
      </c>
    </row>
    <row r="180" spans="1:19" s="11" customFormat="1" ht="42" customHeight="1" x14ac:dyDescent="0.2">
      <c r="A180" s="44" t="s">
        <v>542</v>
      </c>
      <c r="B180" s="45" t="s">
        <v>543</v>
      </c>
      <c r="C180" s="45" t="s">
        <v>49</v>
      </c>
      <c r="D180" s="62" t="s">
        <v>544</v>
      </c>
      <c r="E180" s="5">
        <f>361500+154000</f>
        <v>515500</v>
      </c>
      <c r="F180" s="5"/>
      <c r="G180" s="5"/>
      <c r="H180" s="5"/>
      <c r="I180" s="12">
        <f t="shared" si="31"/>
        <v>515500</v>
      </c>
      <c r="J180" s="12"/>
      <c r="K180" s="12"/>
      <c r="L180" s="12"/>
      <c r="M180" s="12"/>
      <c r="N180" s="12"/>
      <c r="O180" s="12"/>
      <c r="P180" s="2">
        <f t="shared" si="46"/>
        <v>515500</v>
      </c>
      <c r="Q180" s="2">
        <f t="shared" si="47"/>
        <v>0</v>
      </c>
      <c r="R180" s="2">
        <f t="shared" si="44"/>
        <v>515500</v>
      </c>
    </row>
    <row r="181" spans="1:19" s="4" customFormat="1" ht="25.5" x14ac:dyDescent="0.2">
      <c r="A181" s="15" t="s">
        <v>116</v>
      </c>
      <c r="B181" s="1"/>
      <c r="C181" s="1"/>
      <c r="D181" s="54" t="s">
        <v>308</v>
      </c>
      <c r="E181" s="3">
        <f>E183+E187+E185+E184</f>
        <v>6693500</v>
      </c>
      <c r="F181" s="3">
        <f>G181+H181</f>
        <v>616000</v>
      </c>
      <c r="G181" s="3">
        <f>G183+G187+G185+G184</f>
        <v>616000</v>
      </c>
      <c r="H181" s="3">
        <f>H183+H187+H185+H184</f>
        <v>0</v>
      </c>
      <c r="I181" s="3">
        <f>E181+F181</f>
        <v>7309500</v>
      </c>
      <c r="J181" s="3">
        <f>SUM(J183:J187)</f>
        <v>1031000</v>
      </c>
      <c r="K181" s="3">
        <f>SUM(K183:K187)</f>
        <v>650000</v>
      </c>
      <c r="L181" s="3">
        <f>SUM(L183:L187)</f>
        <v>0</v>
      </c>
      <c r="M181" s="3">
        <f t="shared" ref="M181:N181" si="58">SUM(M183:M187)</f>
        <v>650000</v>
      </c>
      <c r="N181" s="3">
        <f t="shared" si="58"/>
        <v>0</v>
      </c>
      <c r="O181" s="3">
        <f>SUM(O183:O187)</f>
        <v>1681000</v>
      </c>
      <c r="P181" s="2">
        <f t="shared" si="46"/>
        <v>7724500</v>
      </c>
      <c r="Q181" s="2">
        <f t="shared" si="47"/>
        <v>1266000</v>
      </c>
      <c r="R181" s="2">
        <f t="shared" si="44"/>
        <v>8990500</v>
      </c>
      <c r="S181" s="46"/>
    </row>
    <row r="182" spans="1:19" s="4" customFormat="1" ht="25.5" x14ac:dyDescent="0.2">
      <c r="A182" s="15" t="s">
        <v>147</v>
      </c>
      <c r="B182" s="1"/>
      <c r="C182" s="1"/>
      <c r="D182" s="54" t="s">
        <v>308</v>
      </c>
      <c r="E182" s="2"/>
      <c r="F182" s="12">
        <f t="shared" ref="F182:F222" si="59">G182+H182</f>
        <v>0</v>
      </c>
      <c r="G182" s="52"/>
      <c r="H182" s="52"/>
      <c r="I182" s="12">
        <f t="shared" si="31"/>
        <v>0</v>
      </c>
      <c r="J182" s="12">
        <v>0</v>
      </c>
      <c r="K182" s="12">
        <f t="shared" ref="K182:K187" si="60">M182+N182</f>
        <v>0</v>
      </c>
      <c r="L182" s="3"/>
      <c r="M182" s="3"/>
      <c r="N182" s="3"/>
      <c r="O182" s="3">
        <f t="shared" si="30"/>
        <v>0</v>
      </c>
      <c r="P182" s="2">
        <f t="shared" si="46"/>
        <v>0</v>
      </c>
      <c r="Q182" s="2">
        <f t="shared" si="47"/>
        <v>0</v>
      </c>
      <c r="R182" s="2">
        <f t="shared" si="44"/>
        <v>0</v>
      </c>
    </row>
    <row r="183" spans="1:19" s="11" customFormat="1" ht="36" x14ac:dyDescent="0.2">
      <c r="A183" s="55" t="s">
        <v>148</v>
      </c>
      <c r="B183" s="56" t="s">
        <v>60</v>
      </c>
      <c r="C183" s="56" t="s">
        <v>21</v>
      </c>
      <c r="D183" s="16" t="s">
        <v>447</v>
      </c>
      <c r="E183" s="5">
        <v>4704000</v>
      </c>
      <c r="F183" s="12">
        <f t="shared" si="59"/>
        <v>1137000</v>
      </c>
      <c r="G183" s="12">
        <f>1137000</f>
        <v>1137000</v>
      </c>
      <c r="H183" s="51"/>
      <c r="I183" s="12">
        <f t="shared" si="31"/>
        <v>5841000</v>
      </c>
      <c r="J183" s="12">
        <v>96000</v>
      </c>
      <c r="K183" s="12">
        <f t="shared" si="60"/>
        <v>0</v>
      </c>
      <c r="L183" s="12"/>
      <c r="M183" s="12"/>
      <c r="N183" s="12"/>
      <c r="O183" s="12">
        <f t="shared" si="30"/>
        <v>96000</v>
      </c>
      <c r="P183" s="2">
        <f t="shared" si="46"/>
        <v>4800000</v>
      </c>
      <c r="Q183" s="2">
        <f t="shared" si="47"/>
        <v>1137000</v>
      </c>
      <c r="R183" s="2">
        <f t="shared" si="44"/>
        <v>5937000</v>
      </c>
    </row>
    <row r="184" spans="1:19" s="11" customFormat="1" ht="48" x14ac:dyDescent="0.2">
      <c r="A184" s="55" t="s">
        <v>626</v>
      </c>
      <c r="B184" s="56" t="s">
        <v>86</v>
      </c>
      <c r="C184" s="56" t="s">
        <v>34</v>
      </c>
      <c r="D184" s="42" t="s">
        <v>87</v>
      </c>
      <c r="E184" s="5">
        <v>199600</v>
      </c>
      <c r="F184" s="12">
        <f t="shared" si="59"/>
        <v>0</v>
      </c>
      <c r="G184" s="12"/>
      <c r="H184" s="51"/>
      <c r="I184" s="12">
        <f t="shared" si="31"/>
        <v>199600</v>
      </c>
      <c r="J184" s="12"/>
      <c r="K184" s="12"/>
      <c r="L184" s="12"/>
      <c r="M184" s="12"/>
      <c r="N184" s="12"/>
      <c r="O184" s="12"/>
      <c r="P184" s="2">
        <f t="shared" si="46"/>
        <v>199600</v>
      </c>
      <c r="Q184" s="2">
        <f t="shared" si="47"/>
        <v>0</v>
      </c>
      <c r="R184" s="2">
        <f t="shared" si="44"/>
        <v>199600</v>
      </c>
    </row>
    <row r="185" spans="1:19" s="11" customFormat="1" ht="24" x14ac:dyDescent="0.2">
      <c r="A185" s="55" t="s">
        <v>442</v>
      </c>
      <c r="B185" s="56" t="s">
        <v>237</v>
      </c>
      <c r="C185" s="56" t="s">
        <v>49</v>
      </c>
      <c r="D185" s="16" t="s">
        <v>238</v>
      </c>
      <c r="E185" s="5">
        <v>1789900</v>
      </c>
      <c r="F185" s="12">
        <f t="shared" si="59"/>
        <v>-521000</v>
      </c>
      <c r="G185" s="5">
        <f>-120000-444000+43000</f>
        <v>-521000</v>
      </c>
      <c r="H185" s="51"/>
      <c r="I185" s="12">
        <f t="shared" si="31"/>
        <v>1268900</v>
      </c>
      <c r="J185" s="12">
        <v>0</v>
      </c>
      <c r="K185" s="12">
        <f t="shared" si="60"/>
        <v>0</v>
      </c>
      <c r="L185" s="12">
        <v>0</v>
      </c>
      <c r="M185" s="12">
        <v>0</v>
      </c>
      <c r="N185" s="12">
        <v>0</v>
      </c>
      <c r="O185" s="12">
        <f t="shared" si="30"/>
        <v>0</v>
      </c>
      <c r="P185" s="2">
        <f t="shared" si="46"/>
        <v>1789900</v>
      </c>
      <c r="Q185" s="2">
        <f t="shared" si="47"/>
        <v>-521000</v>
      </c>
      <c r="R185" s="2">
        <f t="shared" si="44"/>
        <v>1268900</v>
      </c>
    </row>
    <row r="186" spans="1:19" s="11" customFormat="1" ht="19.5" customHeight="1" x14ac:dyDescent="0.2">
      <c r="A186" s="55"/>
      <c r="B186" s="56"/>
      <c r="C186" s="56"/>
      <c r="D186" s="28" t="s">
        <v>571</v>
      </c>
      <c r="E186" s="5">
        <v>500000</v>
      </c>
      <c r="F186" s="12">
        <f t="shared" si="59"/>
        <v>0</v>
      </c>
      <c r="G186" s="5"/>
      <c r="H186" s="51"/>
      <c r="I186" s="12">
        <f t="shared" si="31"/>
        <v>500000</v>
      </c>
      <c r="J186" s="12"/>
      <c r="K186" s="12"/>
      <c r="L186" s="12"/>
      <c r="M186" s="12"/>
      <c r="N186" s="12"/>
      <c r="O186" s="12"/>
      <c r="P186" s="2">
        <f t="shared" si="46"/>
        <v>500000</v>
      </c>
      <c r="Q186" s="2">
        <f t="shared" si="47"/>
        <v>0</v>
      </c>
      <c r="R186" s="2">
        <f t="shared" si="44"/>
        <v>500000</v>
      </c>
    </row>
    <row r="187" spans="1:19" s="11" customFormat="1" ht="97.5" customHeight="1" x14ac:dyDescent="0.2">
      <c r="A187" s="55" t="s">
        <v>264</v>
      </c>
      <c r="B187" s="56" t="s">
        <v>259</v>
      </c>
      <c r="C187" s="56" t="s">
        <v>24</v>
      </c>
      <c r="D187" s="16" t="s">
        <v>260</v>
      </c>
      <c r="E187" s="49"/>
      <c r="F187" s="12">
        <f t="shared" si="59"/>
        <v>0</v>
      </c>
      <c r="G187" s="12"/>
      <c r="H187" s="49"/>
      <c r="I187" s="12">
        <f t="shared" si="31"/>
        <v>0</v>
      </c>
      <c r="J187" s="12">
        <v>935000</v>
      </c>
      <c r="K187" s="12">
        <f t="shared" si="60"/>
        <v>650000</v>
      </c>
      <c r="L187" s="12"/>
      <c r="M187" s="12">
        <f>650000</f>
        <v>650000</v>
      </c>
      <c r="N187" s="12"/>
      <c r="O187" s="12">
        <f t="shared" si="30"/>
        <v>1585000</v>
      </c>
      <c r="P187" s="2">
        <f t="shared" si="46"/>
        <v>935000</v>
      </c>
      <c r="Q187" s="2">
        <f t="shared" si="47"/>
        <v>650000</v>
      </c>
      <c r="R187" s="2">
        <f t="shared" si="44"/>
        <v>1585000</v>
      </c>
    </row>
    <row r="188" spans="1:19" s="4" customFormat="1" ht="25.5" x14ac:dyDescent="0.2">
      <c r="A188" s="15" t="s">
        <v>117</v>
      </c>
      <c r="B188" s="1"/>
      <c r="C188" s="1"/>
      <c r="D188" s="54" t="s">
        <v>305</v>
      </c>
      <c r="E188" s="3">
        <f>E190+E191+E193+E195+E196+E197+E198+E202+E194+E192</f>
        <v>142936515</v>
      </c>
      <c r="F188" s="3">
        <f t="shared" si="59"/>
        <v>-2503000</v>
      </c>
      <c r="G188" s="3">
        <f>G190+G191+G193+G195+G196+G197+G198+G202+G194+G192</f>
        <v>-2503000</v>
      </c>
      <c r="H188" s="3">
        <f t="shared" ref="H188" si="61">H190+H191+H193+H195+H196+H197+H198+H202+H194</f>
        <v>0</v>
      </c>
      <c r="I188" s="3">
        <f t="shared" si="31"/>
        <v>140433515</v>
      </c>
      <c r="J188" s="3">
        <f t="shared" ref="J188:O188" si="62">SUM(J189:J202)</f>
        <v>6037100</v>
      </c>
      <c r="K188" s="3">
        <f t="shared" si="62"/>
        <v>199000</v>
      </c>
      <c r="L188" s="3">
        <f t="shared" si="62"/>
        <v>165000</v>
      </c>
      <c r="M188" s="3">
        <f t="shared" si="62"/>
        <v>34000</v>
      </c>
      <c r="N188" s="3">
        <f t="shared" si="62"/>
        <v>165000</v>
      </c>
      <c r="O188" s="3">
        <f t="shared" si="62"/>
        <v>6236100</v>
      </c>
      <c r="P188" s="2">
        <f t="shared" si="46"/>
        <v>148973615</v>
      </c>
      <c r="Q188" s="2">
        <f t="shared" si="47"/>
        <v>-2304000</v>
      </c>
      <c r="R188" s="2">
        <f t="shared" si="44"/>
        <v>146669615</v>
      </c>
      <c r="S188" s="46"/>
    </row>
    <row r="189" spans="1:19" s="4" customFormat="1" ht="25.5" x14ac:dyDescent="0.2">
      <c r="A189" s="15" t="s">
        <v>149</v>
      </c>
      <c r="B189" s="1"/>
      <c r="C189" s="1"/>
      <c r="D189" s="54" t="s">
        <v>305</v>
      </c>
      <c r="E189" s="2"/>
      <c r="F189" s="12">
        <f t="shared" si="59"/>
        <v>0</v>
      </c>
      <c r="G189" s="2"/>
      <c r="H189" s="2"/>
      <c r="I189" s="12">
        <f t="shared" si="31"/>
        <v>0</v>
      </c>
      <c r="J189" s="5">
        <v>0</v>
      </c>
      <c r="K189" s="5">
        <f t="shared" ref="K189:K202" si="63">M189+N189</f>
        <v>0</v>
      </c>
      <c r="L189" s="2"/>
      <c r="M189" s="2"/>
      <c r="N189" s="2"/>
      <c r="O189" s="2">
        <f t="shared" si="30"/>
        <v>0</v>
      </c>
      <c r="P189" s="2">
        <f t="shared" si="46"/>
        <v>0</v>
      </c>
      <c r="Q189" s="2">
        <f t="shared" si="47"/>
        <v>0</v>
      </c>
      <c r="R189" s="2">
        <f t="shared" si="44"/>
        <v>0</v>
      </c>
    </row>
    <row r="190" spans="1:19" s="11" customFormat="1" ht="34.5" customHeight="1" x14ac:dyDescent="0.2">
      <c r="A190" s="55" t="s">
        <v>150</v>
      </c>
      <c r="B190" s="56" t="s">
        <v>60</v>
      </c>
      <c r="C190" s="56" t="s">
        <v>21</v>
      </c>
      <c r="D190" s="16" t="s">
        <v>416</v>
      </c>
      <c r="E190" s="5">
        <v>3600000</v>
      </c>
      <c r="F190" s="12">
        <f t="shared" si="59"/>
        <v>160000</v>
      </c>
      <c r="G190" s="5">
        <v>160000</v>
      </c>
      <c r="H190" s="5"/>
      <c r="I190" s="12">
        <f t="shared" si="31"/>
        <v>3760000</v>
      </c>
      <c r="J190" s="5">
        <v>0</v>
      </c>
      <c r="K190" s="5">
        <f t="shared" si="63"/>
        <v>0</v>
      </c>
      <c r="L190" s="5"/>
      <c r="M190" s="5"/>
      <c r="N190" s="5"/>
      <c r="O190" s="5">
        <f t="shared" si="30"/>
        <v>0</v>
      </c>
      <c r="P190" s="2">
        <f t="shared" si="46"/>
        <v>3600000</v>
      </c>
      <c r="Q190" s="2">
        <f t="shared" si="47"/>
        <v>160000</v>
      </c>
      <c r="R190" s="2">
        <f t="shared" si="44"/>
        <v>3760000</v>
      </c>
    </row>
    <row r="191" spans="1:19" s="11" customFormat="1" ht="27" customHeight="1" x14ac:dyDescent="0.2">
      <c r="A191" s="55" t="s">
        <v>369</v>
      </c>
      <c r="B191" s="56" t="s">
        <v>370</v>
      </c>
      <c r="C191" s="56" t="s">
        <v>31</v>
      </c>
      <c r="D191" s="16" t="s">
        <v>441</v>
      </c>
      <c r="E191" s="5">
        <v>74995279</v>
      </c>
      <c r="F191" s="12">
        <f t="shared" si="59"/>
        <v>-2549700</v>
      </c>
      <c r="G191" s="5">
        <v>-2549700</v>
      </c>
      <c r="H191" s="5"/>
      <c r="I191" s="12">
        <f t="shared" si="31"/>
        <v>72445579</v>
      </c>
      <c r="J191" s="5">
        <v>3424500</v>
      </c>
      <c r="K191" s="5">
        <f t="shared" si="63"/>
        <v>0</v>
      </c>
      <c r="L191" s="5"/>
      <c r="M191" s="5"/>
      <c r="N191" s="5"/>
      <c r="O191" s="5">
        <f t="shared" si="30"/>
        <v>3424500</v>
      </c>
      <c r="P191" s="2">
        <f t="shared" si="46"/>
        <v>78419779</v>
      </c>
      <c r="Q191" s="2">
        <f t="shared" si="47"/>
        <v>-2549700</v>
      </c>
      <c r="R191" s="2">
        <f t="shared" si="44"/>
        <v>75870079</v>
      </c>
    </row>
    <row r="192" spans="1:19" s="11" customFormat="1" ht="53.25" customHeight="1" x14ac:dyDescent="0.2">
      <c r="A192" s="55" t="s">
        <v>627</v>
      </c>
      <c r="B192" s="56" t="s">
        <v>86</v>
      </c>
      <c r="C192" s="56" t="s">
        <v>34</v>
      </c>
      <c r="D192" s="42" t="s">
        <v>87</v>
      </c>
      <c r="E192" s="5">
        <v>199900</v>
      </c>
      <c r="F192" s="12">
        <f t="shared" si="59"/>
        <v>0</v>
      </c>
      <c r="G192" s="5"/>
      <c r="H192" s="5"/>
      <c r="I192" s="12">
        <f t="shared" si="31"/>
        <v>199900</v>
      </c>
      <c r="J192" s="5"/>
      <c r="K192" s="5"/>
      <c r="L192" s="5"/>
      <c r="M192" s="5"/>
      <c r="N192" s="5"/>
      <c r="O192" s="5"/>
      <c r="P192" s="2">
        <f t="shared" si="46"/>
        <v>199900</v>
      </c>
      <c r="Q192" s="2">
        <f t="shared" si="47"/>
        <v>0</v>
      </c>
      <c r="R192" s="2">
        <f t="shared" si="44"/>
        <v>199900</v>
      </c>
    </row>
    <row r="193" spans="1:18" s="11" customFormat="1" ht="12.75" x14ac:dyDescent="0.2">
      <c r="A193" s="55" t="s">
        <v>151</v>
      </c>
      <c r="B193" s="56" t="s">
        <v>70</v>
      </c>
      <c r="C193" s="56" t="s">
        <v>50</v>
      </c>
      <c r="D193" s="16" t="s">
        <v>71</v>
      </c>
      <c r="E193" s="5">
        <v>2500000</v>
      </c>
      <c r="F193" s="12">
        <f t="shared" si="59"/>
        <v>265000</v>
      </c>
      <c r="G193" s="5">
        <v>265000</v>
      </c>
      <c r="H193" s="5"/>
      <c r="I193" s="12">
        <f t="shared" si="31"/>
        <v>2765000</v>
      </c>
      <c r="J193" s="5">
        <v>0</v>
      </c>
      <c r="K193" s="5">
        <f t="shared" si="63"/>
        <v>0</v>
      </c>
      <c r="L193" s="5"/>
      <c r="M193" s="5"/>
      <c r="N193" s="5"/>
      <c r="O193" s="5">
        <f t="shared" si="30"/>
        <v>0</v>
      </c>
      <c r="P193" s="2">
        <f t="shared" si="46"/>
        <v>2500000</v>
      </c>
      <c r="Q193" s="2">
        <f t="shared" si="47"/>
        <v>265000</v>
      </c>
      <c r="R193" s="2">
        <f t="shared" si="44"/>
        <v>2765000</v>
      </c>
    </row>
    <row r="194" spans="1:18" s="11" customFormat="1" ht="36" x14ac:dyDescent="0.2">
      <c r="A194" s="55" t="s">
        <v>292</v>
      </c>
      <c r="B194" s="56" t="s">
        <v>293</v>
      </c>
      <c r="C194" s="56" t="s">
        <v>294</v>
      </c>
      <c r="D194" s="16" t="s">
        <v>295</v>
      </c>
      <c r="E194" s="5">
        <v>7511000</v>
      </c>
      <c r="F194" s="12">
        <f t="shared" si="59"/>
        <v>0</v>
      </c>
      <c r="G194" s="5"/>
      <c r="H194" s="5"/>
      <c r="I194" s="12">
        <f t="shared" si="31"/>
        <v>7511000</v>
      </c>
      <c r="J194" s="5">
        <v>0</v>
      </c>
      <c r="K194" s="5">
        <f t="shared" si="63"/>
        <v>0</v>
      </c>
      <c r="L194" s="5"/>
      <c r="M194" s="5"/>
      <c r="N194" s="5"/>
      <c r="O194" s="5">
        <f t="shared" ref="O194:O202" si="64">J194+K194</f>
        <v>0</v>
      </c>
      <c r="P194" s="2">
        <f t="shared" si="46"/>
        <v>7511000</v>
      </c>
      <c r="Q194" s="2">
        <f t="shared" si="47"/>
        <v>0</v>
      </c>
      <c r="R194" s="2">
        <f t="shared" si="44"/>
        <v>7511000</v>
      </c>
    </row>
    <row r="195" spans="1:18" s="11" customFormat="1" ht="12.75" x14ac:dyDescent="0.2">
      <c r="A195" s="55" t="s">
        <v>152</v>
      </c>
      <c r="B195" s="56" t="s">
        <v>72</v>
      </c>
      <c r="C195" s="56" t="s">
        <v>41</v>
      </c>
      <c r="D195" s="16" t="s">
        <v>73</v>
      </c>
      <c r="E195" s="5">
        <v>17385552</v>
      </c>
      <c r="F195" s="12">
        <f t="shared" si="59"/>
        <v>-75000</v>
      </c>
      <c r="G195" s="5">
        <v>-75000</v>
      </c>
      <c r="H195" s="5"/>
      <c r="I195" s="12">
        <f t="shared" ref="I195:I318" si="65">E195+F195</f>
        <v>17310552</v>
      </c>
      <c r="J195" s="5">
        <v>13000</v>
      </c>
      <c r="K195" s="5">
        <f t="shared" si="63"/>
        <v>60000</v>
      </c>
      <c r="L195" s="5">
        <f>60000</f>
        <v>60000</v>
      </c>
      <c r="M195" s="5"/>
      <c r="N195" s="5">
        <f>60000</f>
        <v>60000</v>
      </c>
      <c r="O195" s="5">
        <f t="shared" si="64"/>
        <v>73000</v>
      </c>
      <c r="P195" s="2">
        <f t="shared" si="46"/>
        <v>17398552</v>
      </c>
      <c r="Q195" s="2">
        <f t="shared" si="47"/>
        <v>-15000</v>
      </c>
      <c r="R195" s="2">
        <f t="shared" si="44"/>
        <v>17383552</v>
      </c>
    </row>
    <row r="196" spans="1:18" s="11" customFormat="1" ht="24" x14ac:dyDescent="0.2">
      <c r="A196" s="55" t="s">
        <v>153</v>
      </c>
      <c r="B196" s="56" t="s">
        <v>40</v>
      </c>
      <c r="C196" s="56" t="s">
        <v>42</v>
      </c>
      <c r="D196" s="16" t="s">
        <v>74</v>
      </c>
      <c r="E196" s="5">
        <v>28764584</v>
      </c>
      <c r="F196" s="12">
        <f t="shared" si="59"/>
        <v>90000</v>
      </c>
      <c r="G196" s="5">
        <f>90000</f>
        <v>90000</v>
      </c>
      <c r="H196" s="5"/>
      <c r="I196" s="12">
        <f t="shared" si="65"/>
        <v>28854584</v>
      </c>
      <c r="J196" s="5">
        <v>55000</v>
      </c>
      <c r="K196" s="5">
        <f t="shared" si="63"/>
        <v>59000</v>
      </c>
      <c r="L196" s="5">
        <f>59000</f>
        <v>59000</v>
      </c>
      <c r="M196" s="5"/>
      <c r="N196" s="5">
        <f>59000</f>
        <v>59000</v>
      </c>
      <c r="O196" s="5">
        <f t="shared" si="64"/>
        <v>114000</v>
      </c>
      <c r="P196" s="2">
        <f t="shared" si="46"/>
        <v>28819584</v>
      </c>
      <c r="Q196" s="2">
        <f t="shared" si="47"/>
        <v>149000</v>
      </c>
      <c r="R196" s="2">
        <f t="shared" si="44"/>
        <v>28968584</v>
      </c>
    </row>
    <row r="197" spans="1:18" s="11" customFormat="1" ht="24" x14ac:dyDescent="0.2">
      <c r="A197" s="55" t="s">
        <v>253</v>
      </c>
      <c r="B197" s="56" t="s">
        <v>252</v>
      </c>
      <c r="C197" s="56" t="s">
        <v>43</v>
      </c>
      <c r="D197" s="16" t="s">
        <v>254</v>
      </c>
      <c r="E197" s="5">
        <v>3200000</v>
      </c>
      <c r="F197" s="12">
        <f t="shared" si="59"/>
        <v>251700</v>
      </c>
      <c r="G197" s="5">
        <v>251700</v>
      </c>
      <c r="H197" s="51"/>
      <c r="I197" s="12">
        <f t="shared" si="65"/>
        <v>3451700</v>
      </c>
      <c r="J197" s="5">
        <v>0</v>
      </c>
      <c r="K197" s="5">
        <f t="shared" si="63"/>
        <v>46000</v>
      </c>
      <c r="L197" s="5">
        <f>46000</f>
        <v>46000</v>
      </c>
      <c r="M197" s="5"/>
      <c r="N197" s="5">
        <f>46000</f>
        <v>46000</v>
      </c>
      <c r="O197" s="5">
        <f t="shared" si="64"/>
        <v>46000</v>
      </c>
      <c r="P197" s="2">
        <f t="shared" si="46"/>
        <v>3200000</v>
      </c>
      <c r="Q197" s="2">
        <f t="shared" si="47"/>
        <v>297700</v>
      </c>
      <c r="R197" s="2">
        <f t="shared" si="44"/>
        <v>3497700</v>
      </c>
    </row>
    <row r="198" spans="1:18" s="11" customFormat="1" ht="12.75" x14ac:dyDescent="0.2">
      <c r="A198" s="55" t="s">
        <v>255</v>
      </c>
      <c r="B198" s="56" t="s">
        <v>256</v>
      </c>
      <c r="C198" s="56" t="s">
        <v>43</v>
      </c>
      <c r="D198" s="16" t="s">
        <v>257</v>
      </c>
      <c r="E198" s="5">
        <v>4780200</v>
      </c>
      <c r="F198" s="12">
        <f t="shared" si="59"/>
        <v>-645000</v>
      </c>
      <c r="G198" s="5">
        <v>-645000</v>
      </c>
      <c r="H198" s="51"/>
      <c r="I198" s="12">
        <f t="shared" si="65"/>
        <v>4135200</v>
      </c>
      <c r="J198" s="5">
        <v>0</v>
      </c>
      <c r="K198" s="5">
        <f t="shared" si="63"/>
        <v>0</v>
      </c>
      <c r="L198" s="5"/>
      <c r="M198" s="5"/>
      <c r="N198" s="5"/>
      <c r="O198" s="5">
        <f t="shared" si="64"/>
        <v>0</v>
      </c>
      <c r="P198" s="2">
        <f t="shared" si="46"/>
        <v>4780200</v>
      </c>
      <c r="Q198" s="2">
        <f t="shared" si="47"/>
        <v>-645000</v>
      </c>
      <c r="R198" s="2">
        <f t="shared" si="44"/>
        <v>4135200</v>
      </c>
    </row>
    <row r="199" spans="1:18" s="11" customFormat="1" ht="12.75" hidden="1" x14ac:dyDescent="0.2">
      <c r="A199" s="55"/>
      <c r="B199" s="56"/>
      <c r="C199" s="56"/>
      <c r="D199" s="19" t="s">
        <v>190</v>
      </c>
      <c r="E199" s="5"/>
      <c r="F199" s="12">
        <f t="shared" si="59"/>
        <v>0</v>
      </c>
      <c r="G199" s="51"/>
      <c r="H199" s="51"/>
      <c r="I199" s="12">
        <f t="shared" si="65"/>
        <v>0</v>
      </c>
      <c r="J199" s="5">
        <v>0</v>
      </c>
      <c r="K199" s="5">
        <f t="shared" si="63"/>
        <v>0</v>
      </c>
      <c r="L199" s="5"/>
      <c r="M199" s="5"/>
      <c r="N199" s="5"/>
      <c r="O199" s="5">
        <f t="shared" si="64"/>
        <v>0</v>
      </c>
      <c r="P199" s="2">
        <f t="shared" si="46"/>
        <v>0</v>
      </c>
      <c r="Q199" s="2">
        <f t="shared" si="47"/>
        <v>0</v>
      </c>
      <c r="R199" s="2">
        <f t="shared" si="44"/>
        <v>0</v>
      </c>
    </row>
    <row r="200" spans="1:18" s="11" customFormat="1" ht="24" hidden="1" x14ac:dyDescent="0.2">
      <c r="A200" s="55"/>
      <c r="B200" s="56"/>
      <c r="C200" s="56"/>
      <c r="D200" s="19" t="s">
        <v>299</v>
      </c>
      <c r="E200" s="5"/>
      <c r="F200" s="12">
        <f t="shared" si="59"/>
        <v>0</v>
      </c>
      <c r="G200" s="51"/>
      <c r="H200" s="51"/>
      <c r="I200" s="12">
        <f t="shared" si="65"/>
        <v>0</v>
      </c>
      <c r="J200" s="5">
        <v>0</v>
      </c>
      <c r="K200" s="5">
        <f t="shared" si="63"/>
        <v>0</v>
      </c>
      <c r="L200" s="5"/>
      <c r="M200" s="5"/>
      <c r="N200" s="5"/>
      <c r="O200" s="5">
        <f t="shared" si="64"/>
        <v>0</v>
      </c>
      <c r="P200" s="2">
        <f t="shared" si="46"/>
        <v>0</v>
      </c>
      <c r="Q200" s="2">
        <f t="shared" si="47"/>
        <v>0</v>
      </c>
      <c r="R200" s="2">
        <f t="shared" si="44"/>
        <v>0</v>
      </c>
    </row>
    <row r="201" spans="1:18" s="11" customFormat="1" ht="16.5" customHeight="1" x14ac:dyDescent="0.2">
      <c r="A201" s="55" t="s">
        <v>503</v>
      </c>
      <c r="B201" s="56" t="s">
        <v>504</v>
      </c>
      <c r="C201" s="56" t="s">
        <v>203</v>
      </c>
      <c r="D201" s="19" t="s">
        <v>505</v>
      </c>
      <c r="E201" s="5"/>
      <c r="F201" s="12">
        <f t="shared" si="59"/>
        <v>0</v>
      </c>
      <c r="G201" s="51"/>
      <c r="H201" s="51"/>
      <c r="I201" s="12"/>
      <c r="J201" s="5">
        <v>1446100</v>
      </c>
      <c r="K201" s="5">
        <f t="shared" si="63"/>
        <v>0</v>
      </c>
      <c r="L201" s="5"/>
      <c r="M201" s="5"/>
      <c r="N201" s="5"/>
      <c r="O201" s="5">
        <f t="shared" ref="O201" si="66">K201+J201</f>
        <v>1446100</v>
      </c>
      <c r="P201" s="2">
        <f t="shared" si="46"/>
        <v>1446100</v>
      </c>
      <c r="Q201" s="2">
        <f t="shared" si="47"/>
        <v>0</v>
      </c>
      <c r="R201" s="2">
        <f t="shared" si="44"/>
        <v>1446100</v>
      </c>
    </row>
    <row r="202" spans="1:18" s="11" customFormat="1" ht="93" customHeight="1" x14ac:dyDescent="0.2">
      <c r="A202" s="55" t="s">
        <v>258</v>
      </c>
      <c r="B202" s="56" t="s">
        <v>259</v>
      </c>
      <c r="C202" s="56" t="s">
        <v>24</v>
      </c>
      <c r="D202" s="16" t="s">
        <v>260</v>
      </c>
      <c r="E202" s="50"/>
      <c r="F202" s="12">
        <f t="shared" si="59"/>
        <v>0</v>
      </c>
      <c r="G202" s="51"/>
      <c r="H202" s="51"/>
      <c r="I202" s="12">
        <f t="shared" si="65"/>
        <v>0</v>
      </c>
      <c r="J202" s="5">
        <v>1098500</v>
      </c>
      <c r="K202" s="5">
        <f t="shared" si="63"/>
        <v>34000</v>
      </c>
      <c r="L202" s="5"/>
      <c r="M202" s="5">
        <f>34000</f>
        <v>34000</v>
      </c>
      <c r="N202" s="5"/>
      <c r="O202" s="5">
        <f t="shared" si="64"/>
        <v>1132500</v>
      </c>
      <c r="P202" s="2">
        <f t="shared" si="46"/>
        <v>1098500</v>
      </c>
      <c r="Q202" s="2">
        <f t="shared" si="47"/>
        <v>34000</v>
      </c>
      <c r="R202" s="2">
        <f t="shared" si="44"/>
        <v>1132500</v>
      </c>
    </row>
    <row r="203" spans="1:18" s="4" customFormat="1" ht="25.5" x14ac:dyDescent="0.2">
      <c r="A203" s="43">
        <v>1100000</v>
      </c>
      <c r="B203" s="1"/>
      <c r="C203" s="1"/>
      <c r="D203" s="54" t="s">
        <v>307</v>
      </c>
      <c r="E203" s="3">
        <f>E205+E206+E209+E210+E211+E212+E216+E217+E213+E214+E207+E208</f>
        <v>67723492</v>
      </c>
      <c r="F203" s="3">
        <f>G203+H203</f>
        <v>7580450</v>
      </c>
      <c r="G203" s="3">
        <f>G205+G206+G209+G210+G211+G212+G216+G217+G213+G214+G207+G208</f>
        <v>7580450</v>
      </c>
      <c r="H203" s="3">
        <f>H205+H206+H209+H210+H211+H212+H216+H217+H213+H214+H207+H208</f>
        <v>0</v>
      </c>
      <c r="I203" s="3">
        <f>E203+F203</f>
        <v>75303942</v>
      </c>
      <c r="J203" s="3">
        <f t="shared" ref="J203:O203" si="67">SUM(J204:J217)</f>
        <v>331000</v>
      </c>
      <c r="K203" s="3">
        <f t="shared" si="67"/>
        <v>25000</v>
      </c>
      <c r="L203" s="3">
        <f t="shared" si="67"/>
        <v>25000</v>
      </c>
      <c r="M203" s="3">
        <f t="shared" si="67"/>
        <v>0</v>
      </c>
      <c r="N203" s="3">
        <f t="shared" si="67"/>
        <v>25000</v>
      </c>
      <c r="O203" s="3">
        <f t="shared" si="67"/>
        <v>356000</v>
      </c>
      <c r="P203" s="2">
        <f t="shared" si="46"/>
        <v>68054492</v>
      </c>
      <c r="Q203" s="2">
        <f t="shared" si="47"/>
        <v>7605450</v>
      </c>
      <c r="R203" s="2">
        <f t="shared" si="44"/>
        <v>75659942</v>
      </c>
    </row>
    <row r="204" spans="1:18" s="4" customFormat="1" ht="25.5" x14ac:dyDescent="0.2">
      <c r="A204" s="43">
        <v>1110000</v>
      </c>
      <c r="B204" s="1"/>
      <c r="C204" s="1"/>
      <c r="D204" s="54" t="s">
        <v>307</v>
      </c>
      <c r="E204" s="2"/>
      <c r="F204" s="3">
        <f t="shared" ref="F204:F205" si="68">G204+H204</f>
        <v>0</v>
      </c>
      <c r="G204" s="2"/>
      <c r="H204" s="2"/>
      <c r="I204" s="5">
        <f t="shared" si="65"/>
        <v>0</v>
      </c>
      <c r="J204" s="5">
        <v>0</v>
      </c>
      <c r="K204" s="5">
        <f t="shared" ref="K204:K217" si="69">M204+N204</f>
        <v>0</v>
      </c>
      <c r="L204" s="2"/>
      <c r="M204" s="2"/>
      <c r="N204" s="2"/>
      <c r="O204" s="2">
        <f t="shared" ref="O204:O217" si="70">J204+K204</f>
        <v>0</v>
      </c>
      <c r="P204" s="2">
        <f t="shared" si="46"/>
        <v>0</v>
      </c>
      <c r="Q204" s="2">
        <f t="shared" si="47"/>
        <v>0</v>
      </c>
      <c r="R204" s="2">
        <f t="shared" si="44"/>
        <v>0</v>
      </c>
    </row>
    <row r="205" spans="1:18" s="11" customFormat="1" ht="36" x14ac:dyDescent="0.2">
      <c r="A205" s="49">
        <v>1110160</v>
      </c>
      <c r="B205" s="56" t="s">
        <v>60</v>
      </c>
      <c r="C205" s="56" t="s">
        <v>21</v>
      </c>
      <c r="D205" s="16" t="s">
        <v>447</v>
      </c>
      <c r="E205" s="5">
        <v>3055000</v>
      </c>
      <c r="F205" s="5">
        <f t="shared" si="68"/>
        <v>463000</v>
      </c>
      <c r="G205" s="5">
        <v>463000</v>
      </c>
      <c r="H205" s="5"/>
      <c r="I205" s="5">
        <f t="shared" si="65"/>
        <v>3518000</v>
      </c>
      <c r="J205" s="5">
        <v>0</v>
      </c>
      <c r="K205" s="5">
        <f t="shared" si="69"/>
        <v>0</v>
      </c>
      <c r="L205" s="5"/>
      <c r="M205" s="5"/>
      <c r="N205" s="5"/>
      <c r="O205" s="5">
        <f t="shared" si="70"/>
        <v>0</v>
      </c>
      <c r="P205" s="2">
        <f t="shared" si="46"/>
        <v>3055000</v>
      </c>
      <c r="Q205" s="2">
        <f t="shared" si="47"/>
        <v>463000</v>
      </c>
      <c r="R205" s="2">
        <f t="shared" ref="R205:R270" si="71">I205+O205</f>
        <v>3518000</v>
      </c>
    </row>
    <row r="206" spans="1:18" s="11" customFormat="1" ht="39.75" customHeight="1" x14ac:dyDescent="0.2">
      <c r="A206" s="49">
        <v>1113131</v>
      </c>
      <c r="B206" s="56" t="s">
        <v>61</v>
      </c>
      <c r="C206" s="56" t="s">
        <v>34</v>
      </c>
      <c r="D206" s="63" t="s">
        <v>62</v>
      </c>
      <c r="E206" s="5">
        <v>605000</v>
      </c>
      <c r="F206" s="5">
        <f t="shared" si="59"/>
        <v>0</v>
      </c>
      <c r="G206" s="5"/>
      <c r="H206" s="5"/>
      <c r="I206" s="5">
        <f t="shared" si="65"/>
        <v>605000</v>
      </c>
      <c r="J206" s="12">
        <v>0</v>
      </c>
      <c r="K206" s="12">
        <f t="shared" si="69"/>
        <v>0</v>
      </c>
      <c r="L206" s="12"/>
      <c r="M206" s="12"/>
      <c r="N206" s="12"/>
      <c r="O206" s="12">
        <f t="shared" si="70"/>
        <v>0</v>
      </c>
      <c r="P206" s="2">
        <f t="shared" si="46"/>
        <v>605000</v>
      </c>
      <c r="Q206" s="2">
        <f t="shared" si="47"/>
        <v>0</v>
      </c>
      <c r="R206" s="2">
        <f t="shared" si="71"/>
        <v>605000</v>
      </c>
    </row>
    <row r="207" spans="1:18" s="11" customFormat="1" ht="22.5" customHeight="1" x14ac:dyDescent="0.2">
      <c r="A207" s="49">
        <v>1113133</v>
      </c>
      <c r="B207" s="56" t="s">
        <v>628</v>
      </c>
      <c r="C207" s="56" t="s">
        <v>34</v>
      </c>
      <c r="D207" s="63" t="s">
        <v>629</v>
      </c>
      <c r="E207" s="5">
        <v>561000</v>
      </c>
      <c r="F207" s="5">
        <f t="shared" si="59"/>
        <v>20000</v>
      </c>
      <c r="G207" s="5">
        <v>20000</v>
      </c>
      <c r="H207" s="5"/>
      <c r="I207" s="5">
        <f t="shared" si="65"/>
        <v>581000</v>
      </c>
      <c r="J207" s="12"/>
      <c r="K207" s="12"/>
      <c r="L207" s="12"/>
      <c r="M207" s="12"/>
      <c r="N207" s="12"/>
      <c r="O207" s="12"/>
      <c r="P207" s="2">
        <f t="shared" si="46"/>
        <v>561000</v>
      </c>
      <c r="Q207" s="2">
        <f t="shared" si="47"/>
        <v>20000</v>
      </c>
      <c r="R207" s="2">
        <f t="shared" si="71"/>
        <v>581000</v>
      </c>
    </row>
    <row r="208" spans="1:18" s="11" customFormat="1" ht="52.5" customHeight="1" x14ac:dyDescent="0.2">
      <c r="A208" s="55" t="s">
        <v>630</v>
      </c>
      <c r="B208" s="56" t="s">
        <v>86</v>
      </c>
      <c r="C208" s="56" t="s">
        <v>34</v>
      </c>
      <c r="D208" s="42" t="s">
        <v>87</v>
      </c>
      <c r="E208" s="5">
        <v>199100</v>
      </c>
      <c r="F208" s="5">
        <f t="shared" si="59"/>
        <v>0</v>
      </c>
      <c r="G208" s="5"/>
      <c r="H208" s="5"/>
      <c r="I208" s="5">
        <f t="shared" si="65"/>
        <v>199100</v>
      </c>
      <c r="J208" s="12"/>
      <c r="K208" s="12"/>
      <c r="L208" s="12"/>
      <c r="M208" s="12"/>
      <c r="N208" s="12"/>
      <c r="O208" s="12"/>
      <c r="P208" s="2">
        <f t="shared" si="46"/>
        <v>199100</v>
      </c>
      <c r="Q208" s="2">
        <f t="shared" si="47"/>
        <v>0</v>
      </c>
      <c r="R208" s="2">
        <f t="shared" si="71"/>
        <v>199100</v>
      </c>
    </row>
    <row r="209" spans="1:18" s="11" customFormat="1" ht="28.5" customHeight="1" x14ac:dyDescent="0.2">
      <c r="A209" s="49">
        <v>1115011</v>
      </c>
      <c r="B209" s="56" t="s">
        <v>37</v>
      </c>
      <c r="C209" s="56" t="s">
        <v>35</v>
      </c>
      <c r="D209" s="16" t="s">
        <v>36</v>
      </c>
      <c r="E209" s="5">
        <v>1534600</v>
      </c>
      <c r="F209" s="5">
        <f t="shared" si="59"/>
        <v>223000</v>
      </c>
      <c r="G209" s="5">
        <f>223000</f>
        <v>223000</v>
      </c>
      <c r="H209" s="5"/>
      <c r="I209" s="5">
        <f t="shared" si="65"/>
        <v>1757600</v>
      </c>
      <c r="J209" s="5">
        <v>0</v>
      </c>
      <c r="K209" s="5">
        <f t="shared" si="69"/>
        <v>0</v>
      </c>
      <c r="L209" s="5"/>
      <c r="M209" s="5"/>
      <c r="N209" s="5"/>
      <c r="O209" s="5">
        <f t="shared" si="70"/>
        <v>0</v>
      </c>
      <c r="P209" s="2">
        <f t="shared" si="46"/>
        <v>1534600</v>
      </c>
      <c r="Q209" s="2">
        <f t="shared" si="47"/>
        <v>223000</v>
      </c>
      <c r="R209" s="2">
        <f t="shared" si="71"/>
        <v>1757600</v>
      </c>
    </row>
    <row r="210" spans="1:18" s="11" customFormat="1" ht="29.25" customHeight="1" x14ac:dyDescent="0.2">
      <c r="A210" s="49">
        <v>1115012</v>
      </c>
      <c r="B210" s="56" t="s">
        <v>59</v>
      </c>
      <c r="C210" s="56" t="s">
        <v>35</v>
      </c>
      <c r="D210" s="16" t="s">
        <v>58</v>
      </c>
      <c r="E210" s="5">
        <v>823700</v>
      </c>
      <c r="F210" s="5">
        <f t="shared" si="59"/>
        <v>42000</v>
      </c>
      <c r="G210" s="5">
        <f>42000</f>
        <v>42000</v>
      </c>
      <c r="H210" s="5"/>
      <c r="I210" s="5">
        <f t="shared" si="65"/>
        <v>865700</v>
      </c>
      <c r="J210" s="5">
        <v>0</v>
      </c>
      <c r="K210" s="5">
        <f t="shared" si="69"/>
        <v>0</v>
      </c>
      <c r="L210" s="5"/>
      <c r="M210" s="5"/>
      <c r="N210" s="5"/>
      <c r="O210" s="5">
        <f t="shared" si="70"/>
        <v>0</v>
      </c>
      <c r="P210" s="2">
        <f t="shared" si="46"/>
        <v>823700</v>
      </c>
      <c r="Q210" s="2">
        <f t="shared" si="47"/>
        <v>42000</v>
      </c>
      <c r="R210" s="2">
        <f t="shared" si="71"/>
        <v>865700</v>
      </c>
    </row>
    <row r="211" spans="1:18" s="11" customFormat="1" ht="35.25" customHeight="1" x14ac:dyDescent="0.2">
      <c r="A211" s="49">
        <v>1115021</v>
      </c>
      <c r="B211" s="56" t="s">
        <v>63</v>
      </c>
      <c r="C211" s="56" t="s">
        <v>35</v>
      </c>
      <c r="D211" s="16" t="s">
        <v>250</v>
      </c>
      <c r="E211" s="5">
        <v>1156000</v>
      </c>
      <c r="F211" s="5">
        <f t="shared" si="59"/>
        <v>248995</v>
      </c>
      <c r="G211" s="5">
        <f>248995</f>
        <v>248995</v>
      </c>
      <c r="H211" s="5"/>
      <c r="I211" s="5">
        <f t="shared" si="65"/>
        <v>1404995</v>
      </c>
      <c r="J211" s="5">
        <v>120000</v>
      </c>
      <c r="K211" s="5">
        <f t="shared" si="69"/>
        <v>25000</v>
      </c>
      <c r="L211" s="5">
        <f>25000</f>
        <v>25000</v>
      </c>
      <c r="M211" s="5"/>
      <c r="N211" s="5">
        <f>25000</f>
        <v>25000</v>
      </c>
      <c r="O211" s="5">
        <f t="shared" si="70"/>
        <v>145000</v>
      </c>
      <c r="P211" s="2">
        <f t="shared" si="46"/>
        <v>1276000</v>
      </c>
      <c r="Q211" s="2">
        <f t="shared" si="47"/>
        <v>273995</v>
      </c>
      <c r="R211" s="2">
        <f t="shared" si="71"/>
        <v>1549995</v>
      </c>
    </row>
    <row r="212" spans="1:18" s="11" customFormat="1" ht="25.5" customHeight="1" x14ac:dyDescent="0.2">
      <c r="A212" s="49">
        <v>1115022</v>
      </c>
      <c r="B212" s="56" t="s">
        <v>64</v>
      </c>
      <c r="C212" s="56" t="s">
        <v>232</v>
      </c>
      <c r="D212" s="16" t="s">
        <v>251</v>
      </c>
      <c r="E212" s="5">
        <v>180000</v>
      </c>
      <c r="F212" s="5">
        <f t="shared" si="59"/>
        <v>198655</v>
      </c>
      <c r="G212" s="5">
        <f>198655</f>
        <v>198655</v>
      </c>
      <c r="H212" s="5"/>
      <c r="I212" s="5">
        <f t="shared" si="65"/>
        <v>378655</v>
      </c>
      <c r="J212" s="5">
        <v>0</v>
      </c>
      <c r="K212" s="5">
        <f t="shared" si="69"/>
        <v>0</v>
      </c>
      <c r="L212" s="5"/>
      <c r="M212" s="5"/>
      <c r="N212" s="5"/>
      <c r="O212" s="5">
        <f t="shared" si="70"/>
        <v>0</v>
      </c>
      <c r="P212" s="2">
        <f t="shared" si="46"/>
        <v>180000</v>
      </c>
      <c r="Q212" s="2">
        <f t="shared" si="47"/>
        <v>198655</v>
      </c>
      <c r="R212" s="2">
        <f t="shared" si="71"/>
        <v>378655</v>
      </c>
    </row>
    <row r="213" spans="1:18" s="11" customFormat="1" ht="24" x14ac:dyDescent="0.2">
      <c r="A213" s="49">
        <v>1115041</v>
      </c>
      <c r="B213" s="56" t="s">
        <v>231</v>
      </c>
      <c r="C213" s="56" t="s">
        <v>35</v>
      </c>
      <c r="D213" s="16" t="s">
        <v>230</v>
      </c>
      <c r="E213" s="5">
        <v>9034750</v>
      </c>
      <c r="F213" s="5">
        <f t="shared" si="59"/>
        <v>2790000</v>
      </c>
      <c r="G213" s="5">
        <f>2790000</f>
        <v>2790000</v>
      </c>
      <c r="H213" s="5"/>
      <c r="I213" s="5">
        <f t="shared" si="65"/>
        <v>11824750</v>
      </c>
      <c r="J213" s="5">
        <v>211000</v>
      </c>
      <c r="K213" s="5">
        <f t="shared" si="69"/>
        <v>0</v>
      </c>
      <c r="L213" s="5"/>
      <c r="M213" s="5"/>
      <c r="N213" s="5"/>
      <c r="O213" s="5">
        <f t="shared" si="70"/>
        <v>211000</v>
      </c>
      <c r="P213" s="2">
        <f t="shared" si="46"/>
        <v>9245750</v>
      </c>
      <c r="Q213" s="2">
        <f t="shared" si="47"/>
        <v>2790000</v>
      </c>
      <c r="R213" s="2">
        <f t="shared" si="71"/>
        <v>12035750</v>
      </c>
    </row>
    <row r="214" spans="1:18" s="11" customFormat="1" ht="31.5" customHeight="1" x14ac:dyDescent="0.2">
      <c r="A214" s="49">
        <v>1115049</v>
      </c>
      <c r="B214" s="56" t="s">
        <v>545</v>
      </c>
      <c r="C214" s="56" t="s">
        <v>35</v>
      </c>
      <c r="D214" s="16" t="s">
        <v>546</v>
      </c>
      <c r="E214" s="5">
        <v>98092</v>
      </c>
      <c r="F214" s="5">
        <f t="shared" si="59"/>
        <v>0</v>
      </c>
      <c r="G214" s="5"/>
      <c r="H214" s="5"/>
      <c r="I214" s="5">
        <f t="shared" si="65"/>
        <v>98092</v>
      </c>
      <c r="J214" s="5">
        <v>0</v>
      </c>
      <c r="K214" s="5">
        <f t="shared" si="69"/>
        <v>0</v>
      </c>
      <c r="L214" s="5"/>
      <c r="M214" s="5"/>
      <c r="N214" s="5"/>
      <c r="O214" s="5">
        <f t="shared" si="70"/>
        <v>0</v>
      </c>
      <c r="P214" s="2">
        <f t="shared" si="46"/>
        <v>98092</v>
      </c>
      <c r="Q214" s="2">
        <f t="shared" si="47"/>
        <v>0</v>
      </c>
      <c r="R214" s="2">
        <f t="shared" si="71"/>
        <v>98092</v>
      </c>
    </row>
    <row r="215" spans="1:18" s="11" customFormat="1" ht="63" customHeight="1" x14ac:dyDescent="0.2">
      <c r="A215" s="49"/>
      <c r="B215" s="56"/>
      <c r="C215" s="56"/>
      <c r="D215" s="28" t="s">
        <v>547</v>
      </c>
      <c r="E215" s="5">
        <f>E214</f>
        <v>98092</v>
      </c>
      <c r="F215" s="5">
        <f t="shared" ref="F215:O215" si="72">F214</f>
        <v>0</v>
      </c>
      <c r="G215" s="5">
        <f t="shared" si="72"/>
        <v>0</v>
      </c>
      <c r="H215" s="5">
        <f t="shared" si="72"/>
        <v>0</v>
      </c>
      <c r="I215" s="5">
        <f t="shared" si="72"/>
        <v>98092</v>
      </c>
      <c r="J215" s="5">
        <v>0</v>
      </c>
      <c r="K215" s="5">
        <f t="shared" si="72"/>
        <v>0</v>
      </c>
      <c r="L215" s="5">
        <f t="shared" si="72"/>
        <v>0</v>
      </c>
      <c r="M215" s="5">
        <f t="shared" si="72"/>
        <v>0</v>
      </c>
      <c r="N215" s="5">
        <f t="shared" si="72"/>
        <v>0</v>
      </c>
      <c r="O215" s="5">
        <f t="shared" si="72"/>
        <v>0</v>
      </c>
      <c r="P215" s="2">
        <f t="shared" si="46"/>
        <v>98092</v>
      </c>
      <c r="Q215" s="2">
        <f t="shared" si="47"/>
        <v>0</v>
      </c>
      <c r="R215" s="2">
        <f t="shared" si="71"/>
        <v>98092</v>
      </c>
    </row>
    <row r="216" spans="1:18" s="11" customFormat="1" ht="48" x14ac:dyDescent="0.2">
      <c r="A216" s="49">
        <v>1115061</v>
      </c>
      <c r="B216" s="56" t="s">
        <v>66</v>
      </c>
      <c r="C216" s="56" t="s">
        <v>35</v>
      </c>
      <c r="D216" s="16" t="s">
        <v>67</v>
      </c>
      <c r="E216" s="5">
        <v>1250000</v>
      </c>
      <c r="F216" s="5">
        <f t="shared" si="59"/>
        <v>302800</v>
      </c>
      <c r="G216" s="5">
        <f>302800</f>
        <v>302800</v>
      </c>
      <c r="H216" s="5"/>
      <c r="I216" s="5">
        <f t="shared" si="65"/>
        <v>1552800</v>
      </c>
      <c r="J216" s="5">
        <v>0</v>
      </c>
      <c r="K216" s="5">
        <f t="shared" si="69"/>
        <v>0</v>
      </c>
      <c r="L216" s="5"/>
      <c r="M216" s="5"/>
      <c r="N216" s="5"/>
      <c r="O216" s="5">
        <f t="shared" si="70"/>
        <v>0</v>
      </c>
      <c r="P216" s="2">
        <f t="shared" si="46"/>
        <v>1250000</v>
      </c>
      <c r="Q216" s="2">
        <f t="shared" si="47"/>
        <v>302800</v>
      </c>
      <c r="R216" s="2">
        <f t="shared" si="71"/>
        <v>1552800</v>
      </c>
    </row>
    <row r="217" spans="1:18" s="11" customFormat="1" ht="36" x14ac:dyDescent="0.2">
      <c r="A217" s="49">
        <v>1115062</v>
      </c>
      <c r="B217" s="56" t="s">
        <v>68</v>
      </c>
      <c r="C217" s="56" t="s">
        <v>35</v>
      </c>
      <c r="D217" s="16" t="s">
        <v>69</v>
      </c>
      <c r="E217" s="5">
        <v>49226250</v>
      </c>
      <c r="F217" s="5">
        <f t="shared" si="59"/>
        <v>3292000</v>
      </c>
      <c r="G217" s="5">
        <f>10000+3282000</f>
        <v>3292000</v>
      </c>
      <c r="H217" s="5"/>
      <c r="I217" s="5">
        <f t="shared" si="65"/>
        <v>52518250</v>
      </c>
      <c r="J217" s="5">
        <v>0</v>
      </c>
      <c r="K217" s="5">
        <f t="shared" si="69"/>
        <v>0</v>
      </c>
      <c r="L217" s="5"/>
      <c r="M217" s="5"/>
      <c r="N217" s="5"/>
      <c r="O217" s="5">
        <f t="shared" si="70"/>
        <v>0</v>
      </c>
      <c r="P217" s="2">
        <f t="shared" ref="P217:P282" si="73">E217+J217</f>
        <v>49226250</v>
      </c>
      <c r="Q217" s="2">
        <f t="shared" ref="Q217:Q282" si="74">F217+K217</f>
        <v>3292000</v>
      </c>
      <c r="R217" s="2">
        <f t="shared" si="71"/>
        <v>52518250</v>
      </c>
    </row>
    <row r="218" spans="1:18" s="4" customFormat="1" ht="38.25" x14ac:dyDescent="0.2">
      <c r="A218" s="15" t="s">
        <v>122</v>
      </c>
      <c r="B218" s="1"/>
      <c r="C218" s="1"/>
      <c r="D218" s="54" t="s">
        <v>325</v>
      </c>
      <c r="E218" s="2">
        <f>SUM(E220:E223)+E230+E231+E232+E249</f>
        <v>414692608</v>
      </c>
      <c r="F218" s="2">
        <f>G218+H218</f>
        <v>11849307</v>
      </c>
      <c r="G218" s="2">
        <f>G220+G221+G222+G223+G230+G232+G249+G231</f>
        <v>11849307</v>
      </c>
      <c r="H218" s="2">
        <f>SUM(H220:H248)</f>
        <v>0</v>
      </c>
      <c r="I218" s="2">
        <f>E218+F218</f>
        <v>426541915</v>
      </c>
      <c r="J218" s="2">
        <f t="shared" ref="J218:O218" si="75">SUM(J219:J235)+J239+J247+J248</f>
        <v>232869434</v>
      </c>
      <c r="K218" s="2">
        <f t="shared" si="75"/>
        <v>914342</v>
      </c>
      <c r="L218" s="2">
        <f t="shared" si="75"/>
        <v>636842</v>
      </c>
      <c r="M218" s="2">
        <f t="shared" si="75"/>
        <v>277500</v>
      </c>
      <c r="N218" s="2">
        <f t="shared" si="75"/>
        <v>636842</v>
      </c>
      <c r="O218" s="2">
        <f t="shared" si="75"/>
        <v>233783776</v>
      </c>
      <c r="P218" s="2">
        <f t="shared" si="73"/>
        <v>647562042</v>
      </c>
      <c r="Q218" s="2">
        <f t="shared" si="74"/>
        <v>12763649</v>
      </c>
      <c r="R218" s="2">
        <f>I218+O218</f>
        <v>660325691</v>
      </c>
    </row>
    <row r="219" spans="1:18" s="4" customFormat="1" ht="38.25" x14ac:dyDescent="0.2">
      <c r="A219" s="15" t="s">
        <v>123</v>
      </c>
      <c r="B219" s="1"/>
      <c r="C219" s="1"/>
      <c r="D219" s="54" t="s">
        <v>325</v>
      </c>
      <c r="E219" s="2"/>
      <c r="F219" s="12">
        <f t="shared" si="59"/>
        <v>0</v>
      </c>
      <c r="G219" s="2"/>
      <c r="H219" s="2"/>
      <c r="I219" s="5">
        <f t="shared" si="65"/>
        <v>0</v>
      </c>
      <c r="J219" s="5"/>
      <c r="K219" s="5"/>
      <c r="L219" s="2"/>
      <c r="M219" s="2"/>
      <c r="N219" s="2"/>
      <c r="O219" s="2"/>
      <c r="P219" s="2">
        <f t="shared" si="73"/>
        <v>0</v>
      </c>
      <c r="Q219" s="2">
        <f t="shared" si="74"/>
        <v>0</v>
      </c>
      <c r="R219" s="2">
        <f t="shared" si="71"/>
        <v>0</v>
      </c>
    </row>
    <row r="220" spans="1:18" s="11" customFormat="1" ht="36" x14ac:dyDescent="0.2">
      <c r="A220" s="55" t="s">
        <v>124</v>
      </c>
      <c r="B220" s="56" t="s">
        <v>60</v>
      </c>
      <c r="C220" s="56" t="s">
        <v>21</v>
      </c>
      <c r="D220" s="16" t="s">
        <v>447</v>
      </c>
      <c r="E220" s="5">
        <v>10853990</v>
      </c>
      <c r="F220" s="5">
        <f t="shared" si="59"/>
        <v>1245700</v>
      </c>
      <c r="G220" s="5">
        <v>1245700</v>
      </c>
      <c r="H220" s="5"/>
      <c r="I220" s="5">
        <f t="shared" si="65"/>
        <v>12099690</v>
      </c>
      <c r="J220" s="5">
        <v>0</v>
      </c>
      <c r="K220" s="5">
        <f t="shared" ref="K220:K248" si="76">M220+N220</f>
        <v>0</v>
      </c>
      <c r="L220" s="5"/>
      <c r="M220" s="5"/>
      <c r="N220" s="5"/>
      <c r="O220" s="5">
        <f t="shared" ref="O220:O248" si="77">J220+K220</f>
        <v>0</v>
      </c>
      <c r="P220" s="2">
        <f t="shared" si="73"/>
        <v>10853990</v>
      </c>
      <c r="Q220" s="2">
        <f t="shared" si="74"/>
        <v>1245700</v>
      </c>
      <c r="R220" s="2">
        <f t="shared" si="71"/>
        <v>12099690</v>
      </c>
    </row>
    <row r="221" spans="1:18" s="11" customFormat="1" ht="18" customHeight="1" x14ac:dyDescent="0.2">
      <c r="A221" s="55" t="s">
        <v>217</v>
      </c>
      <c r="B221" s="56" t="s">
        <v>11</v>
      </c>
      <c r="C221" s="56" t="s">
        <v>13</v>
      </c>
      <c r="D221" s="16" t="s">
        <v>317</v>
      </c>
      <c r="E221" s="5">
        <v>7871505</v>
      </c>
      <c r="F221" s="5">
        <f t="shared" si="59"/>
        <v>56000</v>
      </c>
      <c r="G221" s="5">
        <v>56000</v>
      </c>
      <c r="H221" s="5"/>
      <c r="I221" s="5">
        <f t="shared" si="65"/>
        <v>7927505</v>
      </c>
      <c r="J221" s="5">
        <v>0</v>
      </c>
      <c r="K221" s="5">
        <f t="shared" si="76"/>
        <v>0</v>
      </c>
      <c r="L221" s="5"/>
      <c r="M221" s="5"/>
      <c r="N221" s="5"/>
      <c r="O221" s="5">
        <f t="shared" si="77"/>
        <v>0</v>
      </c>
      <c r="P221" s="2">
        <f t="shared" si="73"/>
        <v>7871505</v>
      </c>
      <c r="Q221" s="2">
        <f t="shared" si="74"/>
        <v>56000</v>
      </c>
      <c r="R221" s="2">
        <f t="shared" si="71"/>
        <v>7927505</v>
      </c>
    </row>
    <row r="222" spans="1:18" s="11" customFormat="1" ht="24" x14ac:dyDescent="0.2">
      <c r="A222" s="55" t="s">
        <v>450</v>
      </c>
      <c r="B222" s="56" t="s">
        <v>451</v>
      </c>
      <c r="C222" s="56" t="s">
        <v>45</v>
      </c>
      <c r="D222" s="16" t="s">
        <v>474</v>
      </c>
      <c r="E222" s="5">
        <v>319832</v>
      </c>
      <c r="F222" s="5">
        <f t="shared" si="59"/>
        <v>0</v>
      </c>
      <c r="G222" s="5"/>
      <c r="H222" s="5"/>
      <c r="I222" s="5">
        <f t="shared" si="65"/>
        <v>319832</v>
      </c>
      <c r="J222" s="5">
        <v>0</v>
      </c>
      <c r="K222" s="5">
        <f t="shared" si="76"/>
        <v>0</v>
      </c>
      <c r="L222" s="5"/>
      <c r="M222" s="5"/>
      <c r="N222" s="5"/>
      <c r="O222" s="5">
        <f t="shared" si="77"/>
        <v>0</v>
      </c>
      <c r="P222" s="2">
        <f t="shared" si="73"/>
        <v>319832</v>
      </c>
      <c r="Q222" s="2">
        <f t="shared" si="74"/>
        <v>0</v>
      </c>
      <c r="R222" s="2">
        <f t="shared" si="71"/>
        <v>319832</v>
      </c>
    </row>
    <row r="223" spans="1:18" s="11" customFormat="1" ht="24" x14ac:dyDescent="0.2">
      <c r="A223" s="55" t="s">
        <v>436</v>
      </c>
      <c r="B223" s="56" t="s">
        <v>224</v>
      </c>
      <c r="C223" s="56" t="s">
        <v>23</v>
      </c>
      <c r="D223" s="16" t="s">
        <v>225</v>
      </c>
      <c r="E223" s="5">
        <v>15529007</v>
      </c>
      <c r="F223" s="5">
        <f t="shared" ref="F223:F330" si="78">G223+H223</f>
        <v>10000</v>
      </c>
      <c r="G223" s="5">
        <v>10000</v>
      </c>
      <c r="H223" s="5"/>
      <c r="I223" s="5">
        <f t="shared" si="65"/>
        <v>15539007</v>
      </c>
      <c r="J223" s="5">
        <v>0</v>
      </c>
      <c r="K223" s="5">
        <f t="shared" si="76"/>
        <v>0</v>
      </c>
      <c r="L223" s="5"/>
      <c r="M223" s="5"/>
      <c r="N223" s="5"/>
      <c r="O223" s="5">
        <f t="shared" si="77"/>
        <v>0</v>
      </c>
      <c r="P223" s="2">
        <f t="shared" si="73"/>
        <v>15529007</v>
      </c>
      <c r="Q223" s="2">
        <f t="shared" si="74"/>
        <v>10000</v>
      </c>
      <c r="R223" s="2">
        <f t="shared" si="71"/>
        <v>15539007</v>
      </c>
    </row>
    <row r="224" spans="1:18" s="11" customFormat="1" ht="12" x14ac:dyDescent="0.2">
      <c r="A224" s="55"/>
      <c r="B224" s="56"/>
      <c r="C224" s="56"/>
      <c r="D224" s="16" t="s">
        <v>577</v>
      </c>
      <c r="E224" s="5">
        <v>0</v>
      </c>
      <c r="F224" s="5">
        <f t="shared" si="78"/>
        <v>0</v>
      </c>
      <c r="G224" s="5"/>
      <c r="H224" s="5"/>
      <c r="I224" s="5">
        <f t="shared" si="65"/>
        <v>0</v>
      </c>
      <c r="J224" s="5"/>
      <c r="K224" s="5"/>
      <c r="L224" s="5"/>
      <c r="M224" s="5"/>
      <c r="N224" s="5"/>
      <c r="O224" s="5"/>
      <c r="P224" s="2">
        <f t="shared" si="73"/>
        <v>0</v>
      </c>
      <c r="Q224" s="2">
        <f t="shared" si="74"/>
        <v>0</v>
      </c>
      <c r="R224" s="2">
        <f t="shared" si="71"/>
        <v>0</v>
      </c>
    </row>
    <row r="225" spans="1:18" s="11" customFormat="1" ht="60" x14ac:dyDescent="0.2">
      <c r="A225" s="55"/>
      <c r="B225" s="56"/>
      <c r="C225" s="56"/>
      <c r="D225" s="28" t="s">
        <v>616</v>
      </c>
      <c r="E225" s="64">
        <v>49000</v>
      </c>
      <c r="F225" s="64">
        <f t="shared" si="78"/>
        <v>0</v>
      </c>
      <c r="G225" s="64"/>
      <c r="H225" s="64"/>
      <c r="I225" s="64">
        <f t="shared" si="65"/>
        <v>49000</v>
      </c>
      <c r="J225" s="5"/>
      <c r="K225" s="5"/>
      <c r="L225" s="5"/>
      <c r="M225" s="5"/>
      <c r="N225" s="5"/>
      <c r="O225" s="5"/>
      <c r="P225" s="2">
        <f t="shared" si="73"/>
        <v>49000</v>
      </c>
      <c r="Q225" s="2">
        <f t="shared" si="74"/>
        <v>0</v>
      </c>
      <c r="R225" s="2">
        <f t="shared" si="71"/>
        <v>49000</v>
      </c>
    </row>
    <row r="226" spans="1:18" s="11" customFormat="1" ht="60" x14ac:dyDescent="0.2">
      <c r="A226" s="55"/>
      <c r="B226" s="56"/>
      <c r="C226" s="56"/>
      <c r="D226" s="28" t="s">
        <v>617</v>
      </c>
      <c r="E226" s="64">
        <v>49000</v>
      </c>
      <c r="F226" s="64">
        <f t="shared" si="78"/>
        <v>0</v>
      </c>
      <c r="G226" s="64"/>
      <c r="H226" s="64"/>
      <c r="I226" s="64">
        <f t="shared" si="65"/>
        <v>49000</v>
      </c>
      <c r="J226" s="5"/>
      <c r="K226" s="5"/>
      <c r="L226" s="5"/>
      <c r="M226" s="5"/>
      <c r="N226" s="5"/>
      <c r="O226" s="5"/>
      <c r="P226" s="2">
        <f t="shared" si="73"/>
        <v>49000</v>
      </c>
      <c r="Q226" s="2">
        <f t="shared" si="74"/>
        <v>0</v>
      </c>
      <c r="R226" s="2">
        <f t="shared" si="71"/>
        <v>49000</v>
      </c>
    </row>
    <row r="227" spans="1:18" s="11" customFormat="1" ht="60" x14ac:dyDescent="0.2">
      <c r="A227" s="55"/>
      <c r="B227" s="56"/>
      <c r="C227" s="56"/>
      <c r="D227" s="28" t="s">
        <v>618</v>
      </c>
      <c r="E227" s="64">
        <v>49000</v>
      </c>
      <c r="F227" s="64">
        <f t="shared" si="78"/>
        <v>0</v>
      </c>
      <c r="G227" s="64"/>
      <c r="H227" s="64"/>
      <c r="I227" s="64">
        <f t="shared" si="65"/>
        <v>49000</v>
      </c>
      <c r="J227" s="5"/>
      <c r="K227" s="5"/>
      <c r="L227" s="5"/>
      <c r="M227" s="5"/>
      <c r="N227" s="5"/>
      <c r="O227" s="5"/>
      <c r="P227" s="2">
        <f t="shared" si="73"/>
        <v>49000</v>
      </c>
      <c r="Q227" s="2">
        <f t="shared" si="74"/>
        <v>0</v>
      </c>
      <c r="R227" s="2">
        <f t="shared" si="71"/>
        <v>49000</v>
      </c>
    </row>
    <row r="228" spans="1:18" s="11" customFormat="1" ht="60" x14ac:dyDescent="0.2">
      <c r="A228" s="55"/>
      <c r="B228" s="56"/>
      <c r="C228" s="56"/>
      <c r="D228" s="28" t="s">
        <v>619</v>
      </c>
      <c r="E228" s="64">
        <v>49000</v>
      </c>
      <c r="F228" s="64">
        <f t="shared" si="78"/>
        <v>0</v>
      </c>
      <c r="G228" s="64"/>
      <c r="H228" s="64"/>
      <c r="I228" s="64">
        <f t="shared" si="65"/>
        <v>49000</v>
      </c>
      <c r="J228" s="5"/>
      <c r="K228" s="5"/>
      <c r="L228" s="5"/>
      <c r="M228" s="5"/>
      <c r="N228" s="5"/>
      <c r="O228" s="5"/>
      <c r="P228" s="2">
        <f t="shared" si="73"/>
        <v>49000</v>
      </c>
      <c r="Q228" s="2">
        <f t="shared" si="74"/>
        <v>0</v>
      </c>
      <c r="R228" s="2">
        <f t="shared" si="71"/>
        <v>49000</v>
      </c>
    </row>
    <row r="229" spans="1:18" s="11" customFormat="1" ht="60" x14ac:dyDescent="0.2">
      <c r="A229" s="55"/>
      <c r="B229" s="56"/>
      <c r="C229" s="56"/>
      <c r="D229" s="28" t="s">
        <v>620</v>
      </c>
      <c r="E229" s="64">
        <v>49000</v>
      </c>
      <c r="F229" s="64">
        <f t="shared" si="78"/>
        <v>0</v>
      </c>
      <c r="G229" s="64"/>
      <c r="H229" s="64"/>
      <c r="I229" s="64">
        <f t="shared" si="65"/>
        <v>49000</v>
      </c>
      <c r="J229" s="5"/>
      <c r="K229" s="5"/>
      <c r="L229" s="5"/>
      <c r="M229" s="5"/>
      <c r="N229" s="5"/>
      <c r="O229" s="5"/>
      <c r="P229" s="2">
        <f t="shared" si="73"/>
        <v>49000</v>
      </c>
      <c r="Q229" s="2">
        <f t="shared" si="74"/>
        <v>0</v>
      </c>
      <c r="R229" s="2">
        <f t="shared" si="71"/>
        <v>49000</v>
      </c>
    </row>
    <row r="230" spans="1:18" s="11" customFormat="1" ht="24" x14ac:dyDescent="0.2">
      <c r="A230" s="55" t="s">
        <v>312</v>
      </c>
      <c r="B230" s="56" t="s">
        <v>313</v>
      </c>
      <c r="C230" s="56" t="s">
        <v>23</v>
      </c>
      <c r="D230" s="16" t="s">
        <v>314</v>
      </c>
      <c r="E230" s="5">
        <v>100000</v>
      </c>
      <c r="F230" s="5">
        <f t="shared" si="78"/>
        <v>0</v>
      </c>
      <c r="G230" s="5"/>
      <c r="H230" s="5"/>
      <c r="I230" s="5">
        <f t="shared" si="65"/>
        <v>100000</v>
      </c>
      <c r="J230" s="5">
        <v>0</v>
      </c>
      <c r="K230" s="5">
        <f t="shared" si="76"/>
        <v>0</v>
      </c>
      <c r="L230" s="5"/>
      <c r="M230" s="5"/>
      <c r="N230" s="5"/>
      <c r="O230" s="5">
        <f t="shared" si="77"/>
        <v>0</v>
      </c>
      <c r="P230" s="2">
        <f t="shared" si="73"/>
        <v>100000</v>
      </c>
      <c r="Q230" s="2">
        <f t="shared" si="74"/>
        <v>0</v>
      </c>
      <c r="R230" s="2">
        <f t="shared" si="71"/>
        <v>100000</v>
      </c>
    </row>
    <row r="231" spans="1:18" s="11" customFormat="1" ht="24" x14ac:dyDescent="0.2">
      <c r="A231" s="55" t="s">
        <v>658</v>
      </c>
      <c r="B231" s="56" t="s">
        <v>659</v>
      </c>
      <c r="C231" s="56" t="s">
        <v>23</v>
      </c>
      <c r="D231" s="16" t="s">
        <v>657</v>
      </c>
      <c r="E231" s="5"/>
      <c r="F231" s="5">
        <f>G231</f>
        <v>450000</v>
      </c>
      <c r="G231" s="5">
        <v>450000</v>
      </c>
      <c r="H231" s="5"/>
      <c r="I231" s="5">
        <f t="shared" si="65"/>
        <v>450000</v>
      </c>
      <c r="J231" s="5"/>
      <c r="K231" s="5"/>
      <c r="L231" s="5"/>
      <c r="M231" s="5"/>
      <c r="N231" s="5"/>
      <c r="O231" s="5"/>
      <c r="P231" s="2"/>
      <c r="Q231" s="2"/>
      <c r="R231" s="2">
        <f t="shared" si="71"/>
        <v>450000</v>
      </c>
    </row>
    <row r="232" spans="1:18" s="11" customFormat="1" ht="17.25" customHeight="1" x14ac:dyDescent="0.2">
      <c r="A232" s="55" t="s">
        <v>125</v>
      </c>
      <c r="B232" s="56" t="s">
        <v>95</v>
      </c>
      <c r="C232" s="56" t="s">
        <v>23</v>
      </c>
      <c r="D232" s="16" t="s">
        <v>96</v>
      </c>
      <c r="E232" s="5">
        <v>379868274</v>
      </c>
      <c r="F232" s="5">
        <f t="shared" si="78"/>
        <v>10087607</v>
      </c>
      <c r="G232" s="5">
        <f>9959662+29900+98045</f>
        <v>10087607</v>
      </c>
      <c r="H232" s="5"/>
      <c r="I232" s="5">
        <f>E232+F232</f>
        <v>389955881</v>
      </c>
      <c r="J232" s="5">
        <v>49900</v>
      </c>
      <c r="K232" s="5">
        <f t="shared" si="76"/>
        <v>0</v>
      </c>
      <c r="L232" s="5"/>
      <c r="M232" s="5"/>
      <c r="N232" s="5"/>
      <c r="O232" s="5">
        <f t="shared" si="77"/>
        <v>49900</v>
      </c>
      <c r="P232" s="2">
        <f t="shared" si="73"/>
        <v>379918174</v>
      </c>
      <c r="Q232" s="2">
        <f t="shared" si="74"/>
        <v>10087607</v>
      </c>
      <c r="R232" s="2">
        <f t="shared" si="71"/>
        <v>390005781</v>
      </c>
    </row>
    <row r="233" spans="1:18" s="11" customFormat="1" ht="12" x14ac:dyDescent="0.2">
      <c r="A233" s="55"/>
      <c r="B233" s="56"/>
      <c r="C233" s="56"/>
      <c r="D233" s="16" t="s">
        <v>577</v>
      </c>
      <c r="E233" s="5">
        <v>0</v>
      </c>
      <c r="F233" s="5"/>
      <c r="G233" s="5"/>
      <c r="H233" s="5"/>
      <c r="I233" s="5">
        <f t="shared" ref="I233:I234" si="79">E233+F233</f>
        <v>0</v>
      </c>
      <c r="J233" s="5"/>
      <c r="K233" s="5"/>
      <c r="L233" s="5"/>
      <c r="M233" s="5"/>
      <c r="N233" s="5"/>
      <c r="O233" s="5"/>
      <c r="P233" s="2">
        <f t="shared" si="73"/>
        <v>0</v>
      </c>
      <c r="Q233" s="2">
        <f t="shared" si="74"/>
        <v>0</v>
      </c>
      <c r="R233" s="2">
        <f t="shared" si="71"/>
        <v>0</v>
      </c>
    </row>
    <row r="234" spans="1:18" s="11" customFormat="1" ht="39.75" customHeight="1" x14ac:dyDescent="0.2">
      <c r="A234" s="55"/>
      <c r="B234" s="56"/>
      <c r="C234" s="56"/>
      <c r="D234" s="28" t="s">
        <v>621</v>
      </c>
      <c r="E234" s="64">
        <v>20000</v>
      </c>
      <c r="F234" s="64">
        <f>G234</f>
        <v>0</v>
      </c>
      <c r="G234" s="64"/>
      <c r="H234" s="64"/>
      <c r="I234" s="64">
        <f t="shared" si="79"/>
        <v>20000</v>
      </c>
      <c r="J234" s="5"/>
      <c r="K234" s="5"/>
      <c r="L234" s="5"/>
      <c r="M234" s="5"/>
      <c r="N234" s="5"/>
      <c r="O234" s="5"/>
      <c r="P234" s="2">
        <f t="shared" si="73"/>
        <v>20000</v>
      </c>
      <c r="Q234" s="2">
        <f t="shared" si="74"/>
        <v>0</v>
      </c>
      <c r="R234" s="2">
        <f t="shared" si="71"/>
        <v>20000</v>
      </c>
    </row>
    <row r="235" spans="1:18" s="11" customFormat="1" ht="24" x14ac:dyDescent="0.2">
      <c r="A235" s="55" t="s">
        <v>506</v>
      </c>
      <c r="B235" s="56" t="s">
        <v>226</v>
      </c>
      <c r="C235" s="56" t="s">
        <v>203</v>
      </c>
      <c r="D235" s="16" t="s">
        <v>483</v>
      </c>
      <c r="E235" s="5">
        <v>0</v>
      </c>
      <c r="F235" s="12">
        <f t="shared" si="78"/>
        <v>0</v>
      </c>
      <c r="G235" s="5"/>
      <c r="H235" s="5"/>
      <c r="I235" s="5">
        <f t="shared" si="65"/>
        <v>0</v>
      </c>
      <c r="J235" s="5">
        <v>48604709</v>
      </c>
      <c r="K235" s="5">
        <f t="shared" si="76"/>
        <v>-1863158</v>
      </c>
      <c r="L235" s="5">
        <f>-1863158</f>
        <v>-1863158</v>
      </c>
      <c r="M235" s="5"/>
      <c r="N235" s="5">
        <f>-1863158</f>
        <v>-1863158</v>
      </c>
      <c r="O235" s="5">
        <f t="shared" ref="O235:O238" si="80">K235+J235</f>
        <v>46741551</v>
      </c>
      <c r="P235" s="2">
        <f t="shared" si="73"/>
        <v>48604709</v>
      </c>
      <c r="Q235" s="2">
        <f t="shared" si="74"/>
        <v>-1863158</v>
      </c>
      <c r="R235" s="2">
        <f t="shared" si="71"/>
        <v>46741551</v>
      </c>
    </row>
    <row r="236" spans="1:18" s="11" customFormat="1" ht="12.75" x14ac:dyDescent="0.2">
      <c r="A236" s="55"/>
      <c r="B236" s="56"/>
      <c r="C236" s="56"/>
      <c r="D236" s="16" t="s">
        <v>577</v>
      </c>
      <c r="E236" s="5"/>
      <c r="F236" s="12"/>
      <c r="G236" s="5"/>
      <c r="H236" s="5"/>
      <c r="I236" s="5"/>
      <c r="J236" s="5">
        <v>0</v>
      </c>
      <c r="K236" s="5">
        <f t="shared" si="76"/>
        <v>0</v>
      </c>
      <c r="L236" s="5"/>
      <c r="M236" s="5"/>
      <c r="N236" s="5"/>
      <c r="O236" s="5">
        <f t="shared" si="80"/>
        <v>0</v>
      </c>
      <c r="P236" s="2">
        <f t="shared" si="73"/>
        <v>0</v>
      </c>
      <c r="Q236" s="2">
        <f t="shared" si="74"/>
        <v>0</v>
      </c>
      <c r="R236" s="2">
        <f t="shared" si="71"/>
        <v>0</v>
      </c>
    </row>
    <row r="237" spans="1:18" s="11" customFormat="1" ht="60" x14ac:dyDescent="0.2">
      <c r="A237" s="55"/>
      <c r="B237" s="56"/>
      <c r="C237" s="56"/>
      <c r="D237" s="28" t="s">
        <v>578</v>
      </c>
      <c r="E237" s="5"/>
      <c r="F237" s="12"/>
      <c r="G237" s="5"/>
      <c r="H237" s="5"/>
      <c r="I237" s="5"/>
      <c r="J237" s="5">
        <v>99000</v>
      </c>
      <c r="K237" s="5">
        <f t="shared" si="76"/>
        <v>0</v>
      </c>
      <c r="L237" s="5"/>
      <c r="M237" s="5"/>
      <c r="N237" s="5"/>
      <c r="O237" s="5">
        <f t="shared" si="80"/>
        <v>99000</v>
      </c>
      <c r="P237" s="2">
        <f t="shared" si="73"/>
        <v>99000</v>
      </c>
      <c r="Q237" s="2">
        <f t="shared" si="74"/>
        <v>0</v>
      </c>
      <c r="R237" s="2">
        <f t="shared" si="71"/>
        <v>99000</v>
      </c>
    </row>
    <row r="238" spans="1:18" s="11" customFormat="1" ht="60" x14ac:dyDescent="0.2">
      <c r="A238" s="55"/>
      <c r="B238" s="56"/>
      <c r="C238" s="56"/>
      <c r="D238" s="28" t="s">
        <v>579</v>
      </c>
      <c r="E238" s="5"/>
      <c r="F238" s="12"/>
      <c r="G238" s="5"/>
      <c r="H238" s="5"/>
      <c r="I238" s="5"/>
      <c r="J238" s="5">
        <v>99000</v>
      </c>
      <c r="K238" s="5">
        <f t="shared" si="76"/>
        <v>0</v>
      </c>
      <c r="L238" s="5"/>
      <c r="M238" s="5"/>
      <c r="N238" s="5"/>
      <c r="O238" s="5">
        <f t="shared" si="80"/>
        <v>99000</v>
      </c>
      <c r="P238" s="2">
        <f t="shared" si="73"/>
        <v>99000</v>
      </c>
      <c r="Q238" s="2">
        <f t="shared" si="74"/>
        <v>0</v>
      </c>
      <c r="R238" s="2">
        <f t="shared" si="71"/>
        <v>99000</v>
      </c>
    </row>
    <row r="239" spans="1:18" s="11" customFormat="1" ht="24" x14ac:dyDescent="0.2">
      <c r="A239" s="55" t="s">
        <v>126</v>
      </c>
      <c r="B239" s="56" t="s">
        <v>78</v>
      </c>
      <c r="C239" s="56" t="s">
        <v>24</v>
      </c>
      <c r="D239" s="16" t="s">
        <v>9</v>
      </c>
      <c r="E239" s="5">
        <v>0</v>
      </c>
      <c r="F239" s="12">
        <f t="shared" si="78"/>
        <v>0</v>
      </c>
      <c r="G239" s="5"/>
      <c r="H239" s="5"/>
      <c r="I239" s="5">
        <f t="shared" si="65"/>
        <v>0</v>
      </c>
      <c r="J239" s="5">
        <v>183990197</v>
      </c>
      <c r="K239" s="5">
        <f t="shared" si="76"/>
        <v>2500000</v>
      </c>
      <c r="L239" s="5">
        <f>SUM(L240:L246)</f>
        <v>2500000</v>
      </c>
      <c r="M239" s="5">
        <f t="shared" ref="M239:N239" si="81">SUM(M240:M246)</f>
        <v>0</v>
      </c>
      <c r="N239" s="5">
        <f t="shared" si="81"/>
        <v>2500000</v>
      </c>
      <c r="O239" s="5">
        <f t="shared" si="77"/>
        <v>186490197</v>
      </c>
      <c r="P239" s="2">
        <f t="shared" si="73"/>
        <v>183990197</v>
      </c>
      <c r="Q239" s="2">
        <f t="shared" si="74"/>
        <v>2500000</v>
      </c>
      <c r="R239" s="2">
        <f t="shared" si="71"/>
        <v>186490197</v>
      </c>
    </row>
    <row r="240" spans="1:18" s="11" customFormat="1" ht="12.75" x14ac:dyDescent="0.2">
      <c r="A240" s="55"/>
      <c r="B240" s="56"/>
      <c r="C240" s="56"/>
      <c r="D240" s="16" t="s">
        <v>574</v>
      </c>
      <c r="E240" s="5"/>
      <c r="F240" s="12"/>
      <c r="G240" s="5"/>
      <c r="H240" s="5"/>
      <c r="I240" s="5"/>
      <c r="J240" s="5">
        <v>0</v>
      </c>
      <c r="K240" s="5">
        <f t="shared" si="76"/>
        <v>0</v>
      </c>
      <c r="L240" s="5"/>
      <c r="M240" s="5"/>
      <c r="N240" s="5"/>
      <c r="O240" s="5">
        <f t="shared" ref="O240:O246" si="82">J240+K240</f>
        <v>0</v>
      </c>
      <c r="P240" s="2">
        <f t="shared" si="73"/>
        <v>0</v>
      </c>
      <c r="Q240" s="2">
        <f t="shared" si="74"/>
        <v>0</v>
      </c>
      <c r="R240" s="2">
        <f t="shared" si="71"/>
        <v>0</v>
      </c>
    </row>
    <row r="241" spans="1:18" s="11" customFormat="1" ht="12.75" x14ac:dyDescent="0.2">
      <c r="A241" s="55"/>
      <c r="B241" s="56"/>
      <c r="C241" s="56"/>
      <c r="D241" s="16" t="s">
        <v>605</v>
      </c>
      <c r="E241" s="5"/>
      <c r="F241" s="12"/>
      <c r="G241" s="5"/>
      <c r="H241" s="5"/>
      <c r="I241" s="5"/>
      <c r="J241" s="5">
        <v>151246670</v>
      </c>
      <c r="K241" s="5">
        <f t="shared" si="76"/>
        <v>0</v>
      </c>
      <c r="L241" s="5"/>
      <c r="M241" s="5"/>
      <c r="N241" s="5"/>
      <c r="O241" s="5">
        <f t="shared" si="82"/>
        <v>151246670</v>
      </c>
      <c r="P241" s="2">
        <f t="shared" si="73"/>
        <v>151246670</v>
      </c>
      <c r="Q241" s="2">
        <f t="shared" si="74"/>
        <v>0</v>
      </c>
      <c r="R241" s="2">
        <f t="shared" si="71"/>
        <v>151246670</v>
      </c>
    </row>
    <row r="242" spans="1:18" s="11" customFormat="1" ht="12.75" x14ac:dyDescent="0.2">
      <c r="A242" s="55"/>
      <c r="B242" s="56"/>
      <c r="C242" s="56"/>
      <c r="D242" s="16" t="s">
        <v>606</v>
      </c>
      <c r="E242" s="5"/>
      <c r="F242" s="12"/>
      <c r="G242" s="5"/>
      <c r="H242" s="5"/>
      <c r="I242" s="5"/>
      <c r="J242" s="5">
        <v>3700000</v>
      </c>
      <c r="K242" s="5">
        <f t="shared" si="76"/>
        <v>0</v>
      </c>
      <c r="L242" s="5"/>
      <c r="M242" s="5"/>
      <c r="N242" s="5"/>
      <c r="O242" s="5">
        <f t="shared" si="82"/>
        <v>3700000</v>
      </c>
      <c r="P242" s="2">
        <f t="shared" si="73"/>
        <v>3700000</v>
      </c>
      <c r="Q242" s="2">
        <f t="shared" si="74"/>
        <v>0</v>
      </c>
      <c r="R242" s="2">
        <f t="shared" si="71"/>
        <v>3700000</v>
      </c>
    </row>
    <row r="243" spans="1:18" s="11" customFormat="1" ht="12.75" x14ac:dyDescent="0.2">
      <c r="A243" s="55"/>
      <c r="B243" s="56"/>
      <c r="C243" s="56"/>
      <c r="D243" s="16" t="s">
        <v>607</v>
      </c>
      <c r="E243" s="5"/>
      <c r="F243" s="12"/>
      <c r="G243" s="5"/>
      <c r="H243" s="5"/>
      <c r="I243" s="5"/>
      <c r="J243" s="5">
        <v>2521371</v>
      </c>
      <c r="K243" s="5">
        <f t="shared" si="76"/>
        <v>0</v>
      </c>
      <c r="L243" s="5"/>
      <c r="M243" s="5"/>
      <c r="N243" s="5"/>
      <c r="O243" s="5">
        <f t="shared" si="82"/>
        <v>2521371</v>
      </c>
      <c r="P243" s="2">
        <f t="shared" si="73"/>
        <v>2521371</v>
      </c>
      <c r="Q243" s="2">
        <f t="shared" si="74"/>
        <v>0</v>
      </c>
      <c r="R243" s="2">
        <f t="shared" si="71"/>
        <v>2521371</v>
      </c>
    </row>
    <row r="244" spans="1:18" s="11" customFormat="1" ht="12.75" x14ac:dyDescent="0.2">
      <c r="A244" s="55"/>
      <c r="B244" s="56"/>
      <c r="C244" s="56"/>
      <c r="D244" s="16" t="s">
        <v>608</v>
      </c>
      <c r="E244" s="5"/>
      <c r="F244" s="12"/>
      <c r="G244" s="5"/>
      <c r="H244" s="5"/>
      <c r="I244" s="5"/>
      <c r="J244" s="5">
        <v>14855500</v>
      </c>
      <c r="K244" s="5">
        <f t="shared" si="76"/>
        <v>0</v>
      </c>
      <c r="L244" s="5"/>
      <c r="M244" s="5"/>
      <c r="N244" s="5"/>
      <c r="O244" s="5">
        <f t="shared" si="82"/>
        <v>14855500</v>
      </c>
      <c r="P244" s="2">
        <f t="shared" si="73"/>
        <v>14855500</v>
      </c>
      <c r="Q244" s="2">
        <f t="shared" si="74"/>
        <v>0</v>
      </c>
      <c r="R244" s="2">
        <f t="shared" si="71"/>
        <v>14855500</v>
      </c>
    </row>
    <row r="245" spans="1:18" s="11" customFormat="1" ht="12.75" x14ac:dyDescent="0.2">
      <c r="A245" s="55"/>
      <c r="B245" s="56"/>
      <c r="C245" s="56"/>
      <c r="D245" s="16" t="s">
        <v>609</v>
      </c>
      <c r="E245" s="5"/>
      <c r="F245" s="12"/>
      <c r="G245" s="5"/>
      <c r="H245" s="5"/>
      <c r="I245" s="5"/>
      <c r="J245" s="5">
        <v>11366656</v>
      </c>
      <c r="K245" s="5">
        <f t="shared" si="76"/>
        <v>2500000</v>
      </c>
      <c r="L245" s="5">
        <f>2500000</f>
        <v>2500000</v>
      </c>
      <c r="M245" s="5"/>
      <c r="N245" s="5">
        <f>2500000</f>
        <v>2500000</v>
      </c>
      <c r="O245" s="5">
        <f t="shared" si="82"/>
        <v>13866656</v>
      </c>
      <c r="P245" s="2">
        <f t="shared" si="73"/>
        <v>11366656</v>
      </c>
      <c r="Q245" s="2">
        <f t="shared" si="74"/>
        <v>2500000</v>
      </c>
      <c r="R245" s="2">
        <f t="shared" si="71"/>
        <v>13866656</v>
      </c>
    </row>
    <row r="246" spans="1:18" s="11" customFormat="1" ht="12.75" x14ac:dyDescent="0.2">
      <c r="A246" s="55"/>
      <c r="B246" s="56"/>
      <c r="C246" s="56"/>
      <c r="D246" s="16" t="s">
        <v>610</v>
      </c>
      <c r="E246" s="5"/>
      <c r="F246" s="12"/>
      <c r="G246" s="5"/>
      <c r="H246" s="5"/>
      <c r="I246" s="5"/>
      <c r="J246" s="5">
        <v>300000</v>
      </c>
      <c r="K246" s="5">
        <f t="shared" si="76"/>
        <v>0</v>
      </c>
      <c r="L246" s="5"/>
      <c r="M246" s="5"/>
      <c r="N246" s="5"/>
      <c r="O246" s="5">
        <f t="shared" si="82"/>
        <v>300000</v>
      </c>
      <c r="P246" s="2">
        <f t="shared" si="73"/>
        <v>300000</v>
      </c>
      <c r="Q246" s="2">
        <f t="shared" si="74"/>
        <v>0</v>
      </c>
      <c r="R246" s="2">
        <f t="shared" si="71"/>
        <v>300000</v>
      </c>
    </row>
    <row r="247" spans="1:18" s="11" customFormat="1" ht="91.5" customHeight="1" x14ac:dyDescent="0.2">
      <c r="A247" s="55" t="s">
        <v>507</v>
      </c>
      <c r="B247" s="56" t="s">
        <v>259</v>
      </c>
      <c r="C247" s="56" t="s">
        <v>24</v>
      </c>
      <c r="D247" s="16" t="s">
        <v>260</v>
      </c>
      <c r="E247" s="5">
        <v>0</v>
      </c>
      <c r="F247" s="12">
        <f t="shared" si="78"/>
        <v>0</v>
      </c>
      <c r="G247" s="5"/>
      <c r="H247" s="5"/>
      <c r="I247" s="5">
        <f t="shared" ref="I247" si="83">E247+F247</f>
        <v>0</v>
      </c>
      <c r="J247" s="5">
        <v>94628</v>
      </c>
      <c r="K247" s="5">
        <f t="shared" si="76"/>
        <v>0</v>
      </c>
      <c r="L247" s="5"/>
      <c r="M247" s="5"/>
      <c r="N247" s="5"/>
      <c r="O247" s="5">
        <f t="shared" si="77"/>
        <v>94628</v>
      </c>
      <c r="P247" s="2">
        <f t="shared" si="73"/>
        <v>94628</v>
      </c>
      <c r="Q247" s="2">
        <f t="shared" si="74"/>
        <v>0</v>
      </c>
      <c r="R247" s="2">
        <f t="shared" si="71"/>
        <v>94628</v>
      </c>
    </row>
    <row r="248" spans="1:18" s="11" customFormat="1" ht="24" x14ac:dyDescent="0.2">
      <c r="A248" s="55" t="s">
        <v>286</v>
      </c>
      <c r="B248" s="56" t="s">
        <v>97</v>
      </c>
      <c r="C248" s="56" t="s">
        <v>15</v>
      </c>
      <c r="D248" s="16" t="s">
        <v>6</v>
      </c>
      <c r="E248" s="5">
        <v>0</v>
      </c>
      <c r="F248" s="12">
        <f t="shared" si="78"/>
        <v>0</v>
      </c>
      <c r="G248" s="5"/>
      <c r="H248" s="5"/>
      <c r="I248" s="5">
        <f t="shared" si="65"/>
        <v>0</v>
      </c>
      <c r="J248" s="5">
        <v>130000</v>
      </c>
      <c r="K248" s="5">
        <f t="shared" si="76"/>
        <v>277500</v>
      </c>
      <c r="L248" s="5"/>
      <c r="M248" s="5">
        <f>277500</f>
        <v>277500</v>
      </c>
      <c r="N248" s="5"/>
      <c r="O248" s="5">
        <f t="shared" si="77"/>
        <v>407500</v>
      </c>
      <c r="P248" s="2">
        <f t="shared" si="73"/>
        <v>130000</v>
      </c>
      <c r="Q248" s="2">
        <f t="shared" si="74"/>
        <v>277500</v>
      </c>
      <c r="R248" s="2">
        <f t="shared" si="71"/>
        <v>407500</v>
      </c>
    </row>
    <row r="249" spans="1:18" s="11" customFormat="1" ht="48" x14ac:dyDescent="0.2">
      <c r="A249" s="55" t="s">
        <v>615</v>
      </c>
      <c r="B249" s="56" t="s">
        <v>565</v>
      </c>
      <c r="C249" s="56" t="s">
        <v>168</v>
      </c>
      <c r="D249" s="18" t="s">
        <v>569</v>
      </c>
      <c r="E249" s="5">
        <v>150000</v>
      </c>
      <c r="F249" s="5">
        <f>G249</f>
        <v>0</v>
      </c>
      <c r="G249" s="5"/>
      <c r="H249" s="5"/>
      <c r="I249" s="5">
        <f t="shared" si="65"/>
        <v>150000</v>
      </c>
      <c r="J249" s="5"/>
      <c r="K249" s="5"/>
      <c r="L249" s="5"/>
      <c r="M249" s="5"/>
      <c r="N249" s="5"/>
      <c r="O249" s="5"/>
      <c r="P249" s="2">
        <f t="shared" si="73"/>
        <v>150000</v>
      </c>
      <c r="Q249" s="2">
        <f t="shared" si="74"/>
        <v>0</v>
      </c>
      <c r="R249" s="2">
        <f t="shared" si="71"/>
        <v>150000</v>
      </c>
    </row>
    <row r="250" spans="1:18" s="4" customFormat="1" ht="25.5" x14ac:dyDescent="0.2">
      <c r="A250" s="15" t="s">
        <v>321</v>
      </c>
      <c r="B250" s="1"/>
      <c r="C250" s="1"/>
      <c r="D250" s="54" t="s">
        <v>323</v>
      </c>
      <c r="E250" s="2">
        <f>SUM(E252:E255)</f>
        <v>126795714</v>
      </c>
      <c r="F250" s="2">
        <f t="shared" si="78"/>
        <v>-5612952</v>
      </c>
      <c r="G250" s="2">
        <f>G252+G253+G254+G255</f>
        <v>-5612952</v>
      </c>
      <c r="H250" s="2">
        <f>SUM(H252:H263)</f>
        <v>0</v>
      </c>
      <c r="I250" s="2">
        <f t="shared" si="65"/>
        <v>121182762</v>
      </c>
      <c r="J250" s="2">
        <f t="shared" ref="J250:O250" si="84">SUM(J251:J258)+J268+J263</f>
        <v>64983397</v>
      </c>
      <c r="K250" s="2">
        <f t="shared" si="84"/>
        <v>493007</v>
      </c>
      <c r="L250" s="2">
        <f t="shared" si="84"/>
        <v>-381983</v>
      </c>
      <c r="M250" s="2">
        <f t="shared" si="84"/>
        <v>175000</v>
      </c>
      <c r="N250" s="2">
        <f t="shared" si="84"/>
        <v>318007</v>
      </c>
      <c r="O250" s="2">
        <f t="shared" si="84"/>
        <v>65476404</v>
      </c>
      <c r="P250" s="2">
        <f t="shared" si="73"/>
        <v>191779111</v>
      </c>
      <c r="Q250" s="2">
        <f t="shared" si="74"/>
        <v>-5119945</v>
      </c>
      <c r="R250" s="2">
        <f t="shared" si="71"/>
        <v>186659166</v>
      </c>
    </row>
    <row r="251" spans="1:18" s="4" customFormat="1" ht="25.5" x14ac:dyDescent="0.2">
      <c r="A251" s="15" t="s">
        <v>322</v>
      </c>
      <c r="B251" s="1"/>
      <c r="C251" s="1"/>
      <c r="D251" s="54" t="s">
        <v>323</v>
      </c>
      <c r="E251" s="2"/>
      <c r="F251" s="5">
        <f t="shared" si="78"/>
        <v>0</v>
      </c>
      <c r="G251" s="2"/>
      <c r="H251" s="2"/>
      <c r="I251" s="5">
        <f t="shared" si="65"/>
        <v>0</v>
      </c>
      <c r="J251" s="5">
        <v>0</v>
      </c>
      <c r="K251" s="5">
        <f t="shared" ref="K251:K270" si="85">M251+N251</f>
        <v>0</v>
      </c>
      <c r="L251" s="2"/>
      <c r="M251" s="2"/>
      <c r="N251" s="2"/>
      <c r="O251" s="2">
        <f t="shared" ref="O251:O268" si="86">J251+K251</f>
        <v>0</v>
      </c>
      <c r="P251" s="2">
        <f t="shared" si="73"/>
        <v>0</v>
      </c>
      <c r="Q251" s="2">
        <f t="shared" si="74"/>
        <v>0</v>
      </c>
      <c r="R251" s="2">
        <f t="shared" si="71"/>
        <v>0</v>
      </c>
    </row>
    <row r="252" spans="1:18" s="11" customFormat="1" ht="36" x14ac:dyDescent="0.2">
      <c r="A252" s="55" t="s">
        <v>324</v>
      </c>
      <c r="B252" s="56" t="s">
        <v>60</v>
      </c>
      <c r="C252" s="56" t="s">
        <v>21</v>
      </c>
      <c r="D252" s="16" t="s">
        <v>447</v>
      </c>
      <c r="E252" s="5">
        <v>6245000</v>
      </c>
      <c r="F252" s="5">
        <f t="shared" si="78"/>
        <v>635000</v>
      </c>
      <c r="G252" s="5">
        <f>635000</f>
        <v>635000</v>
      </c>
      <c r="H252" s="5"/>
      <c r="I252" s="5">
        <f t="shared" si="65"/>
        <v>6880000</v>
      </c>
      <c r="J252" s="5">
        <v>0</v>
      </c>
      <c r="K252" s="5">
        <f t="shared" si="85"/>
        <v>0</v>
      </c>
      <c r="L252" s="5"/>
      <c r="M252" s="5"/>
      <c r="N252" s="5"/>
      <c r="O252" s="5">
        <f t="shared" si="86"/>
        <v>0</v>
      </c>
      <c r="P252" s="2">
        <f t="shared" si="73"/>
        <v>6245000</v>
      </c>
      <c r="Q252" s="2">
        <f t="shared" si="74"/>
        <v>635000</v>
      </c>
      <c r="R252" s="2">
        <f t="shared" si="71"/>
        <v>6880000</v>
      </c>
    </row>
    <row r="253" spans="1:18" s="11" customFormat="1" ht="13.5" customHeight="1" x14ac:dyDescent="0.2">
      <c r="A253" s="55" t="s">
        <v>355</v>
      </c>
      <c r="B253" s="56" t="s">
        <v>11</v>
      </c>
      <c r="C253" s="56" t="s">
        <v>13</v>
      </c>
      <c r="D253" s="16" t="s">
        <v>317</v>
      </c>
      <c r="E253" s="5">
        <v>4190000</v>
      </c>
      <c r="F253" s="5">
        <f t="shared" si="78"/>
        <v>581100</v>
      </c>
      <c r="G253" s="5">
        <v>581100</v>
      </c>
      <c r="H253" s="5"/>
      <c r="I253" s="5">
        <f t="shared" si="65"/>
        <v>4771100</v>
      </c>
      <c r="J253" s="5">
        <v>0</v>
      </c>
      <c r="K253" s="5">
        <f t="shared" si="85"/>
        <v>0</v>
      </c>
      <c r="L253" s="5"/>
      <c r="M253" s="5"/>
      <c r="N253" s="5"/>
      <c r="O253" s="5">
        <f t="shared" si="86"/>
        <v>0</v>
      </c>
      <c r="P253" s="2">
        <f t="shared" si="73"/>
        <v>4190000</v>
      </c>
      <c r="Q253" s="2">
        <f t="shared" si="74"/>
        <v>581100</v>
      </c>
      <c r="R253" s="2">
        <f t="shared" si="71"/>
        <v>4771100</v>
      </c>
    </row>
    <row r="254" spans="1:18" s="11" customFormat="1" ht="24" x14ac:dyDescent="0.2">
      <c r="A254" s="55" t="s">
        <v>452</v>
      </c>
      <c r="B254" s="56" t="s">
        <v>93</v>
      </c>
      <c r="C254" s="56" t="s">
        <v>23</v>
      </c>
      <c r="D254" s="16" t="s">
        <v>94</v>
      </c>
      <c r="E254" s="5">
        <v>8500000</v>
      </c>
      <c r="F254" s="5">
        <f t="shared" si="78"/>
        <v>0</v>
      </c>
      <c r="G254" s="5"/>
      <c r="H254" s="5"/>
      <c r="I254" s="5">
        <f t="shared" si="65"/>
        <v>8500000</v>
      </c>
      <c r="J254" s="5">
        <v>0</v>
      </c>
      <c r="K254" s="5">
        <f t="shared" si="85"/>
        <v>0</v>
      </c>
      <c r="L254" s="5"/>
      <c r="M254" s="5"/>
      <c r="N254" s="5"/>
      <c r="O254" s="5">
        <f t="shared" si="86"/>
        <v>0</v>
      </c>
      <c r="P254" s="2">
        <f t="shared" si="73"/>
        <v>8500000</v>
      </c>
      <c r="Q254" s="2">
        <f t="shared" si="74"/>
        <v>0</v>
      </c>
      <c r="R254" s="2">
        <f t="shared" si="71"/>
        <v>8500000</v>
      </c>
    </row>
    <row r="255" spans="1:18" s="11" customFormat="1" ht="16.5" customHeight="1" x14ac:dyDescent="0.2">
      <c r="A255" s="55" t="s">
        <v>351</v>
      </c>
      <c r="B255" s="56" t="s">
        <v>95</v>
      </c>
      <c r="C255" s="56" t="s">
        <v>23</v>
      </c>
      <c r="D255" s="16" t="s">
        <v>96</v>
      </c>
      <c r="E255" s="5">
        <v>107860714</v>
      </c>
      <c r="F255" s="5">
        <f t="shared" si="78"/>
        <v>-6829052</v>
      </c>
      <c r="G255" s="5">
        <v>-6829052</v>
      </c>
      <c r="H255" s="5"/>
      <c r="I255" s="5">
        <f t="shared" si="65"/>
        <v>101031662</v>
      </c>
      <c r="J255" s="5">
        <v>0</v>
      </c>
      <c r="K255" s="5">
        <f t="shared" si="85"/>
        <v>0</v>
      </c>
      <c r="L255" s="5"/>
      <c r="M255" s="5"/>
      <c r="N255" s="5"/>
      <c r="O255" s="5">
        <f t="shared" si="86"/>
        <v>0</v>
      </c>
      <c r="P255" s="2">
        <f t="shared" si="73"/>
        <v>107860714</v>
      </c>
      <c r="Q255" s="2">
        <f t="shared" si="74"/>
        <v>-6829052</v>
      </c>
      <c r="R255" s="2">
        <f t="shared" si="71"/>
        <v>101031662</v>
      </c>
    </row>
    <row r="256" spans="1:18" s="11" customFormat="1" ht="12" x14ac:dyDescent="0.2">
      <c r="A256" s="55"/>
      <c r="B256" s="56"/>
      <c r="C256" s="56"/>
      <c r="D256" s="16" t="s">
        <v>577</v>
      </c>
      <c r="E256" s="5"/>
      <c r="F256" s="5"/>
      <c r="G256" s="5"/>
      <c r="H256" s="5"/>
      <c r="I256" s="5"/>
      <c r="J256" s="5"/>
      <c r="K256" s="5"/>
      <c r="L256" s="5"/>
      <c r="M256" s="5"/>
      <c r="N256" s="5"/>
      <c r="O256" s="5"/>
      <c r="P256" s="2">
        <f t="shared" si="73"/>
        <v>0</v>
      </c>
      <c r="Q256" s="2">
        <f t="shared" si="74"/>
        <v>0</v>
      </c>
      <c r="R256" s="2">
        <f t="shared" si="71"/>
        <v>0</v>
      </c>
    </row>
    <row r="257" spans="1:19" s="11" customFormat="1" ht="48" x14ac:dyDescent="0.2">
      <c r="A257" s="55"/>
      <c r="B257" s="56"/>
      <c r="C257" s="56"/>
      <c r="D257" s="28" t="s">
        <v>622</v>
      </c>
      <c r="E257" s="64">
        <v>50000</v>
      </c>
      <c r="F257" s="64">
        <f>G257</f>
        <v>0</v>
      </c>
      <c r="G257" s="64"/>
      <c r="H257" s="64"/>
      <c r="I257" s="64">
        <f>E257+F257</f>
        <v>50000</v>
      </c>
      <c r="J257" s="5"/>
      <c r="K257" s="5"/>
      <c r="L257" s="5"/>
      <c r="M257" s="5"/>
      <c r="N257" s="5"/>
      <c r="O257" s="5"/>
      <c r="P257" s="2">
        <f t="shared" si="73"/>
        <v>50000</v>
      </c>
      <c r="Q257" s="2">
        <f t="shared" si="74"/>
        <v>0</v>
      </c>
      <c r="R257" s="2">
        <f t="shared" si="71"/>
        <v>50000</v>
      </c>
    </row>
    <row r="258" spans="1:19" s="11" customFormat="1" ht="24" x14ac:dyDescent="0.2">
      <c r="A258" s="55" t="s">
        <v>508</v>
      </c>
      <c r="B258" s="56" t="s">
        <v>226</v>
      </c>
      <c r="C258" s="56" t="s">
        <v>203</v>
      </c>
      <c r="D258" s="16" t="s">
        <v>483</v>
      </c>
      <c r="E258" s="5"/>
      <c r="F258" s="5">
        <f t="shared" si="78"/>
        <v>0</v>
      </c>
      <c r="G258" s="5"/>
      <c r="H258" s="5"/>
      <c r="I258" s="5"/>
      <c r="J258" s="5">
        <v>29236444</v>
      </c>
      <c r="K258" s="5">
        <f t="shared" si="85"/>
        <v>-2381983</v>
      </c>
      <c r="L258" s="5">
        <f>-2381983</f>
        <v>-2381983</v>
      </c>
      <c r="M258" s="5"/>
      <c r="N258" s="5">
        <f>-2381983</f>
        <v>-2381983</v>
      </c>
      <c r="O258" s="5">
        <f t="shared" ref="O258:O262" si="87">K258+J258</f>
        <v>26854461</v>
      </c>
      <c r="P258" s="2">
        <f t="shared" si="73"/>
        <v>29236444</v>
      </c>
      <c r="Q258" s="2">
        <f t="shared" si="74"/>
        <v>-2381983</v>
      </c>
      <c r="R258" s="2">
        <f t="shared" si="71"/>
        <v>26854461</v>
      </c>
    </row>
    <row r="259" spans="1:19" s="11" customFormat="1" ht="12" x14ac:dyDescent="0.2">
      <c r="A259" s="55"/>
      <c r="B259" s="56"/>
      <c r="C259" s="56"/>
      <c r="D259" s="16" t="s">
        <v>577</v>
      </c>
      <c r="E259" s="5"/>
      <c r="F259" s="5"/>
      <c r="G259" s="5"/>
      <c r="H259" s="5"/>
      <c r="I259" s="5"/>
      <c r="J259" s="5">
        <v>0</v>
      </c>
      <c r="K259" s="5">
        <f t="shared" si="85"/>
        <v>0</v>
      </c>
      <c r="L259" s="5"/>
      <c r="M259" s="5"/>
      <c r="N259" s="5"/>
      <c r="O259" s="5">
        <f t="shared" si="87"/>
        <v>0</v>
      </c>
      <c r="P259" s="2">
        <f t="shared" si="73"/>
        <v>0</v>
      </c>
      <c r="Q259" s="2">
        <f t="shared" si="74"/>
        <v>0</v>
      </c>
      <c r="R259" s="2">
        <f t="shared" si="71"/>
        <v>0</v>
      </c>
    </row>
    <row r="260" spans="1:19" s="11" customFormat="1" ht="48" x14ac:dyDescent="0.2">
      <c r="A260" s="55"/>
      <c r="B260" s="56"/>
      <c r="C260" s="56"/>
      <c r="D260" s="28" t="s">
        <v>580</v>
      </c>
      <c r="E260" s="5"/>
      <c r="F260" s="5"/>
      <c r="G260" s="5"/>
      <c r="H260" s="5"/>
      <c r="I260" s="5"/>
      <c r="J260" s="5">
        <v>49999</v>
      </c>
      <c r="K260" s="5">
        <f t="shared" si="85"/>
        <v>0</v>
      </c>
      <c r="L260" s="5"/>
      <c r="M260" s="5"/>
      <c r="N260" s="5"/>
      <c r="O260" s="5">
        <f t="shared" si="87"/>
        <v>49999</v>
      </c>
      <c r="P260" s="2">
        <f t="shared" si="73"/>
        <v>49999</v>
      </c>
      <c r="Q260" s="2">
        <f t="shared" si="74"/>
        <v>0</v>
      </c>
      <c r="R260" s="2">
        <f t="shared" si="71"/>
        <v>49999</v>
      </c>
    </row>
    <row r="261" spans="1:19" s="11" customFormat="1" ht="48" x14ac:dyDescent="0.2">
      <c r="A261" s="55"/>
      <c r="B261" s="56"/>
      <c r="C261" s="56"/>
      <c r="D261" s="28" t="s">
        <v>581</v>
      </c>
      <c r="E261" s="5"/>
      <c r="F261" s="5"/>
      <c r="G261" s="5"/>
      <c r="H261" s="5"/>
      <c r="I261" s="5"/>
      <c r="J261" s="5">
        <v>49999</v>
      </c>
      <c r="K261" s="5">
        <f t="shared" si="85"/>
        <v>0</v>
      </c>
      <c r="L261" s="5"/>
      <c r="M261" s="5"/>
      <c r="N261" s="5"/>
      <c r="O261" s="5">
        <f t="shared" si="87"/>
        <v>49999</v>
      </c>
      <c r="P261" s="2">
        <f t="shared" si="73"/>
        <v>49999</v>
      </c>
      <c r="Q261" s="2">
        <f t="shared" si="74"/>
        <v>0</v>
      </c>
      <c r="R261" s="2">
        <f t="shared" si="71"/>
        <v>49999</v>
      </c>
    </row>
    <row r="262" spans="1:19" s="11" customFormat="1" ht="48" x14ac:dyDescent="0.2">
      <c r="A262" s="55"/>
      <c r="B262" s="56"/>
      <c r="C262" s="56"/>
      <c r="D262" s="28" t="s">
        <v>582</v>
      </c>
      <c r="E262" s="5"/>
      <c r="F262" s="5"/>
      <c r="G262" s="5"/>
      <c r="H262" s="5"/>
      <c r="I262" s="5"/>
      <c r="J262" s="5">
        <v>49999</v>
      </c>
      <c r="K262" s="5">
        <f t="shared" si="85"/>
        <v>0</v>
      </c>
      <c r="L262" s="5"/>
      <c r="M262" s="5"/>
      <c r="N262" s="5"/>
      <c r="O262" s="5">
        <f t="shared" si="87"/>
        <v>49999</v>
      </c>
      <c r="P262" s="2">
        <f t="shared" si="73"/>
        <v>49999</v>
      </c>
      <c r="Q262" s="2">
        <f t="shared" si="74"/>
        <v>0</v>
      </c>
      <c r="R262" s="2">
        <f t="shared" si="71"/>
        <v>49999</v>
      </c>
    </row>
    <row r="263" spans="1:19" s="11" customFormat="1" ht="24" x14ac:dyDescent="0.2">
      <c r="A263" s="55" t="s">
        <v>352</v>
      </c>
      <c r="B263" s="56" t="s">
        <v>78</v>
      </c>
      <c r="C263" s="56" t="s">
        <v>24</v>
      </c>
      <c r="D263" s="16" t="s">
        <v>52</v>
      </c>
      <c r="E263" s="5"/>
      <c r="F263" s="5">
        <f t="shared" si="78"/>
        <v>0</v>
      </c>
      <c r="G263" s="5"/>
      <c r="H263" s="5"/>
      <c r="I263" s="5">
        <f t="shared" si="65"/>
        <v>0</v>
      </c>
      <c r="J263" s="5">
        <v>34544053</v>
      </c>
      <c r="K263" s="5">
        <f t="shared" si="85"/>
        <v>2000000</v>
      </c>
      <c r="L263" s="5">
        <f>SUM(L265:L267)</f>
        <v>2000000</v>
      </c>
      <c r="M263" s="5">
        <f t="shared" ref="M263:N263" si="88">SUM(M265:M267)</f>
        <v>0</v>
      </c>
      <c r="N263" s="5">
        <f t="shared" si="88"/>
        <v>2000000</v>
      </c>
      <c r="O263" s="5">
        <f t="shared" si="86"/>
        <v>36544053</v>
      </c>
      <c r="P263" s="2">
        <f t="shared" si="73"/>
        <v>34544053</v>
      </c>
      <c r="Q263" s="2">
        <f t="shared" si="74"/>
        <v>2000000</v>
      </c>
      <c r="R263" s="2">
        <f t="shared" si="71"/>
        <v>36544053</v>
      </c>
    </row>
    <row r="264" spans="1:19" s="11" customFormat="1" ht="12" x14ac:dyDescent="0.2">
      <c r="A264" s="55"/>
      <c r="B264" s="56"/>
      <c r="C264" s="56"/>
      <c r="D264" s="16" t="s">
        <v>574</v>
      </c>
      <c r="E264" s="5"/>
      <c r="F264" s="5"/>
      <c r="G264" s="5"/>
      <c r="H264" s="5"/>
      <c r="I264" s="5"/>
      <c r="J264" s="5">
        <v>0</v>
      </c>
      <c r="K264" s="5">
        <f t="shared" si="85"/>
        <v>0</v>
      </c>
      <c r="L264" s="5"/>
      <c r="M264" s="5"/>
      <c r="N264" s="5"/>
      <c r="O264" s="5">
        <f t="shared" ref="O264:O267" si="89">J264+K264</f>
        <v>0</v>
      </c>
      <c r="P264" s="2">
        <f t="shared" si="73"/>
        <v>0</v>
      </c>
      <c r="Q264" s="2">
        <f t="shared" si="74"/>
        <v>0</v>
      </c>
      <c r="R264" s="2">
        <f t="shared" si="71"/>
        <v>0</v>
      </c>
    </row>
    <row r="265" spans="1:19" s="11" customFormat="1" ht="12" x14ac:dyDescent="0.2">
      <c r="A265" s="55"/>
      <c r="B265" s="56"/>
      <c r="C265" s="56"/>
      <c r="D265" s="16" t="s">
        <v>611</v>
      </c>
      <c r="E265" s="5"/>
      <c r="F265" s="5"/>
      <c r="G265" s="5"/>
      <c r="H265" s="5"/>
      <c r="I265" s="5"/>
      <c r="J265" s="5">
        <v>33136853</v>
      </c>
      <c r="K265" s="5">
        <f t="shared" si="85"/>
        <v>0</v>
      </c>
      <c r="L265" s="5"/>
      <c r="M265" s="5"/>
      <c r="N265" s="5"/>
      <c r="O265" s="5">
        <f t="shared" si="89"/>
        <v>33136853</v>
      </c>
      <c r="P265" s="2">
        <f t="shared" si="73"/>
        <v>33136853</v>
      </c>
      <c r="Q265" s="2">
        <f t="shared" si="74"/>
        <v>0</v>
      </c>
      <c r="R265" s="2">
        <f t="shared" si="71"/>
        <v>33136853</v>
      </c>
    </row>
    <row r="266" spans="1:19" s="11" customFormat="1" ht="12" x14ac:dyDescent="0.2">
      <c r="A266" s="55"/>
      <c r="B266" s="56"/>
      <c r="C266" s="56"/>
      <c r="D266" s="16" t="s">
        <v>651</v>
      </c>
      <c r="E266" s="5"/>
      <c r="F266" s="5"/>
      <c r="G266" s="5"/>
      <c r="H266" s="5"/>
      <c r="I266" s="5"/>
      <c r="J266" s="5"/>
      <c r="K266" s="5">
        <f t="shared" si="85"/>
        <v>2000000</v>
      </c>
      <c r="L266" s="5">
        <f>2000000</f>
        <v>2000000</v>
      </c>
      <c r="M266" s="5"/>
      <c r="N266" s="5">
        <f>2000000</f>
        <v>2000000</v>
      </c>
      <c r="O266" s="5">
        <f t="shared" si="89"/>
        <v>2000000</v>
      </c>
      <c r="P266" s="2">
        <f t="shared" ref="P266" si="90">E266+J266</f>
        <v>0</v>
      </c>
      <c r="Q266" s="2">
        <f t="shared" ref="Q266" si="91">F266+K266</f>
        <v>2000000</v>
      </c>
      <c r="R266" s="2">
        <f t="shared" ref="R266" si="92">I266+O266</f>
        <v>2000000</v>
      </c>
    </row>
    <row r="267" spans="1:19" s="11" customFormat="1" ht="12" x14ac:dyDescent="0.2">
      <c r="A267" s="55"/>
      <c r="B267" s="56"/>
      <c r="C267" s="56"/>
      <c r="D267" s="16" t="s">
        <v>612</v>
      </c>
      <c r="E267" s="5"/>
      <c r="F267" s="5"/>
      <c r="G267" s="5"/>
      <c r="H267" s="5"/>
      <c r="I267" s="5"/>
      <c r="J267" s="5">
        <v>1407200</v>
      </c>
      <c r="K267" s="5">
        <f t="shared" si="85"/>
        <v>0</v>
      </c>
      <c r="L267" s="5"/>
      <c r="M267" s="5"/>
      <c r="N267" s="5"/>
      <c r="O267" s="5">
        <f t="shared" si="89"/>
        <v>1407200</v>
      </c>
      <c r="P267" s="2">
        <f t="shared" si="73"/>
        <v>1407200</v>
      </c>
      <c r="Q267" s="2">
        <f t="shared" si="74"/>
        <v>0</v>
      </c>
      <c r="R267" s="2">
        <f t="shared" si="71"/>
        <v>1407200</v>
      </c>
    </row>
    <row r="268" spans="1:19" s="11" customFormat="1" ht="24" x14ac:dyDescent="0.2">
      <c r="A268" s="55" t="s">
        <v>509</v>
      </c>
      <c r="B268" s="56" t="s">
        <v>97</v>
      </c>
      <c r="C268" s="56" t="s">
        <v>15</v>
      </c>
      <c r="D268" s="16" t="s">
        <v>6</v>
      </c>
      <c r="E268" s="5"/>
      <c r="F268" s="5">
        <f t="shared" si="78"/>
        <v>0</v>
      </c>
      <c r="G268" s="5"/>
      <c r="H268" s="5"/>
      <c r="I268" s="5">
        <f t="shared" ref="I268" si="93">E268+F268</f>
        <v>0</v>
      </c>
      <c r="J268" s="5">
        <v>1202900</v>
      </c>
      <c r="K268" s="5">
        <f t="shared" si="85"/>
        <v>874990</v>
      </c>
      <c r="L268" s="5"/>
      <c r="M268" s="5">
        <f>175000</f>
        <v>175000</v>
      </c>
      <c r="N268" s="5">
        <f>699990</f>
        <v>699990</v>
      </c>
      <c r="O268" s="5">
        <f t="shared" si="86"/>
        <v>2077890</v>
      </c>
      <c r="P268" s="2">
        <f t="shared" si="73"/>
        <v>1202900</v>
      </c>
      <c r="Q268" s="2">
        <f t="shared" si="74"/>
        <v>874990</v>
      </c>
      <c r="R268" s="2">
        <f t="shared" si="71"/>
        <v>2077890</v>
      </c>
    </row>
    <row r="269" spans="1:19" s="11" customFormat="1" ht="12" x14ac:dyDescent="0.2">
      <c r="A269" s="55"/>
      <c r="B269" s="56"/>
      <c r="C269" s="56"/>
      <c r="D269" s="16" t="s">
        <v>574</v>
      </c>
      <c r="E269" s="5"/>
      <c r="F269" s="5"/>
      <c r="G269" s="5"/>
      <c r="H269" s="5"/>
      <c r="I269" s="5"/>
      <c r="J269" s="5">
        <v>0</v>
      </c>
      <c r="K269" s="5">
        <f t="shared" si="85"/>
        <v>0</v>
      </c>
      <c r="L269" s="5"/>
      <c r="M269" s="5"/>
      <c r="N269" s="5"/>
      <c r="O269" s="5">
        <f t="shared" ref="O269:O270" si="94">J269+K269</f>
        <v>0</v>
      </c>
      <c r="P269" s="2">
        <f t="shared" si="73"/>
        <v>0</v>
      </c>
      <c r="Q269" s="2">
        <f t="shared" si="74"/>
        <v>0</v>
      </c>
      <c r="R269" s="2">
        <f t="shared" si="71"/>
        <v>0</v>
      </c>
    </row>
    <row r="270" spans="1:19" s="11" customFormat="1" ht="48" x14ac:dyDescent="0.2">
      <c r="A270" s="55"/>
      <c r="B270" s="56"/>
      <c r="C270" s="56"/>
      <c r="D270" s="16" t="s">
        <v>613</v>
      </c>
      <c r="E270" s="5"/>
      <c r="F270" s="5"/>
      <c r="G270" s="5"/>
      <c r="H270" s="5"/>
      <c r="I270" s="5"/>
      <c r="J270" s="5">
        <v>864000</v>
      </c>
      <c r="K270" s="5">
        <f t="shared" si="85"/>
        <v>0</v>
      </c>
      <c r="L270" s="5"/>
      <c r="M270" s="5"/>
      <c r="N270" s="5"/>
      <c r="O270" s="5">
        <f t="shared" si="94"/>
        <v>864000</v>
      </c>
      <c r="P270" s="2">
        <f t="shared" si="73"/>
        <v>864000</v>
      </c>
      <c r="Q270" s="2">
        <f t="shared" si="74"/>
        <v>0</v>
      </c>
      <c r="R270" s="2">
        <f t="shared" si="71"/>
        <v>864000</v>
      </c>
    </row>
    <row r="271" spans="1:19" s="4" customFormat="1" ht="25.5" x14ac:dyDescent="0.2">
      <c r="A271" s="15" t="s">
        <v>213</v>
      </c>
      <c r="B271" s="1"/>
      <c r="C271" s="1"/>
      <c r="D271" s="54" t="s">
        <v>361</v>
      </c>
      <c r="E271" s="2">
        <f>SUM(E272:E275)</f>
        <v>80072974</v>
      </c>
      <c r="F271" s="2">
        <f>G271+H271</f>
        <v>-3314634</v>
      </c>
      <c r="G271" s="2">
        <f>G274+G275+G273</f>
        <v>-3314634</v>
      </c>
      <c r="H271" s="2">
        <f>SUM(H272:H285)</f>
        <v>0</v>
      </c>
      <c r="I271" s="2">
        <f>E271+F271</f>
        <v>76758340</v>
      </c>
      <c r="J271" s="2">
        <f>SUM(J273:J278)+J281+J282+J283+J284+J285</f>
        <v>175920578</v>
      </c>
      <c r="K271" s="2">
        <f>SUM(K273:K278)+K281+K282+K283+K284+K285+K289</f>
        <v>-15393878</v>
      </c>
      <c r="L271" s="2">
        <f t="shared" ref="L271:N271" si="95">SUM(L273:L278)+L281+L282+L283+L284+L285+L289</f>
        <v>-18893878</v>
      </c>
      <c r="M271" s="2">
        <f t="shared" si="95"/>
        <v>0</v>
      </c>
      <c r="N271" s="2">
        <f t="shared" si="95"/>
        <v>-15393878</v>
      </c>
      <c r="O271" s="2">
        <f>SUM(O273:O278)+O281+O282+O283+O284+O285+O289</f>
        <v>160526700</v>
      </c>
      <c r="P271" s="2">
        <f t="shared" si="73"/>
        <v>255993552</v>
      </c>
      <c r="Q271" s="2">
        <f t="shared" si="74"/>
        <v>-18708512</v>
      </c>
      <c r="R271" s="2">
        <f t="shared" ref="R271:R338" si="96">I271+O271</f>
        <v>237285040</v>
      </c>
      <c r="S271" s="46"/>
    </row>
    <row r="272" spans="1:19" s="4" customFormat="1" ht="25.5" x14ac:dyDescent="0.2">
      <c r="A272" s="15" t="s">
        <v>214</v>
      </c>
      <c r="B272" s="1"/>
      <c r="C272" s="1"/>
      <c r="D272" s="54" t="s">
        <v>361</v>
      </c>
      <c r="E272" s="2"/>
      <c r="F272" s="5">
        <f t="shared" si="78"/>
        <v>0</v>
      </c>
      <c r="G272" s="2"/>
      <c r="H272" s="2"/>
      <c r="I272" s="5">
        <f t="shared" si="65"/>
        <v>0</v>
      </c>
      <c r="J272" s="5">
        <v>0</v>
      </c>
      <c r="K272" s="5">
        <f t="shared" ref="K272:K289" si="97">M272+N272</f>
        <v>0</v>
      </c>
      <c r="L272" s="2"/>
      <c r="M272" s="2"/>
      <c r="N272" s="2"/>
      <c r="O272" s="2">
        <f t="shared" ref="O272:O289" si="98">J272+K272</f>
        <v>0</v>
      </c>
      <c r="P272" s="2">
        <f t="shared" si="73"/>
        <v>0</v>
      </c>
      <c r="Q272" s="2">
        <f t="shared" si="74"/>
        <v>0</v>
      </c>
      <c r="R272" s="2">
        <f t="shared" si="96"/>
        <v>0</v>
      </c>
    </row>
    <row r="273" spans="1:19" s="11" customFormat="1" ht="36" x14ac:dyDescent="0.2">
      <c r="A273" s="55" t="s">
        <v>215</v>
      </c>
      <c r="B273" s="56" t="s">
        <v>60</v>
      </c>
      <c r="C273" s="56" t="s">
        <v>21</v>
      </c>
      <c r="D273" s="16" t="s">
        <v>447</v>
      </c>
      <c r="E273" s="5">
        <v>3325000</v>
      </c>
      <c r="F273" s="5">
        <f t="shared" si="78"/>
        <v>0</v>
      </c>
      <c r="G273" s="5"/>
      <c r="H273" s="5"/>
      <c r="I273" s="5">
        <f t="shared" si="65"/>
        <v>3325000</v>
      </c>
      <c r="J273" s="5">
        <v>0</v>
      </c>
      <c r="K273" s="5">
        <f t="shared" si="97"/>
        <v>0</v>
      </c>
      <c r="L273" s="5"/>
      <c r="M273" s="5"/>
      <c r="N273" s="5"/>
      <c r="O273" s="5">
        <f t="shared" si="98"/>
        <v>0</v>
      </c>
      <c r="P273" s="2">
        <f t="shared" si="73"/>
        <v>3325000</v>
      </c>
      <c r="Q273" s="2">
        <f t="shared" si="74"/>
        <v>0</v>
      </c>
      <c r="R273" s="2">
        <f t="shared" si="96"/>
        <v>3325000</v>
      </c>
    </row>
    <row r="274" spans="1:19" s="11" customFormat="1" ht="14.25" customHeight="1" x14ac:dyDescent="0.2">
      <c r="A274" s="56" t="s">
        <v>220</v>
      </c>
      <c r="B274" s="56" t="s">
        <v>11</v>
      </c>
      <c r="C274" s="56" t="s">
        <v>13</v>
      </c>
      <c r="D274" s="16" t="s">
        <v>163</v>
      </c>
      <c r="E274" s="5">
        <v>4635680</v>
      </c>
      <c r="F274" s="5">
        <f t="shared" si="78"/>
        <v>0</v>
      </c>
      <c r="G274" s="5"/>
      <c r="H274" s="5"/>
      <c r="I274" s="5">
        <f t="shared" si="65"/>
        <v>4635680</v>
      </c>
      <c r="J274" s="5">
        <v>700000</v>
      </c>
      <c r="K274" s="5">
        <f t="shared" si="97"/>
        <v>0</v>
      </c>
      <c r="L274" s="5"/>
      <c r="M274" s="5"/>
      <c r="N274" s="5"/>
      <c r="O274" s="5">
        <f t="shared" si="98"/>
        <v>700000</v>
      </c>
      <c r="P274" s="2">
        <f t="shared" si="73"/>
        <v>5335680</v>
      </c>
      <c r="Q274" s="2">
        <f t="shared" si="74"/>
        <v>0</v>
      </c>
      <c r="R274" s="2">
        <f t="shared" si="96"/>
        <v>5335680</v>
      </c>
    </row>
    <row r="275" spans="1:19" s="11" customFormat="1" ht="12.75" customHeight="1" x14ac:dyDescent="0.2">
      <c r="A275" s="55" t="s">
        <v>449</v>
      </c>
      <c r="B275" s="56" t="s">
        <v>95</v>
      </c>
      <c r="C275" s="56" t="s">
        <v>23</v>
      </c>
      <c r="D275" s="16" t="s">
        <v>96</v>
      </c>
      <c r="E275" s="5">
        <v>72112294</v>
      </c>
      <c r="F275" s="5">
        <f t="shared" si="78"/>
        <v>-3314634</v>
      </c>
      <c r="G275" s="5">
        <v>-3314634</v>
      </c>
      <c r="H275" s="5"/>
      <c r="I275" s="5">
        <f t="shared" si="65"/>
        <v>68797660</v>
      </c>
      <c r="J275" s="5">
        <v>0</v>
      </c>
      <c r="K275" s="5">
        <f t="shared" si="97"/>
        <v>0</v>
      </c>
      <c r="L275" s="5"/>
      <c r="M275" s="5"/>
      <c r="N275" s="5"/>
      <c r="O275" s="5">
        <f t="shared" si="98"/>
        <v>0</v>
      </c>
      <c r="P275" s="2">
        <f t="shared" si="73"/>
        <v>72112294</v>
      </c>
      <c r="Q275" s="2">
        <f t="shared" si="74"/>
        <v>-3314634</v>
      </c>
      <c r="R275" s="2">
        <f t="shared" si="96"/>
        <v>68797660</v>
      </c>
    </row>
    <row r="276" spans="1:19" s="11" customFormat="1" ht="12" x14ac:dyDescent="0.2">
      <c r="A276" s="55"/>
      <c r="B276" s="56"/>
      <c r="C276" s="56"/>
      <c r="D276" s="16" t="s">
        <v>574</v>
      </c>
      <c r="E276" s="5">
        <v>0</v>
      </c>
      <c r="F276" s="5"/>
      <c r="G276" s="5"/>
      <c r="H276" s="5"/>
      <c r="I276" s="5">
        <f t="shared" si="65"/>
        <v>0</v>
      </c>
      <c r="J276" s="5"/>
      <c r="K276" s="5"/>
      <c r="L276" s="5"/>
      <c r="M276" s="5"/>
      <c r="N276" s="5"/>
      <c r="O276" s="5"/>
      <c r="P276" s="2">
        <f t="shared" si="73"/>
        <v>0</v>
      </c>
      <c r="Q276" s="2">
        <f t="shared" si="74"/>
        <v>0</v>
      </c>
      <c r="R276" s="2">
        <f t="shared" si="96"/>
        <v>0</v>
      </c>
    </row>
    <row r="277" spans="1:19" s="11" customFormat="1" ht="36" x14ac:dyDescent="0.2">
      <c r="A277" s="55"/>
      <c r="B277" s="56"/>
      <c r="C277" s="56"/>
      <c r="D277" s="28" t="s">
        <v>623</v>
      </c>
      <c r="E277" s="64">
        <v>3605467</v>
      </c>
      <c r="F277" s="64">
        <f>G277</f>
        <v>0</v>
      </c>
      <c r="G277" s="64"/>
      <c r="H277" s="64"/>
      <c r="I277" s="64">
        <f t="shared" si="65"/>
        <v>3605467</v>
      </c>
      <c r="J277" s="5"/>
      <c r="K277" s="5"/>
      <c r="L277" s="5"/>
      <c r="M277" s="5"/>
      <c r="N277" s="5"/>
      <c r="O277" s="5"/>
      <c r="P277" s="2">
        <f t="shared" si="73"/>
        <v>3605467</v>
      </c>
      <c r="Q277" s="2">
        <f t="shared" si="74"/>
        <v>0</v>
      </c>
      <c r="R277" s="2">
        <f t="shared" si="96"/>
        <v>3605467</v>
      </c>
    </row>
    <row r="278" spans="1:19" s="11" customFormat="1" ht="24" x14ac:dyDescent="0.2">
      <c r="A278" s="56" t="s">
        <v>227</v>
      </c>
      <c r="B278" s="56" t="s">
        <v>226</v>
      </c>
      <c r="C278" s="56" t="s">
        <v>203</v>
      </c>
      <c r="D278" s="16" t="s">
        <v>483</v>
      </c>
      <c r="E278" s="5"/>
      <c r="F278" s="5">
        <f t="shared" si="78"/>
        <v>0</v>
      </c>
      <c r="G278" s="5"/>
      <c r="H278" s="5"/>
      <c r="I278" s="5">
        <f t="shared" si="65"/>
        <v>0</v>
      </c>
      <c r="J278" s="5">
        <v>124121840</v>
      </c>
      <c r="K278" s="5">
        <f t="shared" si="97"/>
        <v>-4774297</v>
      </c>
      <c r="L278" s="5">
        <f>-4774297</f>
        <v>-4774297</v>
      </c>
      <c r="M278" s="5"/>
      <c r="N278" s="5">
        <f>-4774297</f>
        <v>-4774297</v>
      </c>
      <c r="O278" s="5">
        <f t="shared" si="98"/>
        <v>119347543</v>
      </c>
      <c r="P278" s="2">
        <f t="shared" si="73"/>
        <v>124121840</v>
      </c>
      <c r="Q278" s="2">
        <f t="shared" si="74"/>
        <v>-4774297</v>
      </c>
      <c r="R278" s="2">
        <f t="shared" si="96"/>
        <v>119347543</v>
      </c>
    </row>
    <row r="279" spans="1:19" s="11" customFormat="1" ht="12" x14ac:dyDescent="0.2">
      <c r="A279" s="56"/>
      <c r="B279" s="56"/>
      <c r="C279" s="56"/>
      <c r="D279" s="16" t="s">
        <v>574</v>
      </c>
      <c r="E279" s="5"/>
      <c r="F279" s="5"/>
      <c r="G279" s="5"/>
      <c r="H279" s="5"/>
      <c r="I279" s="5"/>
      <c r="J279" s="5">
        <v>0</v>
      </c>
      <c r="K279" s="5">
        <f t="shared" si="97"/>
        <v>0</v>
      </c>
      <c r="L279" s="5"/>
      <c r="M279" s="5"/>
      <c r="N279" s="5"/>
      <c r="O279" s="5">
        <f t="shared" si="98"/>
        <v>0</v>
      </c>
      <c r="P279" s="2">
        <f t="shared" si="73"/>
        <v>0</v>
      </c>
      <c r="Q279" s="2">
        <f t="shared" si="74"/>
        <v>0</v>
      </c>
      <c r="R279" s="2">
        <f t="shared" si="96"/>
        <v>0</v>
      </c>
    </row>
    <row r="280" spans="1:19" s="11" customFormat="1" ht="48" x14ac:dyDescent="0.2">
      <c r="A280" s="56"/>
      <c r="B280" s="56"/>
      <c r="C280" s="56"/>
      <c r="D280" s="28" t="s">
        <v>583</v>
      </c>
      <c r="E280" s="5"/>
      <c r="F280" s="5"/>
      <c r="G280" s="5"/>
      <c r="H280" s="5"/>
      <c r="I280" s="5"/>
      <c r="J280" s="5">
        <v>4800000</v>
      </c>
      <c r="K280" s="5">
        <f>M280+N280</f>
        <v>849000</v>
      </c>
      <c r="L280" s="5">
        <f>849000</f>
        <v>849000</v>
      </c>
      <c r="M280" s="5"/>
      <c r="N280" s="5">
        <f>849000</f>
        <v>849000</v>
      </c>
      <c r="O280" s="5">
        <f t="shared" si="98"/>
        <v>5649000</v>
      </c>
      <c r="P280" s="2">
        <f t="shared" si="73"/>
        <v>4800000</v>
      </c>
      <c r="Q280" s="2">
        <f t="shared" si="74"/>
        <v>849000</v>
      </c>
      <c r="R280" s="2">
        <f t="shared" si="96"/>
        <v>5649000</v>
      </c>
      <c r="S280" s="10"/>
    </row>
    <row r="281" spans="1:19" s="11" customFormat="1" ht="12" x14ac:dyDescent="0.2">
      <c r="A281" s="56" t="s">
        <v>510</v>
      </c>
      <c r="B281" s="56" t="s">
        <v>498</v>
      </c>
      <c r="C281" s="56" t="s">
        <v>203</v>
      </c>
      <c r="D281" s="16" t="s">
        <v>499</v>
      </c>
      <c r="E281" s="5"/>
      <c r="F281" s="5">
        <f t="shared" si="78"/>
        <v>0</v>
      </c>
      <c r="G281" s="5"/>
      <c r="H281" s="5"/>
      <c r="I281" s="5">
        <f t="shared" si="65"/>
        <v>0</v>
      </c>
      <c r="J281" s="5">
        <v>7421000</v>
      </c>
      <c r="K281" s="5">
        <f t="shared" si="97"/>
        <v>1252000</v>
      </c>
      <c r="L281" s="5">
        <f>1252000</f>
        <v>1252000</v>
      </c>
      <c r="M281" s="5"/>
      <c r="N281" s="5">
        <f>1252000</f>
        <v>1252000</v>
      </c>
      <c r="O281" s="5">
        <f t="shared" ref="O281:O282" si="99">K281+J281</f>
        <v>8673000</v>
      </c>
      <c r="P281" s="2">
        <f t="shared" si="73"/>
        <v>7421000</v>
      </c>
      <c r="Q281" s="2">
        <f t="shared" si="74"/>
        <v>1252000</v>
      </c>
      <c r="R281" s="2">
        <f t="shared" si="96"/>
        <v>8673000</v>
      </c>
    </row>
    <row r="282" spans="1:19" s="11" customFormat="1" ht="12" x14ac:dyDescent="0.2">
      <c r="A282" s="56" t="s">
        <v>511</v>
      </c>
      <c r="B282" s="56" t="s">
        <v>504</v>
      </c>
      <c r="C282" s="56" t="s">
        <v>203</v>
      </c>
      <c r="D282" s="16" t="s">
        <v>505</v>
      </c>
      <c r="E282" s="5"/>
      <c r="F282" s="5">
        <f t="shared" si="78"/>
        <v>0</v>
      </c>
      <c r="G282" s="5"/>
      <c r="H282" s="5"/>
      <c r="I282" s="5"/>
      <c r="J282" s="5">
        <v>9857</v>
      </c>
      <c r="K282" s="5">
        <f t="shared" si="97"/>
        <v>0</v>
      </c>
      <c r="L282" s="5"/>
      <c r="M282" s="5"/>
      <c r="N282" s="5"/>
      <c r="O282" s="5">
        <f t="shared" si="99"/>
        <v>9857</v>
      </c>
      <c r="P282" s="2">
        <f t="shared" si="73"/>
        <v>9857</v>
      </c>
      <c r="Q282" s="2">
        <f t="shared" si="74"/>
        <v>0</v>
      </c>
      <c r="R282" s="2">
        <f t="shared" si="96"/>
        <v>9857</v>
      </c>
    </row>
    <row r="283" spans="1:19" s="11" customFormat="1" ht="12" x14ac:dyDescent="0.2">
      <c r="A283" s="56" t="s">
        <v>228</v>
      </c>
      <c r="B283" s="56" t="s">
        <v>229</v>
      </c>
      <c r="C283" s="56" t="s">
        <v>203</v>
      </c>
      <c r="D283" s="16" t="s">
        <v>484</v>
      </c>
      <c r="E283" s="5"/>
      <c r="F283" s="5">
        <f t="shared" si="78"/>
        <v>0</v>
      </c>
      <c r="G283" s="5"/>
      <c r="H283" s="5"/>
      <c r="I283" s="5">
        <f t="shared" si="65"/>
        <v>0</v>
      </c>
      <c r="J283" s="5">
        <v>42230348</v>
      </c>
      <c r="K283" s="5">
        <f t="shared" si="97"/>
        <v>-19984381</v>
      </c>
      <c r="L283" s="5">
        <f>-19984380-1</f>
        <v>-19984381</v>
      </c>
      <c r="M283" s="5"/>
      <c r="N283" s="5">
        <f>-19984380-1</f>
        <v>-19984381</v>
      </c>
      <c r="O283" s="5">
        <f t="shared" si="98"/>
        <v>22245967</v>
      </c>
      <c r="P283" s="2">
        <f t="shared" ref="P283:P350" si="100">E283+J283</f>
        <v>42230348</v>
      </c>
      <c r="Q283" s="2">
        <f t="shared" ref="Q283:Q350" si="101">F283+K283</f>
        <v>-19984381</v>
      </c>
      <c r="R283" s="2">
        <f t="shared" si="96"/>
        <v>22245967</v>
      </c>
    </row>
    <row r="284" spans="1:19" s="11" customFormat="1" ht="24" x14ac:dyDescent="0.2">
      <c r="A284" s="56" t="s">
        <v>512</v>
      </c>
      <c r="B284" s="56" t="s">
        <v>513</v>
      </c>
      <c r="C284" s="56" t="s">
        <v>203</v>
      </c>
      <c r="D284" s="16" t="s">
        <v>514</v>
      </c>
      <c r="E284" s="5"/>
      <c r="F284" s="5">
        <f t="shared" si="78"/>
        <v>0</v>
      </c>
      <c r="G284" s="5"/>
      <c r="H284" s="5"/>
      <c r="I284" s="5"/>
      <c r="J284" s="5">
        <v>1015733</v>
      </c>
      <c r="K284" s="5">
        <f t="shared" si="97"/>
        <v>0</v>
      </c>
      <c r="L284" s="5"/>
      <c r="M284" s="5"/>
      <c r="N284" s="5"/>
      <c r="O284" s="5">
        <f t="shared" ref="O284" si="102">K284+J284</f>
        <v>1015733</v>
      </c>
      <c r="P284" s="2">
        <f t="shared" si="100"/>
        <v>1015733</v>
      </c>
      <c r="Q284" s="2">
        <f t="shared" si="101"/>
        <v>0</v>
      </c>
      <c r="R284" s="2">
        <f t="shared" si="96"/>
        <v>1015733</v>
      </c>
    </row>
    <row r="285" spans="1:19" s="11" customFormat="1" ht="24" x14ac:dyDescent="0.2">
      <c r="A285" s="56" t="s">
        <v>301</v>
      </c>
      <c r="B285" s="56" t="s">
        <v>270</v>
      </c>
      <c r="C285" s="56" t="s">
        <v>24</v>
      </c>
      <c r="D285" s="16" t="s">
        <v>98</v>
      </c>
      <c r="E285" s="5"/>
      <c r="F285" s="5">
        <f t="shared" si="78"/>
        <v>0</v>
      </c>
      <c r="G285" s="5"/>
      <c r="H285" s="5"/>
      <c r="I285" s="5">
        <f t="shared" si="65"/>
        <v>0</v>
      </c>
      <c r="J285" s="5">
        <v>421800</v>
      </c>
      <c r="K285" s="5">
        <f t="shared" si="97"/>
        <v>4612800</v>
      </c>
      <c r="L285" s="5">
        <f>-221800+5900000-1065400</f>
        <v>4612800</v>
      </c>
      <c r="M285" s="5"/>
      <c r="N285" s="5">
        <f>-221800+5900000-1065400</f>
        <v>4612800</v>
      </c>
      <c r="O285" s="5">
        <f t="shared" si="98"/>
        <v>5034600</v>
      </c>
      <c r="P285" s="2">
        <f t="shared" si="100"/>
        <v>421800</v>
      </c>
      <c r="Q285" s="2">
        <f t="shared" si="101"/>
        <v>4612800</v>
      </c>
      <c r="R285" s="2">
        <f t="shared" si="96"/>
        <v>5034600</v>
      </c>
    </row>
    <row r="286" spans="1:19" s="11" customFormat="1" ht="12" x14ac:dyDescent="0.2">
      <c r="A286" s="56"/>
      <c r="B286" s="56"/>
      <c r="C286" s="56"/>
      <c r="D286" s="16" t="s">
        <v>574</v>
      </c>
      <c r="E286" s="5"/>
      <c r="F286" s="5"/>
      <c r="G286" s="5"/>
      <c r="H286" s="5"/>
      <c r="I286" s="5"/>
      <c r="J286" s="5">
        <v>0</v>
      </c>
      <c r="K286" s="5">
        <f t="shared" si="97"/>
        <v>0</v>
      </c>
      <c r="L286" s="5"/>
      <c r="M286" s="5"/>
      <c r="N286" s="5"/>
      <c r="O286" s="5">
        <f t="shared" si="98"/>
        <v>0</v>
      </c>
      <c r="P286" s="2">
        <f t="shared" si="100"/>
        <v>0</v>
      </c>
      <c r="Q286" s="2">
        <f t="shared" si="101"/>
        <v>0</v>
      </c>
      <c r="R286" s="2">
        <f t="shared" si="96"/>
        <v>0</v>
      </c>
    </row>
    <row r="287" spans="1:19" s="11" customFormat="1" ht="60" x14ac:dyDescent="0.2">
      <c r="A287" s="56"/>
      <c r="B287" s="56"/>
      <c r="C287" s="56"/>
      <c r="D287" s="28" t="s">
        <v>642</v>
      </c>
      <c r="E287" s="5"/>
      <c r="F287" s="5"/>
      <c r="G287" s="5"/>
      <c r="H287" s="5"/>
      <c r="I287" s="5"/>
      <c r="J287" s="5">
        <v>50000</v>
      </c>
      <c r="K287" s="5">
        <f t="shared" ref="K287" si="103">M287+N287</f>
        <v>0</v>
      </c>
      <c r="L287" s="5"/>
      <c r="M287" s="5"/>
      <c r="N287" s="5"/>
      <c r="O287" s="5">
        <f t="shared" ref="O287" si="104">J287+K287</f>
        <v>50000</v>
      </c>
      <c r="P287" s="2"/>
      <c r="Q287" s="2">
        <f t="shared" ref="Q287" si="105">F287+K287</f>
        <v>0</v>
      </c>
      <c r="R287" s="2">
        <f t="shared" ref="R287" si="106">I287+O287</f>
        <v>50000</v>
      </c>
    </row>
    <row r="288" spans="1:19" s="11" customFormat="1" ht="84" x14ac:dyDescent="0.2">
      <c r="A288" s="56"/>
      <c r="B288" s="56"/>
      <c r="C288" s="56"/>
      <c r="D288" s="28" t="s">
        <v>641</v>
      </c>
      <c r="E288" s="5"/>
      <c r="F288" s="5"/>
      <c r="G288" s="5"/>
      <c r="H288" s="5"/>
      <c r="I288" s="5"/>
      <c r="J288" s="5">
        <v>150000</v>
      </c>
      <c r="K288" s="5">
        <f t="shared" si="97"/>
        <v>0</v>
      </c>
      <c r="L288" s="5"/>
      <c r="M288" s="5"/>
      <c r="N288" s="5"/>
      <c r="O288" s="5">
        <f t="shared" si="98"/>
        <v>150000</v>
      </c>
      <c r="P288" s="2">
        <f t="shared" si="100"/>
        <v>150000</v>
      </c>
      <c r="Q288" s="2">
        <f t="shared" si="101"/>
        <v>0</v>
      </c>
      <c r="R288" s="2">
        <f t="shared" si="96"/>
        <v>150000</v>
      </c>
    </row>
    <row r="289" spans="1:18" s="11" customFormat="1" ht="24" x14ac:dyDescent="0.2">
      <c r="A289" s="55" t="s">
        <v>652</v>
      </c>
      <c r="B289" s="56" t="s">
        <v>97</v>
      </c>
      <c r="C289" s="56" t="s">
        <v>15</v>
      </c>
      <c r="D289" s="16" t="s">
        <v>6</v>
      </c>
      <c r="E289" s="5"/>
      <c r="F289" s="5">
        <f t="shared" ref="F289" si="107">G289+H289</f>
        <v>0</v>
      </c>
      <c r="G289" s="5"/>
      <c r="H289" s="5"/>
      <c r="I289" s="5">
        <f t="shared" ref="I289" si="108">E289+F289</f>
        <v>0</v>
      </c>
      <c r="J289" s="5"/>
      <c r="K289" s="5">
        <f t="shared" si="97"/>
        <v>3500000</v>
      </c>
      <c r="L289" s="5"/>
      <c r="M289" s="5"/>
      <c r="N289" s="5">
        <f>3500000</f>
        <v>3500000</v>
      </c>
      <c r="O289" s="5">
        <f t="shared" si="98"/>
        <v>3500000</v>
      </c>
      <c r="P289" s="2">
        <f t="shared" si="100"/>
        <v>0</v>
      </c>
      <c r="Q289" s="2">
        <f t="shared" si="101"/>
        <v>3500000</v>
      </c>
      <c r="R289" s="2">
        <f t="shared" si="96"/>
        <v>3500000</v>
      </c>
    </row>
    <row r="290" spans="1:18" s="4" customFormat="1" ht="25.5" x14ac:dyDescent="0.2">
      <c r="A290" s="15" t="s">
        <v>204</v>
      </c>
      <c r="B290" s="1"/>
      <c r="C290" s="1"/>
      <c r="D290" s="54" t="s">
        <v>350</v>
      </c>
      <c r="E290" s="2">
        <f>E292+E299+E293+E304</f>
        <v>24570000</v>
      </c>
      <c r="F290" s="5">
        <f t="shared" si="78"/>
        <v>120000</v>
      </c>
      <c r="G290" s="2">
        <f t="shared" ref="G290:H290" si="109">G292+G299+G293</f>
        <v>120000</v>
      </c>
      <c r="H290" s="2">
        <f t="shared" si="109"/>
        <v>0</v>
      </c>
      <c r="I290" s="5">
        <f t="shared" si="65"/>
        <v>24690000</v>
      </c>
      <c r="J290" s="2">
        <f>J292+J299+J293+J304+J297+J301+J298</f>
        <v>1601185</v>
      </c>
      <c r="K290" s="2">
        <f t="shared" ref="K290:O290" si="110">K292+K299+K293+K304+K297+K301+K298</f>
        <v>586252</v>
      </c>
      <c r="L290" s="2">
        <f t="shared" si="110"/>
        <v>1236252</v>
      </c>
      <c r="M290" s="2">
        <f t="shared" si="110"/>
        <v>-650000</v>
      </c>
      <c r="N290" s="2">
        <f t="shared" si="110"/>
        <v>1236252</v>
      </c>
      <c r="O290" s="2">
        <f t="shared" si="110"/>
        <v>2187437</v>
      </c>
      <c r="P290" s="2">
        <f t="shared" si="100"/>
        <v>26171185</v>
      </c>
      <c r="Q290" s="2">
        <f t="shared" si="101"/>
        <v>706252</v>
      </c>
      <c r="R290" s="2">
        <f t="shared" si="96"/>
        <v>26877437</v>
      </c>
    </row>
    <row r="291" spans="1:18" s="4" customFormat="1" ht="25.5" x14ac:dyDescent="0.2">
      <c r="A291" s="15" t="s">
        <v>205</v>
      </c>
      <c r="B291" s="1"/>
      <c r="C291" s="1"/>
      <c r="D291" s="54" t="s">
        <v>350</v>
      </c>
      <c r="E291" s="2"/>
      <c r="F291" s="12">
        <f t="shared" si="78"/>
        <v>0</v>
      </c>
      <c r="G291" s="2"/>
      <c r="H291" s="2"/>
      <c r="I291" s="5">
        <f t="shared" si="65"/>
        <v>0</v>
      </c>
      <c r="J291" s="5">
        <v>0</v>
      </c>
      <c r="K291" s="5">
        <f t="shared" ref="K291:K307" si="111">M291+N291</f>
        <v>0</v>
      </c>
      <c r="L291" s="2"/>
      <c r="M291" s="2"/>
      <c r="N291" s="2"/>
      <c r="O291" s="2">
        <f t="shared" ref="O291:O307" si="112">J291+K291</f>
        <v>0</v>
      </c>
      <c r="P291" s="2">
        <f t="shared" si="100"/>
        <v>0</v>
      </c>
      <c r="Q291" s="2">
        <f t="shared" si="101"/>
        <v>0</v>
      </c>
      <c r="R291" s="2">
        <f t="shared" si="96"/>
        <v>0</v>
      </c>
    </row>
    <row r="292" spans="1:18" s="11" customFormat="1" ht="36" x14ac:dyDescent="0.2">
      <c r="A292" s="55" t="s">
        <v>206</v>
      </c>
      <c r="B292" s="56" t="s">
        <v>60</v>
      </c>
      <c r="C292" s="56" t="s">
        <v>21</v>
      </c>
      <c r="D292" s="16" t="s">
        <v>447</v>
      </c>
      <c r="E292" s="5">
        <v>9670000</v>
      </c>
      <c r="F292" s="12">
        <f t="shared" si="78"/>
        <v>-858400</v>
      </c>
      <c r="G292" s="5">
        <v>-858400</v>
      </c>
      <c r="H292" s="5"/>
      <c r="I292" s="5">
        <f t="shared" si="65"/>
        <v>8811600</v>
      </c>
      <c r="J292" s="5">
        <v>0</v>
      </c>
      <c r="K292" s="5">
        <f t="shared" si="111"/>
        <v>0</v>
      </c>
      <c r="L292" s="5"/>
      <c r="M292" s="5"/>
      <c r="N292" s="5"/>
      <c r="O292" s="5">
        <f t="shared" si="112"/>
        <v>0</v>
      </c>
      <c r="P292" s="2">
        <f t="shared" si="100"/>
        <v>9670000</v>
      </c>
      <c r="Q292" s="2">
        <f t="shared" si="101"/>
        <v>-858400</v>
      </c>
      <c r="R292" s="2">
        <f t="shared" si="96"/>
        <v>8811600</v>
      </c>
    </row>
    <row r="293" spans="1:18" s="11" customFormat="1" ht="12.75" x14ac:dyDescent="0.2">
      <c r="A293" s="55" t="s">
        <v>291</v>
      </c>
      <c r="B293" s="56" t="s">
        <v>11</v>
      </c>
      <c r="C293" s="56" t="s">
        <v>13</v>
      </c>
      <c r="D293" s="16" t="s">
        <v>163</v>
      </c>
      <c r="E293" s="5">
        <f>E295+E296</f>
        <v>10900000</v>
      </c>
      <c r="F293" s="12">
        <f t="shared" si="78"/>
        <v>1350000</v>
      </c>
      <c r="G293" s="5">
        <f>G295+G296</f>
        <v>1350000</v>
      </c>
      <c r="H293" s="5"/>
      <c r="I293" s="5">
        <f t="shared" si="65"/>
        <v>12250000</v>
      </c>
      <c r="J293" s="5">
        <v>0</v>
      </c>
      <c r="K293" s="5">
        <f t="shared" si="111"/>
        <v>0</v>
      </c>
      <c r="L293" s="5"/>
      <c r="M293" s="5"/>
      <c r="N293" s="5"/>
      <c r="O293" s="5">
        <f t="shared" si="112"/>
        <v>0</v>
      </c>
      <c r="P293" s="2">
        <f t="shared" si="100"/>
        <v>10900000</v>
      </c>
      <c r="Q293" s="2">
        <f t="shared" si="101"/>
        <v>1350000</v>
      </c>
      <c r="R293" s="2">
        <f t="shared" si="96"/>
        <v>12250000</v>
      </c>
    </row>
    <row r="294" spans="1:18" s="11" customFormat="1" ht="12.75" x14ac:dyDescent="0.2">
      <c r="A294" s="55"/>
      <c r="B294" s="56"/>
      <c r="C294" s="56"/>
      <c r="D294" s="16" t="s">
        <v>315</v>
      </c>
      <c r="E294" s="5"/>
      <c r="F294" s="12">
        <f t="shared" si="78"/>
        <v>0</v>
      </c>
      <c r="G294" s="5"/>
      <c r="H294" s="5"/>
      <c r="I294" s="5">
        <f t="shared" si="65"/>
        <v>0</v>
      </c>
      <c r="J294" s="5">
        <v>0</v>
      </c>
      <c r="K294" s="5">
        <f t="shared" si="111"/>
        <v>0</v>
      </c>
      <c r="L294" s="5"/>
      <c r="M294" s="5"/>
      <c r="N294" s="5"/>
      <c r="O294" s="5">
        <f t="shared" si="112"/>
        <v>0</v>
      </c>
      <c r="P294" s="2">
        <f t="shared" si="100"/>
        <v>0</v>
      </c>
      <c r="Q294" s="2">
        <f t="shared" si="101"/>
        <v>0</v>
      </c>
      <c r="R294" s="2">
        <f t="shared" si="96"/>
        <v>0</v>
      </c>
    </row>
    <row r="295" spans="1:18" s="11" customFormat="1" ht="24" x14ac:dyDescent="0.2">
      <c r="A295" s="55"/>
      <c r="B295" s="56"/>
      <c r="C295" s="56"/>
      <c r="D295" s="16" t="s">
        <v>316</v>
      </c>
      <c r="E295" s="5">
        <v>5900000</v>
      </c>
      <c r="F295" s="12">
        <f t="shared" si="78"/>
        <v>1000000</v>
      </c>
      <c r="G295" s="5">
        <v>1000000</v>
      </c>
      <c r="H295" s="5"/>
      <c r="I295" s="5">
        <f t="shared" si="65"/>
        <v>6900000</v>
      </c>
      <c r="J295" s="5">
        <v>0</v>
      </c>
      <c r="K295" s="5">
        <f t="shared" si="111"/>
        <v>0</v>
      </c>
      <c r="L295" s="5"/>
      <c r="M295" s="5"/>
      <c r="N295" s="5"/>
      <c r="O295" s="5">
        <f t="shared" si="112"/>
        <v>0</v>
      </c>
      <c r="P295" s="2">
        <f t="shared" si="100"/>
        <v>5900000</v>
      </c>
      <c r="Q295" s="2">
        <f t="shared" si="101"/>
        <v>1000000</v>
      </c>
      <c r="R295" s="2">
        <f t="shared" si="96"/>
        <v>6900000</v>
      </c>
    </row>
    <row r="296" spans="1:18" s="11" customFormat="1" ht="24" x14ac:dyDescent="0.2">
      <c r="A296" s="55"/>
      <c r="B296" s="56"/>
      <c r="C296" s="56"/>
      <c r="D296" s="29" t="s">
        <v>472</v>
      </c>
      <c r="E296" s="5">
        <v>5000000</v>
      </c>
      <c r="F296" s="12">
        <f t="shared" si="78"/>
        <v>350000</v>
      </c>
      <c r="G296" s="5">
        <v>350000</v>
      </c>
      <c r="H296" s="5"/>
      <c r="I296" s="5">
        <f t="shared" si="65"/>
        <v>5350000</v>
      </c>
      <c r="J296" s="5">
        <v>0</v>
      </c>
      <c r="K296" s="5">
        <f t="shared" si="111"/>
        <v>0</v>
      </c>
      <c r="L296" s="5"/>
      <c r="M296" s="5"/>
      <c r="N296" s="5"/>
      <c r="O296" s="5">
        <f t="shared" si="112"/>
        <v>0</v>
      </c>
      <c r="P296" s="2">
        <f t="shared" si="100"/>
        <v>5000000</v>
      </c>
      <c r="Q296" s="2">
        <f t="shared" si="101"/>
        <v>350000</v>
      </c>
      <c r="R296" s="2">
        <f t="shared" si="96"/>
        <v>5350000</v>
      </c>
    </row>
    <row r="297" spans="1:18" s="11" customFormat="1" ht="12.75" x14ac:dyDescent="0.2">
      <c r="A297" s="55" t="s">
        <v>515</v>
      </c>
      <c r="B297" s="56" t="s">
        <v>229</v>
      </c>
      <c r="C297" s="56" t="s">
        <v>203</v>
      </c>
      <c r="D297" s="16" t="s">
        <v>490</v>
      </c>
      <c r="E297" s="5"/>
      <c r="F297" s="12">
        <f t="shared" si="78"/>
        <v>0</v>
      </c>
      <c r="G297" s="5"/>
      <c r="H297" s="5"/>
      <c r="I297" s="5"/>
      <c r="J297" s="5">
        <v>21385</v>
      </c>
      <c r="K297" s="5">
        <f t="shared" si="111"/>
        <v>0</v>
      </c>
      <c r="L297" s="5"/>
      <c r="M297" s="5"/>
      <c r="N297" s="5"/>
      <c r="O297" s="5">
        <f t="shared" ref="O297" si="113">K297+J297</f>
        <v>21385</v>
      </c>
      <c r="P297" s="2">
        <f t="shared" si="100"/>
        <v>21385</v>
      </c>
      <c r="Q297" s="2">
        <f t="shared" si="101"/>
        <v>0</v>
      </c>
      <c r="R297" s="2">
        <f t="shared" si="96"/>
        <v>21385</v>
      </c>
    </row>
    <row r="298" spans="1:18" s="11" customFormat="1" ht="24.6" customHeight="1" x14ac:dyDescent="0.2">
      <c r="A298" s="55" t="s">
        <v>653</v>
      </c>
      <c r="B298" s="56" t="s">
        <v>513</v>
      </c>
      <c r="C298" s="56" t="s">
        <v>203</v>
      </c>
      <c r="D298" s="16" t="s">
        <v>514</v>
      </c>
      <c r="E298" s="5"/>
      <c r="F298" s="12"/>
      <c r="G298" s="5"/>
      <c r="H298" s="5"/>
      <c r="I298" s="5"/>
      <c r="J298" s="5"/>
      <c r="K298" s="5">
        <f t="shared" si="111"/>
        <v>1019552</v>
      </c>
      <c r="L298" s="5">
        <f>1019552</f>
        <v>1019552</v>
      </c>
      <c r="M298" s="5"/>
      <c r="N298" s="5">
        <f>1019552</f>
        <v>1019552</v>
      </c>
      <c r="O298" s="5">
        <f t="shared" ref="O298" si="114">K298+J298</f>
        <v>1019552</v>
      </c>
      <c r="P298" s="2">
        <f t="shared" ref="P298" si="115">E298+J298</f>
        <v>0</v>
      </c>
      <c r="Q298" s="2">
        <f t="shared" ref="Q298" si="116">F298+K298</f>
        <v>1019552</v>
      </c>
      <c r="R298" s="2">
        <f t="shared" ref="R298" si="117">I298+O298</f>
        <v>1019552</v>
      </c>
    </row>
    <row r="299" spans="1:18" s="11" customFormat="1" ht="24" x14ac:dyDescent="0.2">
      <c r="A299" s="68" t="s">
        <v>207</v>
      </c>
      <c r="B299" s="69" t="s">
        <v>202</v>
      </c>
      <c r="C299" s="69" t="s">
        <v>203</v>
      </c>
      <c r="D299" s="16" t="s">
        <v>445</v>
      </c>
      <c r="E299" s="5">
        <v>4000000</v>
      </c>
      <c r="F299" s="12">
        <f t="shared" si="78"/>
        <v>-371600</v>
      </c>
      <c r="G299" s="5">
        <f>G300</f>
        <v>-371600</v>
      </c>
      <c r="H299" s="5"/>
      <c r="I299" s="5">
        <f t="shared" si="65"/>
        <v>3628400</v>
      </c>
      <c r="J299" s="5">
        <v>0</v>
      </c>
      <c r="K299" s="5">
        <f t="shared" si="111"/>
        <v>0</v>
      </c>
      <c r="L299" s="5"/>
      <c r="M299" s="5"/>
      <c r="N299" s="5"/>
      <c r="O299" s="5">
        <f t="shared" si="112"/>
        <v>0</v>
      </c>
      <c r="P299" s="2">
        <f t="shared" si="100"/>
        <v>4000000</v>
      </c>
      <c r="Q299" s="2">
        <f t="shared" si="101"/>
        <v>-371600</v>
      </c>
      <c r="R299" s="2">
        <f t="shared" si="96"/>
        <v>3628400</v>
      </c>
    </row>
    <row r="300" spans="1:18" s="11" customFormat="1" ht="12.75" x14ac:dyDescent="0.2">
      <c r="A300" s="68"/>
      <c r="B300" s="69"/>
      <c r="C300" s="69"/>
      <c r="D300" s="28" t="s">
        <v>446</v>
      </c>
      <c r="E300" s="5">
        <v>4000000</v>
      </c>
      <c r="F300" s="12">
        <f t="shared" si="78"/>
        <v>-371600</v>
      </c>
      <c r="G300" s="5">
        <v>-371600</v>
      </c>
      <c r="H300" s="5"/>
      <c r="I300" s="5">
        <f t="shared" si="65"/>
        <v>3628400</v>
      </c>
      <c r="J300" s="5">
        <v>0</v>
      </c>
      <c r="K300" s="5">
        <f t="shared" si="111"/>
        <v>0</v>
      </c>
      <c r="L300" s="5"/>
      <c r="M300" s="5"/>
      <c r="N300" s="5"/>
      <c r="O300" s="5">
        <f t="shared" si="112"/>
        <v>0</v>
      </c>
      <c r="P300" s="2">
        <f t="shared" si="100"/>
        <v>4000000</v>
      </c>
      <c r="Q300" s="2">
        <f t="shared" si="101"/>
        <v>-371600</v>
      </c>
      <c r="R300" s="2">
        <f t="shared" si="96"/>
        <v>3628400</v>
      </c>
    </row>
    <row r="301" spans="1:18" s="11" customFormat="1" ht="24" x14ac:dyDescent="0.2">
      <c r="A301" s="55" t="s">
        <v>595</v>
      </c>
      <c r="B301" s="56" t="s">
        <v>78</v>
      </c>
      <c r="C301" s="56" t="s">
        <v>24</v>
      </c>
      <c r="D301" s="16" t="s">
        <v>52</v>
      </c>
      <c r="E301" s="5"/>
      <c r="F301" s="12">
        <f t="shared" ref="F301" si="118">G301+H301</f>
        <v>0</v>
      </c>
      <c r="G301" s="5"/>
      <c r="H301" s="5"/>
      <c r="I301" s="5">
        <f t="shared" ref="I301" si="119">E301+F301</f>
        <v>0</v>
      </c>
      <c r="J301" s="5">
        <v>579800</v>
      </c>
      <c r="K301" s="5">
        <f t="shared" si="111"/>
        <v>216700</v>
      </c>
      <c r="L301" s="5">
        <f>SUM(L303)</f>
        <v>216700</v>
      </c>
      <c r="M301" s="5">
        <f t="shared" ref="M301:N301" si="120">SUM(M303)</f>
        <v>0</v>
      </c>
      <c r="N301" s="5">
        <f t="shared" si="120"/>
        <v>216700</v>
      </c>
      <c r="O301" s="5">
        <f t="shared" si="112"/>
        <v>796500</v>
      </c>
      <c r="P301" s="2">
        <f t="shared" si="100"/>
        <v>579800</v>
      </c>
      <c r="Q301" s="2">
        <f t="shared" si="101"/>
        <v>216700</v>
      </c>
      <c r="R301" s="2">
        <f t="shared" si="96"/>
        <v>796500</v>
      </c>
    </row>
    <row r="302" spans="1:18" s="11" customFormat="1" ht="12.75" x14ac:dyDescent="0.2">
      <c r="A302" s="55"/>
      <c r="B302" s="56"/>
      <c r="C302" s="56"/>
      <c r="D302" s="16" t="s">
        <v>574</v>
      </c>
      <c r="E302" s="5"/>
      <c r="F302" s="12"/>
      <c r="G302" s="5"/>
      <c r="H302" s="5"/>
      <c r="I302" s="5"/>
      <c r="J302" s="5">
        <v>0</v>
      </c>
      <c r="K302" s="5">
        <f t="shared" si="111"/>
        <v>0</v>
      </c>
      <c r="L302" s="5"/>
      <c r="M302" s="5"/>
      <c r="N302" s="5"/>
      <c r="O302" s="5">
        <f t="shared" ref="O302:O303" si="121">J302+K302</f>
        <v>0</v>
      </c>
      <c r="P302" s="2">
        <f t="shared" si="100"/>
        <v>0</v>
      </c>
      <c r="Q302" s="2">
        <f t="shared" si="101"/>
        <v>0</v>
      </c>
      <c r="R302" s="2">
        <f t="shared" si="96"/>
        <v>0</v>
      </c>
    </row>
    <row r="303" spans="1:18" s="11" customFormat="1" ht="12.75" x14ac:dyDescent="0.2">
      <c r="A303" s="55"/>
      <c r="B303" s="56"/>
      <c r="C303" s="56"/>
      <c r="D303" s="16" t="s">
        <v>664</v>
      </c>
      <c r="E303" s="5"/>
      <c r="F303" s="12"/>
      <c r="G303" s="5"/>
      <c r="H303" s="5"/>
      <c r="I303" s="5"/>
      <c r="J303" s="5">
        <v>579800</v>
      </c>
      <c r="K303" s="5">
        <f>M303+N303</f>
        <v>216700</v>
      </c>
      <c r="L303" s="5">
        <f>216700</f>
        <v>216700</v>
      </c>
      <c r="M303" s="5"/>
      <c r="N303" s="5">
        <f>216700</f>
        <v>216700</v>
      </c>
      <c r="O303" s="5">
        <f t="shared" si="121"/>
        <v>796500</v>
      </c>
      <c r="P303" s="2">
        <f t="shared" si="100"/>
        <v>579800</v>
      </c>
      <c r="Q303" s="2">
        <f t="shared" si="101"/>
        <v>216700</v>
      </c>
      <c r="R303" s="2">
        <f t="shared" si="96"/>
        <v>796500</v>
      </c>
    </row>
    <row r="304" spans="1:18" s="11" customFormat="1" ht="94.5" customHeight="1" x14ac:dyDescent="0.2">
      <c r="A304" s="55" t="s">
        <v>477</v>
      </c>
      <c r="B304" s="56" t="s">
        <v>259</v>
      </c>
      <c r="C304" s="56" t="s">
        <v>24</v>
      </c>
      <c r="D304" s="16" t="s">
        <v>260</v>
      </c>
      <c r="E304" s="5"/>
      <c r="F304" s="12">
        <f t="shared" si="78"/>
        <v>0</v>
      </c>
      <c r="G304" s="5"/>
      <c r="H304" s="5"/>
      <c r="I304" s="5">
        <f t="shared" si="65"/>
        <v>0</v>
      </c>
      <c r="J304" s="5">
        <v>1000000</v>
      </c>
      <c r="K304" s="5">
        <f t="shared" si="111"/>
        <v>-650000</v>
      </c>
      <c r="L304" s="5"/>
      <c r="M304" s="5">
        <f>-650000</f>
        <v>-650000</v>
      </c>
      <c r="N304" s="5"/>
      <c r="O304" s="5">
        <f t="shared" si="112"/>
        <v>350000</v>
      </c>
      <c r="P304" s="2">
        <f t="shared" si="100"/>
        <v>1000000</v>
      </c>
      <c r="Q304" s="2">
        <f t="shared" si="101"/>
        <v>-650000</v>
      </c>
      <c r="R304" s="2">
        <f t="shared" si="96"/>
        <v>350000</v>
      </c>
    </row>
    <row r="305" spans="1:19" s="11" customFormat="1" ht="42.75" customHeight="1" x14ac:dyDescent="0.2">
      <c r="A305" s="15" t="s">
        <v>456</v>
      </c>
      <c r="B305" s="56"/>
      <c r="C305" s="56"/>
      <c r="D305" s="54" t="s">
        <v>459</v>
      </c>
      <c r="E305" s="2">
        <f t="shared" ref="E305" si="122">E307</f>
        <v>2975000</v>
      </c>
      <c r="F305" s="12">
        <f t="shared" si="78"/>
        <v>0</v>
      </c>
      <c r="G305" s="2">
        <f t="shared" ref="G305:H305" si="123">G307</f>
        <v>0</v>
      </c>
      <c r="H305" s="2">
        <f t="shared" si="123"/>
        <v>0</v>
      </c>
      <c r="I305" s="2">
        <f t="shared" si="65"/>
        <v>2975000</v>
      </c>
      <c r="J305" s="2">
        <f t="shared" ref="J305:O305" si="124">SUM(J306:J307)</f>
        <v>99606</v>
      </c>
      <c r="K305" s="2">
        <f t="shared" si="124"/>
        <v>0</v>
      </c>
      <c r="L305" s="2">
        <f t="shared" si="124"/>
        <v>0</v>
      </c>
      <c r="M305" s="2">
        <f t="shared" si="124"/>
        <v>0</v>
      </c>
      <c r="N305" s="2">
        <f t="shared" si="124"/>
        <v>0</v>
      </c>
      <c r="O305" s="2">
        <f t="shared" si="124"/>
        <v>99606</v>
      </c>
      <c r="P305" s="2">
        <f t="shared" si="100"/>
        <v>3074606</v>
      </c>
      <c r="Q305" s="2">
        <f t="shared" si="101"/>
        <v>0</v>
      </c>
      <c r="R305" s="2">
        <f t="shared" si="96"/>
        <v>3074606</v>
      </c>
      <c r="S305" s="10"/>
    </row>
    <row r="306" spans="1:19" s="11" customFormat="1" ht="39" customHeight="1" x14ac:dyDescent="0.2">
      <c r="A306" s="15" t="s">
        <v>457</v>
      </c>
      <c r="B306" s="56"/>
      <c r="C306" s="56"/>
      <c r="D306" s="54" t="s">
        <v>459</v>
      </c>
      <c r="E306" s="5"/>
      <c r="F306" s="12">
        <f t="shared" si="78"/>
        <v>0</v>
      </c>
      <c r="G306" s="5"/>
      <c r="H306" s="5"/>
      <c r="I306" s="5">
        <f t="shared" si="65"/>
        <v>0</v>
      </c>
      <c r="J306" s="5">
        <v>0</v>
      </c>
      <c r="K306" s="5">
        <f t="shared" si="111"/>
        <v>0</v>
      </c>
      <c r="L306" s="5"/>
      <c r="M306" s="5"/>
      <c r="N306" s="5"/>
      <c r="O306" s="5">
        <f t="shared" si="112"/>
        <v>0</v>
      </c>
      <c r="P306" s="2">
        <f t="shared" si="100"/>
        <v>0</v>
      </c>
      <c r="Q306" s="2">
        <f t="shared" si="101"/>
        <v>0</v>
      </c>
      <c r="R306" s="2">
        <f t="shared" si="96"/>
        <v>0</v>
      </c>
    </row>
    <row r="307" spans="1:19" s="11" customFormat="1" ht="36" x14ac:dyDescent="0.2">
      <c r="A307" s="55" t="s">
        <v>458</v>
      </c>
      <c r="B307" s="56" t="s">
        <v>60</v>
      </c>
      <c r="C307" s="56" t="s">
        <v>21</v>
      </c>
      <c r="D307" s="16" t="s">
        <v>447</v>
      </c>
      <c r="E307" s="5">
        <v>2975000</v>
      </c>
      <c r="F307" s="12">
        <f t="shared" si="78"/>
        <v>0</v>
      </c>
      <c r="G307" s="5"/>
      <c r="H307" s="5"/>
      <c r="I307" s="5">
        <f t="shared" si="65"/>
        <v>2975000</v>
      </c>
      <c r="J307" s="5">
        <v>99606</v>
      </c>
      <c r="K307" s="5">
        <f t="shared" si="111"/>
        <v>0</v>
      </c>
      <c r="L307" s="5"/>
      <c r="M307" s="5"/>
      <c r="N307" s="5"/>
      <c r="O307" s="5">
        <f t="shared" si="112"/>
        <v>99606</v>
      </c>
      <c r="P307" s="2">
        <f t="shared" si="100"/>
        <v>3074606</v>
      </c>
      <c r="Q307" s="2">
        <f t="shared" si="101"/>
        <v>0</v>
      </c>
      <c r="R307" s="2">
        <f t="shared" si="96"/>
        <v>3074606</v>
      </c>
    </row>
    <row r="308" spans="1:19" s="11" customFormat="1" ht="25.5" x14ac:dyDescent="0.2">
      <c r="A308" s="15" t="s">
        <v>154</v>
      </c>
      <c r="B308" s="56"/>
      <c r="C308" s="56"/>
      <c r="D308" s="54" t="s">
        <v>304</v>
      </c>
      <c r="E308" s="2">
        <f>E310+E312+E311+E315</f>
        <v>180036620</v>
      </c>
      <c r="F308" s="2">
        <f t="shared" si="78"/>
        <v>-15817300</v>
      </c>
      <c r="G308" s="2">
        <f>G310+G312+G311+G315</f>
        <v>-15817300</v>
      </c>
      <c r="H308" s="2">
        <f>H310+H312+H311+H315</f>
        <v>0</v>
      </c>
      <c r="I308" s="2">
        <f t="shared" si="65"/>
        <v>164219320</v>
      </c>
      <c r="J308" s="2">
        <f t="shared" ref="J308:O308" si="125">SUM(J309:J316)</f>
        <v>10269608</v>
      </c>
      <c r="K308" s="2">
        <f t="shared" si="125"/>
        <v>1490000</v>
      </c>
      <c r="L308" s="2">
        <f t="shared" si="125"/>
        <v>1490000</v>
      </c>
      <c r="M308" s="2">
        <f t="shared" si="125"/>
        <v>0</v>
      </c>
      <c r="N308" s="2">
        <f t="shared" si="125"/>
        <v>1490000</v>
      </c>
      <c r="O308" s="2">
        <f t="shared" si="125"/>
        <v>11759608</v>
      </c>
      <c r="P308" s="2">
        <f t="shared" si="100"/>
        <v>190306228</v>
      </c>
      <c r="Q308" s="2">
        <f t="shared" si="101"/>
        <v>-14327300</v>
      </c>
      <c r="R308" s="2">
        <f t="shared" si="96"/>
        <v>175978928</v>
      </c>
    </row>
    <row r="309" spans="1:19" s="11" customFormat="1" ht="25.5" x14ac:dyDescent="0.2">
      <c r="A309" s="15" t="s">
        <v>155</v>
      </c>
      <c r="B309" s="56"/>
      <c r="C309" s="56"/>
      <c r="D309" s="54" t="s">
        <v>304</v>
      </c>
      <c r="E309" s="5"/>
      <c r="F309" s="5">
        <f t="shared" si="78"/>
        <v>0</v>
      </c>
      <c r="G309" s="5"/>
      <c r="H309" s="5"/>
      <c r="I309" s="5">
        <f t="shared" si="65"/>
        <v>0</v>
      </c>
      <c r="J309" s="5">
        <v>0</v>
      </c>
      <c r="K309" s="5">
        <f t="shared" ref="K309:K316" si="126">M309+N309</f>
        <v>0</v>
      </c>
      <c r="L309" s="5"/>
      <c r="M309" s="5"/>
      <c r="N309" s="5"/>
      <c r="O309" s="5">
        <f t="shared" ref="O309:O316" si="127">J309+K309</f>
        <v>0</v>
      </c>
      <c r="P309" s="2">
        <f t="shared" si="100"/>
        <v>0</v>
      </c>
      <c r="Q309" s="2">
        <f t="shared" si="101"/>
        <v>0</v>
      </c>
      <c r="R309" s="2">
        <f t="shared" si="96"/>
        <v>0</v>
      </c>
    </row>
    <row r="310" spans="1:19" s="11" customFormat="1" ht="36" x14ac:dyDescent="0.2">
      <c r="A310" s="55" t="s">
        <v>156</v>
      </c>
      <c r="B310" s="56" t="s">
        <v>60</v>
      </c>
      <c r="C310" s="56" t="s">
        <v>21</v>
      </c>
      <c r="D310" s="16" t="s">
        <v>447</v>
      </c>
      <c r="E310" s="5">
        <v>7083800</v>
      </c>
      <c r="F310" s="5">
        <f t="shared" si="78"/>
        <v>1514900</v>
      </c>
      <c r="G310" s="5">
        <f>1514900</f>
        <v>1514900</v>
      </c>
      <c r="H310" s="5"/>
      <c r="I310" s="5">
        <f t="shared" si="65"/>
        <v>8598700</v>
      </c>
      <c r="J310" s="5">
        <v>400000</v>
      </c>
      <c r="K310" s="5">
        <f t="shared" si="126"/>
        <v>0</v>
      </c>
      <c r="L310" s="5"/>
      <c r="M310" s="5"/>
      <c r="N310" s="5"/>
      <c r="O310" s="5">
        <f t="shared" si="127"/>
        <v>400000</v>
      </c>
      <c r="P310" s="2">
        <f t="shared" si="100"/>
        <v>7483800</v>
      </c>
      <c r="Q310" s="2">
        <f t="shared" si="101"/>
        <v>1514900</v>
      </c>
      <c r="R310" s="2">
        <f t="shared" si="96"/>
        <v>8998700</v>
      </c>
    </row>
    <row r="311" spans="1:19" s="11" customFormat="1" ht="14.25" customHeight="1" x14ac:dyDescent="0.2">
      <c r="A311" s="55" t="s">
        <v>216</v>
      </c>
      <c r="B311" s="56" t="s">
        <v>11</v>
      </c>
      <c r="C311" s="56" t="s">
        <v>13</v>
      </c>
      <c r="D311" s="16" t="s">
        <v>163</v>
      </c>
      <c r="E311" s="5">
        <v>679300</v>
      </c>
      <c r="F311" s="5">
        <f t="shared" si="78"/>
        <v>297800</v>
      </c>
      <c r="G311" s="5">
        <v>297800</v>
      </c>
      <c r="H311" s="5"/>
      <c r="I311" s="5">
        <f t="shared" si="65"/>
        <v>977100</v>
      </c>
      <c r="J311" s="5">
        <v>0</v>
      </c>
      <c r="K311" s="5">
        <f t="shared" si="126"/>
        <v>0</v>
      </c>
      <c r="L311" s="5"/>
      <c r="M311" s="5"/>
      <c r="N311" s="5"/>
      <c r="O311" s="5">
        <f t="shared" si="127"/>
        <v>0</v>
      </c>
      <c r="P311" s="2">
        <f t="shared" si="100"/>
        <v>679300</v>
      </c>
      <c r="Q311" s="2">
        <f t="shared" si="101"/>
        <v>297800</v>
      </c>
      <c r="R311" s="2">
        <f t="shared" si="96"/>
        <v>977100</v>
      </c>
    </row>
    <row r="312" spans="1:19" s="11" customFormat="1" ht="14.25" customHeight="1" x14ac:dyDescent="0.2">
      <c r="A312" s="55" t="s">
        <v>157</v>
      </c>
      <c r="B312" s="56" t="s">
        <v>95</v>
      </c>
      <c r="C312" s="56" t="s">
        <v>23</v>
      </c>
      <c r="D312" s="16" t="s">
        <v>96</v>
      </c>
      <c r="E312" s="5">
        <v>2273520</v>
      </c>
      <c r="F312" s="5">
        <f t="shared" si="78"/>
        <v>0</v>
      </c>
      <c r="G312" s="5"/>
      <c r="H312" s="5"/>
      <c r="I312" s="5">
        <f t="shared" si="65"/>
        <v>2273520</v>
      </c>
      <c r="J312" s="5">
        <v>257500</v>
      </c>
      <c r="K312" s="5">
        <f t="shared" si="126"/>
        <v>0</v>
      </c>
      <c r="L312" s="5"/>
      <c r="M312" s="5"/>
      <c r="N312" s="5"/>
      <c r="O312" s="5">
        <f t="shared" si="127"/>
        <v>257500</v>
      </c>
      <c r="P312" s="2">
        <f t="shared" si="100"/>
        <v>2531020</v>
      </c>
      <c r="Q312" s="2">
        <f t="shared" si="101"/>
        <v>0</v>
      </c>
      <c r="R312" s="2">
        <f t="shared" si="96"/>
        <v>2531020</v>
      </c>
    </row>
    <row r="313" spans="1:19" s="11" customFormat="1" ht="24" x14ac:dyDescent="0.2">
      <c r="A313" s="55" t="s">
        <v>516</v>
      </c>
      <c r="B313" s="56" t="s">
        <v>226</v>
      </c>
      <c r="C313" s="56" t="s">
        <v>203</v>
      </c>
      <c r="D313" s="16" t="s">
        <v>483</v>
      </c>
      <c r="E313" s="5"/>
      <c r="F313" s="5">
        <f t="shared" si="78"/>
        <v>0</v>
      </c>
      <c r="G313" s="5"/>
      <c r="H313" s="5"/>
      <c r="I313" s="5"/>
      <c r="J313" s="5">
        <v>3508708</v>
      </c>
      <c r="K313" s="5">
        <f t="shared" si="126"/>
        <v>1490000</v>
      </c>
      <c r="L313" s="5">
        <f>1490000</f>
        <v>1490000</v>
      </c>
      <c r="M313" s="5"/>
      <c r="N313" s="5">
        <f>1490000</f>
        <v>1490000</v>
      </c>
      <c r="O313" s="5">
        <f t="shared" ref="O313:O314" si="128">K313+J313</f>
        <v>4998708</v>
      </c>
      <c r="P313" s="2">
        <f t="shared" si="100"/>
        <v>3508708</v>
      </c>
      <c r="Q313" s="2">
        <f t="shared" si="101"/>
        <v>1490000</v>
      </c>
      <c r="R313" s="2">
        <f t="shared" si="96"/>
        <v>4998708</v>
      </c>
    </row>
    <row r="314" spans="1:19" s="11" customFormat="1" ht="28.5" customHeight="1" x14ac:dyDescent="0.2">
      <c r="A314" s="55" t="s">
        <v>517</v>
      </c>
      <c r="B314" s="56" t="s">
        <v>519</v>
      </c>
      <c r="C314" s="56" t="s">
        <v>219</v>
      </c>
      <c r="D314" s="16" t="s">
        <v>518</v>
      </c>
      <c r="E314" s="5">
        <v>0</v>
      </c>
      <c r="F314" s="5">
        <f t="shared" si="78"/>
        <v>0</v>
      </c>
      <c r="G314" s="5"/>
      <c r="H314" s="5"/>
      <c r="I314" s="5">
        <f t="shared" ref="I314" si="129">E314+F314</f>
        <v>0</v>
      </c>
      <c r="J314" s="5">
        <v>6000000</v>
      </c>
      <c r="K314" s="5">
        <f t="shared" si="126"/>
        <v>0</v>
      </c>
      <c r="L314" s="5"/>
      <c r="M314" s="5"/>
      <c r="N314" s="5"/>
      <c r="O314" s="5">
        <f t="shared" si="128"/>
        <v>6000000</v>
      </c>
      <c r="P314" s="2">
        <f t="shared" si="100"/>
        <v>6000000</v>
      </c>
      <c r="Q314" s="2">
        <f t="shared" si="101"/>
        <v>0</v>
      </c>
      <c r="R314" s="2">
        <f t="shared" si="96"/>
        <v>6000000</v>
      </c>
    </row>
    <row r="315" spans="1:19" s="11" customFormat="1" ht="24" x14ac:dyDescent="0.2">
      <c r="A315" s="55" t="s">
        <v>221</v>
      </c>
      <c r="B315" s="56" t="s">
        <v>222</v>
      </c>
      <c r="C315" s="56" t="s">
        <v>219</v>
      </c>
      <c r="D315" s="16" t="s">
        <v>223</v>
      </c>
      <c r="E315" s="5">
        <v>170000000</v>
      </c>
      <c r="F315" s="5">
        <f t="shared" si="78"/>
        <v>-17630000</v>
      </c>
      <c r="G315" s="5">
        <v>-17630000</v>
      </c>
      <c r="H315" s="5"/>
      <c r="I315" s="5">
        <f t="shared" si="65"/>
        <v>152370000</v>
      </c>
      <c r="J315" s="5">
        <v>0</v>
      </c>
      <c r="K315" s="5">
        <f t="shared" si="126"/>
        <v>0</v>
      </c>
      <c r="L315" s="5"/>
      <c r="M315" s="5"/>
      <c r="N315" s="5"/>
      <c r="O315" s="5">
        <f t="shared" si="127"/>
        <v>0</v>
      </c>
      <c r="P315" s="2">
        <f t="shared" si="100"/>
        <v>170000000</v>
      </c>
      <c r="Q315" s="2">
        <f t="shared" si="101"/>
        <v>-17630000</v>
      </c>
      <c r="R315" s="2">
        <f t="shared" si="96"/>
        <v>152370000</v>
      </c>
    </row>
    <row r="316" spans="1:19" s="11" customFormat="1" ht="100.5" customHeight="1" x14ac:dyDescent="0.2">
      <c r="A316" s="55" t="s">
        <v>520</v>
      </c>
      <c r="B316" s="56" t="s">
        <v>259</v>
      </c>
      <c r="C316" s="56" t="s">
        <v>24</v>
      </c>
      <c r="D316" s="16" t="s">
        <v>260</v>
      </c>
      <c r="E316" s="5">
        <v>0</v>
      </c>
      <c r="F316" s="5">
        <f t="shared" si="78"/>
        <v>0</v>
      </c>
      <c r="G316" s="5"/>
      <c r="H316" s="5"/>
      <c r="I316" s="5">
        <f t="shared" ref="I316" si="130">E316+F316</f>
        <v>0</v>
      </c>
      <c r="J316" s="5">
        <v>103400</v>
      </c>
      <c r="K316" s="5">
        <f t="shared" si="126"/>
        <v>0</v>
      </c>
      <c r="L316" s="5"/>
      <c r="M316" s="5"/>
      <c r="N316" s="5"/>
      <c r="O316" s="5">
        <f t="shared" si="127"/>
        <v>103400</v>
      </c>
      <c r="P316" s="2">
        <f t="shared" si="100"/>
        <v>103400</v>
      </c>
      <c r="Q316" s="2">
        <f t="shared" si="101"/>
        <v>0</v>
      </c>
      <c r="R316" s="2">
        <f t="shared" si="96"/>
        <v>103400</v>
      </c>
    </row>
    <row r="317" spans="1:19" s="4" customFormat="1" ht="51" x14ac:dyDescent="0.2">
      <c r="A317" s="15" t="s">
        <v>337</v>
      </c>
      <c r="B317" s="1"/>
      <c r="C317" s="1"/>
      <c r="D317" s="54" t="s">
        <v>340</v>
      </c>
      <c r="E317" s="2">
        <f>E319+E320+E324+E323</f>
        <v>26020289</v>
      </c>
      <c r="F317" s="12">
        <f t="shared" si="78"/>
        <v>756080</v>
      </c>
      <c r="G317" s="2">
        <f t="shared" ref="G317:H317" si="131">G319+G320+G324+G323</f>
        <v>756080</v>
      </c>
      <c r="H317" s="2">
        <f t="shared" si="131"/>
        <v>0</v>
      </c>
      <c r="I317" s="5">
        <f t="shared" si="65"/>
        <v>26776369</v>
      </c>
      <c r="J317" s="2">
        <v>0</v>
      </c>
      <c r="K317" s="2">
        <f>K319+K320+K324+K323</f>
        <v>0</v>
      </c>
      <c r="L317" s="2">
        <f t="shared" ref="L317:O317" si="132">L319+L320+L324+L323</f>
        <v>0</v>
      </c>
      <c r="M317" s="2">
        <f t="shared" si="132"/>
        <v>0</v>
      </c>
      <c r="N317" s="2">
        <f t="shared" si="132"/>
        <v>0</v>
      </c>
      <c r="O317" s="2">
        <f t="shared" si="132"/>
        <v>0</v>
      </c>
      <c r="P317" s="2">
        <f t="shared" si="100"/>
        <v>26020289</v>
      </c>
      <c r="Q317" s="2">
        <f t="shared" si="101"/>
        <v>756080</v>
      </c>
      <c r="R317" s="2">
        <f t="shared" si="96"/>
        <v>26776369</v>
      </c>
      <c r="S317" s="46"/>
    </row>
    <row r="318" spans="1:19" s="4" customFormat="1" ht="51" x14ac:dyDescent="0.2">
      <c r="A318" s="15" t="s">
        <v>338</v>
      </c>
      <c r="B318" s="1"/>
      <c r="C318" s="1"/>
      <c r="D318" s="54" t="s">
        <v>340</v>
      </c>
      <c r="E318" s="2"/>
      <c r="F318" s="12">
        <f t="shared" si="78"/>
        <v>0</v>
      </c>
      <c r="G318" s="2"/>
      <c r="H318" s="2"/>
      <c r="I318" s="5">
        <f t="shared" si="65"/>
        <v>0</v>
      </c>
      <c r="J318" s="5">
        <v>0</v>
      </c>
      <c r="K318" s="5">
        <f t="shared" ref="K318:K319" si="133">M318+N318</f>
        <v>0</v>
      </c>
      <c r="L318" s="2"/>
      <c r="M318" s="2"/>
      <c r="N318" s="2"/>
      <c r="O318" s="2">
        <f t="shared" ref="O318:O319" si="134">J318+K318</f>
        <v>0</v>
      </c>
      <c r="P318" s="2">
        <f t="shared" si="100"/>
        <v>0</v>
      </c>
      <c r="Q318" s="2">
        <f t="shared" si="101"/>
        <v>0</v>
      </c>
      <c r="R318" s="2">
        <f t="shared" si="96"/>
        <v>0</v>
      </c>
    </row>
    <row r="319" spans="1:19" s="11" customFormat="1" ht="36" x14ac:dyDescent="0.2">
      <c r="A319" s="55" t="s">
        <v>339</v>
      </c>
      <c r="B319" s="56" t="s">
        <v>60</v>
      </c>
      <c r="C319" s="56" t="s">
        <v>21</v>
      </c>
      <c r="D319" s="16" t="s">
        <v>447</v>
      </c>
      <c r="E319" s="5">
        <v>4739000</v>
      </c>
      <c r="F319" s="12">
        <f t="shared" si="78"/>
        <v>0</v>
      </c>
      <c r="G319" s="5"/>
      <c r="H319" s="5"/>
      <c r="I319" s="5">
        <f t="shared" ref="I319:I383" si="135">E319+F319</f>
        <v>4739000</v>
      </c>
      <c r="J319" s="5">
        <v>0</v>
      </c>
      <c r="K319" s="5">
        <f t="shared" si="133"/>
        <v>0</v>
      </c>
      <c r="L319" s="5"/>
      <c r="M319" s="5"/>
      <c r="N319" s="5"/>
      <c r="O319" s="5">
        <f t="shared" si="134"/>
        <v>0</v>
      </c>
      <c r="P319" s="2">
        <f t="shared" si="100"/>
        <v>4739000</v>
      </c>
      <c r="Q319" s="2">
        <f t="shared" si="101"/>
        <v>0</v>
      </c>
      <c r="R319" s="2">
        <f t="shared" si="96"/>
        <v>4739000</v>
      </c>
    </row>
    <row r="320" spans="1:19" s="11" customFormat="1" ht="12.75" x14ac:dyDescent="0.2">
      <c r="A320" s="55" t="s">
        <v>341</v>
      </c>
      <c r="B320" s="56" t="s">
        <v>11</v>
      </c>
      <c r="C320" s="56" t="s">
        <v>13</v>
      </c>
      <c r="D320" s="16" t="s">
        <v>163</v>
      </c>
      <c r="E320" s="5">
        <f>500000+500000</f>
        <v>1000000</v>
      </c>
      <c r="F320" s="12">
        <f t="shared" si="78"/>
        <v>0</v>
      </c>
      <c r="G320" s="5"/>
      <c r="H320" s="5">
        <f t="shared" ref="H320:O320" si="136">H322</f>
        <v>0</v>
      </c>
      <c r="I320" s="5">
        <f t="shared" si="135"/>
        <v>1000000</v>
      </c>
      <c r="J320" s="5">
        <v>0</v>
      </c>
      <c r="K320" s="5">
        <f t="shared" si="136"/>
        <v>0</v>
      </c>
      <c r="L320" s="5">
        <f t="shared" si="136"/>
        <v>0</v>
      </c>
      <c r="M320" s="5">
        <f t="shared" si="136"/>
        <v>0</v>
      </c>
      <c r="N320" s="5">
        <f t="shared" si="136"/>
        <v>0</v>
      </c>
      <c r="O320" s="5">
        <f t="shared" si="136"/>
        <v>0</v>
      </c>
      <c r="P320" s="2">
        <f t="shared" si="100"/>
        <v>1000000</v>
      </c>
      <c r="Q320" s="2">
        <f t="shared" si="101"/>
        <v>0</v>
      </c>
      <c r="R320" s="2">
        <f t="shared" si="96"/>
        <v>1000000</v>
      </c>
    </row>
    <row r="321" spans="1:18" s="11" customFormat="1" ht="12.75" x14ac:dyDescent="0.2">
      <c r="A321" s="55"/>
      <c r="B321" s="56"/>
      <c r="C321" s="56"/>
      <c r="D321" s="16" t="s">
        <v>345</v>
      </c>
      <c r="E321" s="5"/>
      <c r="F321" s="12">
        <f t="shared" si="78"/>
        <v>0</v>
      </c>
      <c r="G321" s="5"/>
      <c r="H321" s="5"/>
      <c r="I321" s="5">
        <f t="shared" si="135"/>
        <v>0</v>
      </c>
      <c r="J321" s="5">
        <v>0</v>
      </c>
      <c r="K321" s="5">
        <f t="shared" ref="K321:K324" si="137">M321+N321</f>
        <v>0</v>
      </c>
      <c r="L321" s="5"/>
      <c r="M321" s="5"/>
      <c r="N321" s="5"/>
      <c r="O321" s="5">
        <f t="shared" ref="O321:O324" si="138">J321+K321</f>
        <v>0</v>
      </c>
      <c r="P321" s="2">
        <f t="shared" si="100"/>
        <v>0</v>
      </c>
      <c r="Q321" s="2">
        <f t="shared" si="101"/>
        <v>0</v>
      </c>
      <c r="R321" s="2">
        <f t="shared" si="96"/>
        <v>0</v>
      </c>
    </row>
    <row r="322" spans="1:18" s="11" customFormat="1" ht="36" x14ac:dyDescent="0.2">
      <c r="A322" s="55"/>
      <c r="B322" s="56"/>
      <c r="C322" s="56"/>
      <c r="D322" s="18" t="s">
        <v>460</v>
      </c>
      <c r="E322" s="5">
        <f>500000+500000</f>
        <v>1000000</v>
      </c>
      <c r="F322" s="12">
        <f t="shared" si="78"/>
        <v>0</v>
      </c>
      <c r="G322" s="5"/>
      <c r="H322" s="5"/>
      <c r="I322" s="5">
        <f t="shared" si="135"/>
        <v>1000000</v>
      </c>
      <c r="J322" s="5">
        <v>0</v>
      </c>
      <c r="K322" s="5">
        <f t="shared" si="137"/>
        <v>0</v>
      </c>
      <c r="L322" s="5"/>
      <c r="M322" s="5"/>
      <c r="N322" s="5"/>
      <c r="O322" s="5">
        <f t="shared" si="138"/>
        <v>0</v>
      </c>
      <c r="P322" s="2">
        <f t="shared" si="100"/>
        <v>1000000</v>
      </c>
      <c r="Q322" s="2">
        <f t="shared" si="101"/>
        <v>0</v>
      </c>
      <c r="R322" s="2">
        <f t="shared" si="96"/>
        <v>1000000</v>
      </c>
    </row>
    <row r="323" spans="1:18" s="11" customFormat="1" ht="12.75" x14ac:dyDescent="0.2">
      <c r="A323" s="55" t="s">
        <v>354</v>
      </c>
      <c r="B323" s="56" t="s">
        <v>75</v>
      </c>
      <c r="C323" s="56" t="s">
        <v>44</v>
      </c>
      <c r="D323" s="16" t="s">
        <v>76</v>
      </c>
      <c r="E323" s="5">
        <v>10800000</v>
      </c>
      <c r="F323" s="12">
        <f t="shared" si="78"/>
        <v>0</v>
      </c>
      <c r="G323" s="5">
        <f>-600000+600000</f>
        <v>0</v>
      </c>
      <c r="H323" s="5"/>
      <c r="I323" s="5">
        <f t="shared" si="135"/>
        <v>10800000</v>
      </c>
      <c r="J323" s="5">
        <v>0</v>
      </c>
      <c r="K323" s="5">
        <f t="shared" si="137"/>
        <v>0</v>
      </c>
      <c r="L323" s="5"/>
      <c r="M323" s="5"/>
      <c r="N323" s="5"/>
      <c r="O323" s="5">
        <f t="shared" si="138"/>
        <v>0</v>
      </c>
      <c r="P323" s="2">
        <f t="shared" si="100"/>
        <v>10800000</v>
      </c>
      <c r="Q323" s="2">
        <f t="shared" si="101"/>
        <v>0</v>
      </c>
      <c r="R323" s="2">
        <f t="shared" si="96"/>
        <v>10800000</v>
      </c>
    </row>
    <row r="324" spans="1:18" s="11" customFormat="1" ht="12.75" x14ac:dyDescent="0.2">
      <c r="A324" s="55" t="s">
        <v>342</v>
      </c>
      <c r="B324" s="56" t="s">
        <v>297</v>
      </c>
      <c r="C324" s="56" t="s">
        <v>44</v>
      </c>
      <c r="D324" s="18" t="s">
        <v>298</v>
      </c>
      <c r="E324" s="5">
        <v>9481289</v>
      </c>
      <c r="F324" s="12">
        <f t="shared" si="78"/>
        <v>756080</v>
      </c>
      <c r="G324" s="5">
        <f>756080</f>
        <v>756080</v>
      </c>
      <c r="H324" s="5"/>
      <c r="I324" s="5">
        <f t="shared" si="135"/>
        <v>10237369</v>
      </c>
      <c r="J324" s="5">
        <v>0</v>
      </c>
      <c r="K324" s="5">
        <f t="shared" si="137"/>
        <v>0</v>
      </c>
      <c r="L324" s="5"/>
      <c r="M324" s="5"/>
      <c r="N324" s="5"/>
      <c r="O324" s="5">
        <f t="shared" si="138"/>
        <v>0</v>
      </c>
      <c r="P324" s="2">
        <f t="shared" si="100"/>
        <v>9481289</v>
      </c>
      <c r="Q324" s="2">
        <f t="shared" si="101"/>
        <v>756080</v>
      </c>
      <c r="R324" s="2">
        <f t="shared" si="96"/>
        <v>10237369</v>
      </c>
    </row>
    <row r="325" spans="1:18" s="4" customFormat="1" ht="50.25" customHeight="1" x14ac:dyDescent="0.2">
      <c r="A325" s="15" t="s">
        <v>331</v>
      </c>
      <c r="B325" s="1"/>
      <c r="C325" s="1"/>
      <c r="D325" s="41" t="s">
        <v>333</v>
      </c>
      <c r="E325" s="2">
        <f>E327+E328+E330</f>
        <v>8436750</v>
      </c>
      <c r="F325" s="12">
        <f t="shared" si="78"/>
        <v>-248300</v>
      </c>
      <c r="G325" s="2">
        <f t="shared" ref="G325:O325" si="139">G327+G328+G330</f>
        <v>-248300</v>
      </c>
      <c r="H325" s="2">
        <f t="shared" si="139"/>
        <v>0</v>
      </c>
      <c r="I325" s="5">
        <f t="shared" si="135"/>
        <v>8188450</v>
      </c>
      <c r="J325" s="2">
        <f>J327+J328+J330</f>
        <v>770000</v>
      </c>
      <c r="K325" s="2">
        <f>K327+K328+K330</f>
        <v>0</v>
      </c>
      <c r="L325" s="2">
        <f t="shared" si="139"/>
        <v>0</v>
      </c>
      <c r="M325" s="2">
        <f t="shared" si="139"/>
        <v>0</v>
      </c>
      <c r="N325" s="2">
        <f t="shared" si="139"/>
        <v>0</v>
      </c>
      <c r="O325" s="2">
        <f t="shared" si="139"/>
        <v>770000</v>
      </c>
      <c r="P325" s="2">
        <f t="shared" si="100"/>
        <v>9206750</v>
      </c>
      <c r="Q325" s="2">
        <f t="shared" si="101"/>
        <v>-248300</v>
      </c>
      <c r="R325" s="2">
        <f t="shared" si="96"/>
        <v>8958450</v>
      </c>
    </row>
    <row r="326" spans="1:18" s="4" customFormat="1" ht="54" customHeight="1" x14ac:dyDescent="0.2">
      <c r="A326" s="15" t="s">
        <v>332</v>
      </c>
      <c r="B326" s="1"/>
      <c r="C326" s="1"/>
      <c r="D326" s="54" t="s">
        <v>333</v>
      </c>
      <c r="E326" s="2"/>
      <c r="F326" s="12">
        <f t="shared" si="78"/>
        <v>0</v>
      </c>
      <c r="G326" s="2"/>
      <c r="H326" s="2"/>
      <c r="I326" s="5">
        <f t="shared" si="135"/>
        <v>0</v>
      </c>
      <c r="J326" s="5">
        <v>0</v>
      </c>
      <c r="K326" s="5">
        <f t="shared" ref="K326:K329" si="140">M326+N326</f>
        <v>0</v>
      </c>
      <c r="L326" s="2"/>
      <c r="M326" s="2"/>
      <c r="N326" s="2"/>
      <c r="O326" s="2">
        <f t="shared" ref="O326:O380" si="141">J326+K326</f>
        <v>0</v>
      </c>
      <c r="P326" s="2">
        <f t="shared" si="100"/>
        <v>0</v>
      </c>
      <c r="Q326" s="2">
        <f t="shared" si="101"/>
        <v>0</v>
      </c>
      <c r="R326" s="2">
        <f t="shared" si="96"/>
        <v>0</v>
      </c>
    </row>
    <row r="327" spans="1:18" s="11" customFormat="1" ht="36" x14ac:dyDescent="0.2">
      <c r="A327" s="55" t="s">
        <v>334</v>
      </c>
      <c r="B327" s="56" t="s">
        <v>60</v>
      </c>
      <c r="C327" s="56" t="s">
        <v>21</v>
      </c>
      <c r="D327" s="16" t="s">
        <v>447</v>
      </c>
      <c r="E327" s="5">
        <v>5550000</v>
      </c>
      <c r="F327" s="12">
        <f t="shared" si="78"/>
        <v>485000</v>
      </c>
      <c r="G327" s="5">
        <f>485000</f>
        <v>485000</v>
      </c>
      <c r="H327" s="5"/>
      <c r="I327" s="5">
        <f t="shared" si="135"/>
        <v>6035000</v>
      </c>
      <c r="J327" s="5">
        <v>0</v>
      </c>
      <c r="K327" s="5">
        <f t="shared" si="140"/>
        <v>0</v>
      </c>
      <c r="L327" s="5"/>
      <c r="M327" s="5"/>
      <c r="N327" s="5"/>
      <c r="O327" s="5">
        <f t="shared" si="141"/>
        <v>0</v>
      </c>
      <c r="P327" s="2">
        <f t="shared" si="100"/>
        <v>5550000</v>
      </c>
      <c r="Q327" s="2">
        <f t="shared" si="101"/>
        <v>485000</v>
      </c>
      <c r="R327" s="2">
        <f t="shared" si="96"/>
        <v>6035000</v>
      </c>
    </row>
    <row r="328" spans="1:18" s="11" customFormat="1" ht="24" x14ac:dyDescent="0.2">
      <c r="A328" s="55" t="s">
        <v>335</v>
      </c>
      <c r="B328" s="56" t="s">
        <v>182</v>
      </c>
      <c r="C328" s="56" t="s">
        <v>183</v>
      </c>
      <c r="D328" s="18" t="s">
        <v>271</v>
      </c>
      <c r="E328" s="5">
        <f>E329</f>
        <v>620000</v>
      </c>
      <c r="F328" s="12">
        <f t="shared" si="78"/>
        <v>-483300</v>
      </c>
      <c r="G328" s="5">
        <f>G329</f>
        <v>-483300</v>
      </c>
      <c r="H328" s="5"/>
      <c r="I328" s="5">
        <f t="shared" si="135"/>
        <v>136700</v>
      </c>
      <c r="J328" s="5">
        <v>0</v>
      </c>
      <c r="K328" s="5">
        <f t="shared" si="140"/>
        <v>0</v>
      </c>
      <c r="L328" s="5"/>
      <c r="M328" s="5"/>
      <c r="N328" s="5"/>
      <c r="O328" s="5">
        <f t="shared" si="141"/>
        <v>0</v>
      </c>
      <c r="P328" s="2">
        <f t="shared" si="100"/>
        <v>620000</v>
      </c>
      <c r="Q328" s="2">
        <f t="shared" si="101"/>
        <v>-483300</v>
      </c>
      <c r="R328" s="2">
        <f t="shared" si="96"/>
        <v>136700</v>
      </c>
    </row>
    <row r="329" spans="1:18" s="11" customFormat="1" ht="36" x14ac:dyDescent="0.2">
      <c r="A329" s="55"/>
      <c r="B329" s="56"/>
      <c r="C329" s="56"/>
      <c r="D329" s="18" t="s">
        <v>358</v>
      </c>
      <c r="E329" s="5">
        <v>620000</v>
      </c>
      <c r="F329" s="12">
        <f t="shared" si="78"/>
        <v>-483300</v>
      </c>
      <c r="G329" s="5">
        <f>-60000-125000-175000-73300-50000</f>
        <v>-483300</v>
      </c>
      <c r="H329" s="5"/>
      <c r="I329" s="5">
        <f t="shared" si="135"/>
        <v>136700</v>
      </c>
      <c r="J329" s="5">
        <v>0</v>
      </c>
      <c r="K329" s="5">
        <f t="shared" si="140"/>
        <v>0</v>
      </c>
      <c r="L329" s="5"/>
      <c r="M329" s="5"/>
      <c r="N329" s="5"/>
      <c r="O329" s="5">
        <f t="shared" si="141"/>
        <v>0</v>
      </c>
      <c r="P329" s="2">
        <f t="shared" si="100"/>
        <v>620000</v>
      </c>
      <c r="Q329" s="2">
        <f t="shared" si="101"/>
        <v>-483300</v>
      </c>
      <c r="R329" s="2">
        <f t="shared" si="96"/>
        <v>136700</v>
      </c>
    </row>
    <row r="330" spans="1:18" s="11" customFormat="1" ht="12.75" x14ac:dyDescent="0.2">
      <c r="A330" s="55" t="s">
        <v>336</v>
      </c>
      <c r="B330" s="55" t="s">
        <v>276</v>
      </c>
      <c r="C330" s="56" t="s">
        <v>24</v>
      </c>
      <c r="D330" s="19" t="s">
        <v>189</v>
      </c>
      <c r="E330" s="5">
        <f>E332+E333+E334+E335+E337</f>
        <v>2266750</v>
      </c>
      <c r="F330" s="12">
        <f t="shared" si="78"/>
        <v>-250000</v>
      </c>
      <c r="G330" s="5">
        <f>G332+G333+G334+G335+G337+G336</f>
        <v>-250000</v>
      </c>
      <c r="H330" s="5"/>
      <c r="I330" s="5">
        <f>E330+F330</f>
        <v>2016750</v>
      </c>
      <c r="J330" s="5">
        <v>770000</v>
      </c>
      <c r="K330" s="5">
        <f>SUM(K331:K337)</f>
        <v>0</v>
      </c>
      <c r="L330" s="5">
        <f>SUM(L331:L337)</f>
        <v>0</v>
      </c>
      <c r="M330" s="5">
        <f t="shared" ref="M330:O330" si="142">SUM(M331:M337)</f>
        <v>0</v>
      </c>
      <c r="N330" s="5">
        <f t="shared" si="142"/>
        <v>0</v>
      </c>
      <c r="O330" s="5">
        <f t="shared" si="142"/>
        <v>770000</v>
      </c>
      <c r="P330" s="2">
        <f t="shared" si="100"/>
        <v>3036750</v>
      </c>
      <c r="Q330" s="2">
        <f>F330+K330</f>
        <v>-250000</v>
      </c>
      <c r="R330" s="2">
        <f>I330+O330</f>
        <v>2786750</v>
      </c>
    </row>
    <row r="331" spans="1:18" s="11" customFormat="1" ht="12.75" x14ac:dyDescent="0.2">
      <c r="A331" s="55"/>
      <c r="B331" s="55"/>
      <c r="C331" s="56"/>
      <c r="D331" s="19" t="s">
        <v>285</v>
      </c>
      <c r="E331" s="5"/>
      <c r="F331" s="12">
        <f t="shared" ref="F331:F361" si="143">G331+H331</f>
        <v>0</v>
      </c>
      <c r="G331" s="5"/>
      <c r="H331" s="5"/>
      <c r="I331" s="5">
        <f t="shared" si="135"/>
        <v>0</v>
      </c>
      <c r="J331" s="5">
        <v>0</v>
      </c>
      <c r="K331" s="5">
        <f t="shared" ref="K331:K337" si="144">M331+N331</f>
        <v>0</v>
      </c>
      <c r="L331" s="5"/>
      <c r="M331" s="5"/>
      <c r="N331" s="5"/>
      <c r="O331" s="5">
        <f t="shared" si="141"/>
        <v>0</v>
      </c>
      <c r="P331" s="2">
        <f t="shared" si="100"/>
        <v>0</v>
      </c>
      <c r="Q331" s="2">
        <f t="shared" si="101"/>
        <v>0</v>
      </c>
      <c r="R331" s="2">
        <f t="shared" si="96"/>
        <v>0</v>
      </c>
    </row>
    <row r="332" spans="1:18" s="11" customFormat="1" ht="24" x14ac:dyDescent="0.2">
      <c r="A332" s="55"/>
      <c r="B332" s="56"/>
      <c r="C332" s="56"/>
      <c r="D332" s="18" t="s">
        <v>357</v>
      </c>
      <c r="E332" s="5">
        <v>500000</v>
      </c>
      <c r="F332" s="12">
        <f t="shared" si="143"/>
        <v>0</v>
      </c>
      <c r="G332" s="5"/>
      <c r="H332" s="5"/>
      <c r="I332" s="5">
        <f t="shared" si="135"/>
        <v>500000</v>
      </c>
      <c r="J332" s="5">
        <v>0</v>
      </c>
      <c r="K332" s="5">
        <f t="shared" si="144"/>
        <v>0</v>
      </c>
      <c r="L332" s="5"/>
      <c r="M332" s="5"/>
      <c r="N332" s="5"/>
      <c r="O332" s="5">
        <f t="shared" si="141"/>
        <v>0</v>
      </c>
      <c r="P332" s="2">
        <f t="shared" si="100"/>
        <v>500000</v>
      </c>
      <c r="Q332" s="2">
        <f t="shared" si="101"/>
        <v>0</v>
      </c>
      <c r="R332" s="2">
        <f t="shared" si="96"/>
        <v>500000</v>
      </c>
    </row>
    <row r="333" spans="1:18" s="11" customFormat="1" ht="48" x14ac:dyDescent="0.2">
      <c r="A333" s="55"/>
      <c r="B333" s="56"/>
      <c r="C333" s="56"/>
      <c r="D333" s="19" t="s">
        <v>362</v>
      </c>
      <c r="E333" s="5">
        <v>700000</v>
      </c>
      <c r="F333" s="12">
        <f t="shared" si="143"/>
        <v>-500000</v>
      </c>
      <c r="G333" s="5">
        <f>-150000-150000-200000</f>
        <v>-500000</v>
      </c>
      <c r="H333" s="5"/>
      <c r="I333" s="5">
        <f t="shared" si="135"/>
        <v>200000</v>
      </c>
      <c r="J333" s="5">
        <v>0</v>
      </c>
      <c r="K333" s="5">
        <f t="shared" si="144"/>
        <v>0</v>
      </c>
      <c r="L333" s="5"/>
      <c r="M333" s="5"/>
      <c r="N333" s="5"/>
      <c r="O333" s="5">
        <f t="shared" si="141"/>
        <v>0</v>
      </c>
      <c r="P333" s="2">
        <f t="shared" si="100"/>
        <v>700000</v>
      </c>
      <c r="Q333" s="2">
        <f t="shared" si="101"/>
        <v>-500000</v>
      </c>
      <c r="R333" s="2">
        <f t="shared" si="96"/>
        <v>200000</v>
      </c>
    </row>
    <row r="334" spans="1:18" s="11" customFormat="1" ht="51" x14ac:dyDescent="0.2">
      <c r="A334" s="55"/>
      <c r="B334" s="56"/>
      <c r="C334" s="56"/>
      <c r="D334" s="31" t="s">
        <v>473</v>
      </c>
      <c r="E334" s="5">
        <v>1000000</v>
      </c>
      <c r="F334" s="12">
        <f t="shared" si="143"/>
        <v>-150000</v>
      </c>
      <c r="G334" s="5">
        <f>-200000+50000</f>
        <v>-150000</v>
      </c>
      <c r="H334" s="5"/>
      <c r="I334" s="5">
        <f t="shared" si="135"/>
        <v>850000</v>
      </c>
      <c r="J334" s="5">
        <v>0</v>
      </c>
      <c r="K334" s="5">
        <f t="shared" si="144"/>
        <v>0</v>
      </c>
      <c r="L334" s="5"/>
      <c r="M334" s="5"/>
      <c r="N334" s="5"/>
      <c r="O334" s="5">
        <f t="shared" si="141"/>
        <v>0</v>
      </c>
      <c r="P334" s="2">
        <f t="shared" si="100"/>
        <v>1000000</v>
      </c>
      <c r="Q334" s="2">
        <f t="shared" si="101"/>
        <v>-150000</v>
      </c>
      <c r="R334" s="2">
        <f t="shared" si="96"/>
        <v>850000</v>
      </c>
    </row>
    <row r="335" spans="1:18" s="11" customFormat="1" ht="24" x14ac:dyDescent="0.2">
      <c r="A335" s="55"/>
      <c r="B335" s="56"/>
      <c r="C335" s="56"/>
      <c r="D335" s="18" t="s">
        <v>364</v>
      </c>
      <c r="E335" s="5">
        <v>50000</v>
      </c>
      <c r="F335" s="12">
        <f t="shared" si="143"/>
        <v>0</v>
      </c>
      <c r="G335" s="5"/>
      <c r="H335" s="5"/>
      <c r="I335" s="5">
        <f t="shared" si="135"/>
        <v>50000</v>
      </c>
      <c r="J335" s="5">
        <v>770000</v>
      </c>
      <c r="K335" s="5">
        <f t="shared" si="144"/>
        <v>0</v>
      </c>
      <c r="L335" s="5"/>
      <c r="M335" s="5"/>
      <c r="N335" s="5"/>
      <c r="O335" s="5">
        <f t="shared" si="141"/>
        <v>770000</v>
      </c>
      <c r="P335" s="2">
        <f t="shared" si="100"/>
        <v>820000</v>
      </c>
      <c r="Q335" s="2">
        <f t="shared" si="101"/>
        <v>0</v>
      </c>
      <c r="R335" s="2">
        <f t="shared" si="96"/>
        <v>820000</v>
      </c>
    </row>
    <row r="336" spans="1:18" s="11" customFormat="1" ht="24" x14ac:dyDescent="0.2">
      <c r="A336" s="55"/>
      <c r="B336" s="56"/>
      <c r="C336" s="56"/>
      <c r="D336" s="18" t="s">
        <v>662</v>
      </c>
      <c r="E336" s="5"/>
      <c r="F336" s="12">
        <f t="shared" si="143"/>
        <v>400000</v>
      </c>
      <c r="G336" s="5">
        <v>400000</v>
      </c>
      <c r="H336" s="5"/>
      <c r="I336" s="5">
        <f t="shared" si="135"/>
        <v>400000</v>
      </c>
      <c r="J336" s="5"/>
      <c r="K336" s="5"/>
      <c r="L336" s="5"/>
      <c r="M336" s="5"/>
      <c r="N336" s="5"/>
      <c r="O336" s="5"/>
      <c r="P336" s="2">
        <f t="shared" si="100"/>
        <v>0</v>
      </c>
      <c r="Q336" s="2">
        <f t="shared" si="101"/>
        <v>400000</v>
      </c>
      <c r="R336" s="2">
        <f t="shared" si="96"/>
        <v>400000</v>
      </c>
    </row>
    <row r="337" spans="1:18" s="11" customFormat="1" ht="24" x14ac:dyDescent="0.2">
      <c r="A337" s="55"/>
      <c r="B337" s="56"/>
      <c r="C337" s="56"/>
      <c r="D337" s="30" t="s">
        <v>349</v>
      </c>
      <c r="E337" s="5">
        <v>16750</v>
      </c>
      <c r="F337" s="12">
        <f t="shared" si="143"/>
        <v>0</v>
      </c>
      <c r="G337" s="5"/>
      <c r="H337" s="5"/>
      <c r="I337" s="5">
        <f t="shared" si="135"/>
        <v>16750</v>
      </c>
      <c r="J337" s="5">
        <v>0</v>
      </c>
      <c r="K337" s="5">
        <f t="shared" si="144"/>
        <v>0</v>
      </c>
      <c r="L337" s="5"/>
      <c r="M337" s="5"/>
      <c r="N337" s="5"/>
      <c r="O337" s="5">
        <f t="shared" si="141"/>
        <v>0</v>
      </c>
      <c r="P337" s="2">
        <f t="shared" si="100"/>
        <v>16750</v>
      </c>
      <c r="Q337" s="2">
        <f t="shared" si="101"/>
        <v>0</v>
      </c>
      <c r="R337" s="2">
        <f t="shared" si="96"/>
        <v>16750</v>
      </c>
    </row>
    <row r="338" spans="1:18" s="4" customFormat="1" ht="38.25" x14ac:dyDescent="0.2">
      <c r="A338" s="15" t="s">
        <v>192</v>
      </c>
      <c r="B338" s="1"/>
      <c r="C338" s="1"/>
      <c r="D338" s="54" t="s">
        <v>353</v>
      </c>
      <c r="E338" s="2">
        <f>E340+E341+E342+E345+E348+E349</f>
        <v>9050000</v>
      </c>
      <c r="F338" s="12">
        <f t="shared" si="143"/>
        <v>0</v>
      </c>
      <c r="G338" s="2">
        <f>G340+G341+G342+G345+G348+G349</f>
        <v>0</v>
      </c>
      <c r="H338" s="2">
        <f t="shared" ref="H338:O338" si="145">H340+H341+H342+H345+H348+H349</f>
        <v>0</v>
      </c>
      <c r="I338" s="5">
        <f t="shared" si="135"/>
        <v>9050000</v>
      </c>
      <c r="J338" s="2">
        <f>J340+J341+J342+J345+J348+J349</f>
        <v>25400000</v>
      </c>
      <c r="K338" s="2">
        <f>K340+K341+K342+K345+K348+K349</f>
        <v>600000</v>
      </c>
      <c r="L338" s="2">
        <f t="shared" si="145"/>
        <v>600000</v>
      </c>
      <c r="M338" s="2">
        <f t="shared" si="145"/>
        <v>0</v>
      </c>
      <c r="N338" s="2">
        <f t="shared" si="145"/>
        <v>600000</v>
      </c>
      <c r="O338" s="2">
        <f t="shared" si="145"/>
        <v>26000000</v>
      </c>
      <c r="P338" s="2">
        <f t="shared" si="100"/>
        <v>34450000</v>
      </c>
      <c r="Q338" s="2">
        <f t="shared" si="101"/>
        <v>600000</v>
      </c>
      <c r="R338" s="2">
        <f t="shared" si="96"/>
        <v>35050000</v>
      </c>
    </row>
    <row r="339" spans="1:18" s="4" customFormat="1" ht="38.25" x14ac:dyDescent="0.2">
      <c r="A339" s="15" t="s">
        <v>184</v>
      </c>
      <c r="B339" s="1"/>
      <c r="C339" s="1"/>
      <c r="D339" s="54" t="s">
        <v>353</v>
      </c>
      <c r="E339" s="2"/>
      <c r="F339" s="12">
        <f t="shared" si="143"/>
        <v>0</v>
      </c>
      <c r="G339" s="2"/>
      <c r="H339" s="2"/>
      <c r="I339" s="5">
        <f t="shared" si="135"/>
        <v>0</v>
      </c>
      <c r="J339" s="5">
        <v>0</v>
      </c>
      <c r="K339" s="5">
        <f t="shared" ref="K339:K348" si="146">M339+N339</f>
        <v>0</v>
      </c>
      <c r="L339" s="2"/>
      <c r="M339" s="2"/>
      <c r="N339" s="2"/>
      <c r="O339" s="2">
        <f t="shared" si="141"/>
        <v>0</v>
      </c>
      <c r="P339" s="2">
        <f t="shared" si="100"/>
        <v>0</v>
      </c>
      <c r="Q339" s="2">
        <f t="shared" si="101"/>
        <v>0</v>
      </c>
      <c r="R339" s="2">
        <f t="shared" ref="R339:R407" si="147">I339+O339</f>
        <v>0</v>
      </c>
    </row>
    <row r="340" spans="1:18" s="11" customFormat="1" ht="36" x14ac:dyDescent="0.2">
      <c r="A340" s="55" t="s">
        <v>185</v>
      </c>
      <c r="B340" s="56" t="s">
        <v>60</v>
      </c>
      <c r="C340" s="56" t="s">
        <v>21</v>
      </c>
      <c r="D340" s="16" t="s">
        <v>447</v>
      </c>
      <c r="E340" s="5">
        <v>5950000</v>
      </c>
      <c r="F340" s="12">
        <f t="shared" si="143"/>
        <v>640000</v>
      </c>
      <c r="G340" s="5">
        <v>640000</v>
      </c>
      <c r="H340" s="5"/>
      <c r="I340" s="5">
        <f t="shared" si="135"/>
        <v>6590000</v>
      </c>
      <c r="J340" s="5">
        <v>0</v>
      </c>
      <c r="K340" s="5">
        <f t="shared" si="146"/>
        <v>0</v>
      </c>
      <c r="L340" s="5"/>
      <c r="M340" s="5"/>
      <c r="N340" s="5"/>
      <c r="O340" s="5">
        <f t="shared" si="141"/>
        <v>0</v>
      </c>
      <c r="P340" s="2">
        <f t="shared" si="100"/>
        <v>5950000</v>
      </c>
      <c r="Q340" s="2">
        <f t="shared" si="101"/>
        <v>640000</v>
      </c>
      <c r="R340" s="2">
        <f t="shared" si="147"/>
        <v>6590000</v>
      </c>
    </row>
    <row r="341" spans="1:18" s="11" customFormat="1" ht="24" x14ac:dyDescent="0.2">
      <c r="A341" s="55" t="s">
        <v>269</v>
      </c>
      <c r="B341" s="56" t="s">
        <v>270</v>
      </c>
      <c r="C341" s="56" t="s">
        <v>24</v>
      </c>
      <c r="D341" s="16" t="s">
        <v>98</v>
      </c>
      <c r="E341" s="5">
        <v>1000000</v>
      </c>
      <c r="F341" s="12">
        <f t="shared" si="143"/>
        <v>0</v>
      </c>
      <c r="G341" s="5"/>
      <c r="H341" s="5"/>
      <c r="I341" s="5">
        <f t="shared" si="135"/>
        <v>1000000</v>
      </c>
      <c r="J341" s="5">
        <v>0</v>
      </c>
      <c r="K341" s="5">
        <f t="shared" si="146"/>
        <v>0</v>
      </c>
      <c r="L341" s="5"/>
      <c r="M341" s="5"/>
      <c r="N341" s="5"/>
      <c r="O341" s="5">
        <f t="shared" si="141"/>
        <v>0</v>
      </c>
      <c r="P341" s="2">
        <f t="shared" si="100"/>
        <v>1000000</v>
      </c>
      <c r="Q341" s="2">
        <f t="shared" si="101"/>
        <v>0</v>
      </c>
      <c r="R341" s="2">
        <f t="shared" si="147"/>
        <v>1000000</v>
      </c>
    </row>
    <row r="342" spans="1:18" s="11" customFormat="1" ht="24" x14ac:dyDescent="0.2">
      <c r="A342" s="55" t="s">
        <v>191</v>
      </c>
      <c r="B342" s="56" t="s">
        <v>99</v>
      </c>
      <c r="C342" s="56" t="s">
        <v>25</v>
      </c>
      <c r="D342" s="16" t="s">
        <v>425</v>
      </c>
      <c r="E342" s="5">
        <f>E343+E344</f>
        <v>1100000</v>
      </c>
      <c r="F342" s="12">
        <f t="shared" si="143"/>
        <v>-220000</v>
      </c>
      <c r="G342" s="5">
        <f>G343+G344</f>
        <v>-220000</v>
      </c>
      <c r="H342" s="5"/>
      <c r="I342" s="5">
        <f t="shared" si="135"/>
        <v>880000</v>
      </c>
      <c r="J342" s="5">
        <v>0</v>
      </c>
      <c r="K342" s="5">
        <f t="shared" si="146"/>
        <v>0</v>
      </c>
      <c r="L342" s="5"/>
      <c r="M342" s="5"/>
      <c r="N342" s="5"/>
      <c r="O342" s="5">
        <f t="shared" si="141"/>
        <v>0</v>
      </c>
      <c r="P342" s="2">
        <f t="shared" si="100"/>
        <v>1100000</v>
      </c>
      <c r="Q342" s="2">
        <f t="shared" si="101"/>
        <v>-220000</v>
      </c>
      <c r="R342" s="2">
        <f t="shared" si="147"/>
        <v>880000</v>
      </c>
    </row>
    <row r="343" spans="1:18" s="11" customFormat="1" ht="36" x14ac:dyDescent="0.2">
      <c r="A343" s="55"/>
      <c r="B343" s="56"/>
      <c r="C343" s="56"/>
      <c r="D343" s="29" t="s">
        <v>647</v>
      </c>
      <c r="E343" s="5">
        <v>1000000</v>
      </c>
      <c r="F343" s="12">
        <f t="shared" si="143"/>
        <v>-185000</v>
      </c>
      <c r="G343" s="5">
        <f>-185000</f>
        <v>-185000</v>
      </c>
      <c r="H343" s="5"/>
      <c r="I343" s="5">
        <f t="shared" si="135"/>
        <v>815000</v>
      </c>
      <c r="J343" s="5">
        <v>0</v>
      </c>
      <c r="K343" s="5">
        <f t="shared" si="146"/>
        <v>0</v>
      </c>
      <c r="L343" s="5"/>
      <c r="M343" s="5"/>
      <c r="N343" s="5"/>
      <c r="O343" s="5">
        <f t="shared" si="141"/>
        <v>0</v>
      </c>
      <c r="P343" s="2">
        <f t="shared" si="100"/>
        <v>1000000</v>
      </c>
      <c r="Q343" s="2">
        <f t="shared" si="101"/>
        <v>-185000</v>
      </c>
      <c r="R343" s="2">
        <f t="shared" si="147"/>
        <v>815000</v>
      </c>
    </row>
    <row r="344" spans="1:18" s="11" customFormat="1" ht="36" x14ac:dyDescent="0.2">
      <c r="A344" s="55"/>
      <c r="B344" s="56"/>
      <c r="C344" s="56"/>
      <c r="D344" s="16" t="s">
        <v>426</v>
      </c>
      <c r="E344" s="5">
        <v>100000</v>
      </c>
      <c r="F344" s="12">
        <f t="shared" si="143"/>
        <v>-35000</v>
      </c>
      <c r="G344" s="5">
        <v>-35000</v>
      </c>
      <c r="H344" s="5"/>
      <c r="I344" s="5">
        <f t="shared" si="135"/>
        <v>65000</v>
      </c>
      <c r="J344" s="5">
        <v>0</v>
      </c>
      <c r="K344" s="5">
        <f t="shared" si="146"/>
        <v>0</v>
      </c>
      <c r="L344" s="5"/>
      <c r="M344" s="5"/>
      <c r="N344" s="5"/>
      <c r="O344" s="5">
        <f t="shared" si="141"/>
        <v>0</v>
      </c>
      <c r="P344" s="2">
        <f t="shared" si="100"/>
        <v>100000</v>
      </c>
      <c r="Q344" s="2">
        <f t="shared" si="101"/>
        <v>-35000</v>
      </c>
      <c r="R344" s="2">
        <f t="shared" si="147"/>
        <v>65000</v>
      </c>
    </row>
    <row r="345" spans="1:18" s="11" customFormat="1" ht="12.75" x14ac:dyDescent="0.2">
      <c r="A345" s="55" t="s">
        <v>187</v>
      </c>
      <c r="B345" s="56" t="s">
        <v>188</v>
      </c>
      <c r="C345" s="56" t="s">
        <v>183</v>
      </c>
      <c r="D345" s="18" t="s">
        <v>427</v>
      </c>
      <c r="E345" s="5">
        <f>E346+E347</f>
        <v>500000</v>
      </c>
      <c r="F345" s="12">
        <f t="shared" si="143"/>
        <v>-420000</v>
      </c>
      <c r="G345" s="5">
        <f>G346+G347</f>
        <v>-420000</v>
      </c>
      <c r="H345" s="5"/>
      <c r="I345" s="5">
        <f t="shared" si="135"/>
        <v>80000</v>
      </c>
      <c r="J345" s="5">
        <v>0</v>
      </c>
      <c r="K345" s="5">
        <f t="shared" si="146"/>
        <v>0</v>
      </c>
      <c r="L345" s="5"/>
      <c r="M345" s="5"/>
      <c r="N345" s="5"/>
      <c r="O345" s="5">
        <f t="shared" si="141"/>
        <v>0</v>
      </c>
      <c r="P345" s="2">
        <f t="shared" si="100"/>
        <v>500000</v>
      </c>
      <c r="Q345" s="2">
        <f t="shared" si="101"/>
        <v>-420000</v>
      </c>
      <c r="R345" s="2">
        <f t="shared" si="147"/>
        <v>80000</v>
      </c>
    </row>
    <row r="346" spans="1:18" s="11" customFormat="1" ht="36" x14ac:dyDescent="0.2">
      <c r="A346" s="55"/>
      <c r="B346" s="56"/>
      <c r="C346" s="56"/>
      <c r="D346" s="18" t="s">
        <v>428</v>
      </c>
      <c r="E346" s="5">
        <v>100000</v>
      </c>
      <c r="F346" s="12">
        <f t="shared" si="143"/>
        <v>-20000</v>
      </c>
      <c r="G346" s="5">
        <v>-20000</v>
      </c>
      <c r="H346" s="5"/>
      <c r="I346" s="5">
        <f t="shared" si="135"/>
        <v>80000</v>
      </c>
      <c r="J346" s="5">
        <v>0</v>
      </c>
      <c r="K346" s="5">
        <f t="shared" si="146"/>
        <v>0</v>
      </c>
      <c r="L346" s="5"/>
      <c r="M346" s="5"/>
      <c r="N346" s="5"/>
      <c r="O346" s="5">
        <f t="shared" si="141"/>
        <v>0</v>
      </c>
      <c r="P346" s="2">
        <f t="shared" si="100"/>
        <v>100000</v>
      </c>
      <c r="Q346" s="2">
        <f t="shared" si="101"/>
        <v>-20000</v>
      </c>
      <c r="R346" s="2">
        <f t="shared" si="147"/>
        <v>80000</v>
      </c>
    </row>
    <row r="347" spans="1:18" s="11" customFormat="1" ht="48" x14ac:dyDescent="0.2">
      <c r="A347" s="55"/>
      <c r="B347" s="56"/>
      <c r="C347" s="56"/>
      <c r="D347" s="18" t="s">
        <v>429</v>
      </c>
      <c r="E347" s="5">
        <v>400000</v>
      </c>
      <c r="F347" s="12">
        <f t="shared" si="143"/>
        <v>-400000</v>
      </c>
      <c r="G347" s="5">
        <f>-400000</f>
        <v>-400000</v>
      </c>
      <c r="H347" s="5"/>
      <c r="I347" s="5">
        <f t="shared" si="135"/>
        <v>0</v>
      </c>
      <c r="J347" s="5">
        <v>0</v>
      </c>
      <c r="K347" s="5">
        <f t="shared" si="146"/>
        <v>0</v>
      </c>
      <c r="L347" s="5"/>
      <c r="M347" s="5"/>
      <c r="N347" s="5"/>
      <c r="O347" s="5">
        <f t="shared" si="141"/>
        <v>0</v>
      </c>
      <c r="P347" s="2">
        <f t="shared" si="100"/>
        <v>400000</v>
      </c>
      <c r="Q347" s="2">
        <f t="shared" si="101"/>
        <v>-400000</v>
      </c>
      <c r="R347" s="2">
        <f t="shared" si="147"/>
        <v>0</v>
      </c>
    </row>
    <row r="348" spans="1:18" s="11" customFormat="1" ht="24" x14ac:dyDescent="0.2">
      <c r="A348" s="55" t="s">
        <v>359</v>
      </c>
      <c r="B348" s="56" t="s">
        <v>78</v>
      </c>
      <c r="C348" s="56" t="s">
        <v>24</v>
      </c>
      <c r="D348" s="16" t="s">
        <v>9</v>
      </c>
      <c r="E348" s="5"/>
      <c r="F348" s="12">
        <f t="shared" si="143"/>
        <v>0</v>
      </c>
      <c r="G348" s="5"/>
      <c r="H348" s="5"/>
      <c r="I348" s="5">
        <f t="shared" si="135"/>
        <v>0</v>
      </c>
      <c r="J348" s="5">
        <v>20000000</v>
      </c>
      <c r="K348" s="5">
        <f t="shared" si="146"/>
        <v>0</v>
      </c>
      <c r="L348" s="5"/>
      <c r="M348" s="5"/>
      <c r="N348" s="5"/>
      <c r="O348" s="5">
        <f t="shared" si="141"/>
        <v>20000000</v>
      </c>
      <c r="P348" s="2">
        <f t="shared" si="100"/>
        <v>20000000</v>
      </c>
      <c r="Q348" s="2">
        <f t="shared" si="101"/>
        <v>0</v>
      </c>
      <c r="R348" s="2">
        <f t="shared" si="147"/>
        <v>20000000</v>
      </c>
    </row>
    <row r="349" spans="1:18" s="11" customFormat="1" ht="12.75" x14ac:dyDescent="0.2">
      <c r="A349" s="55" t="s">
        <v>186</v>
      </c>
      <c r="B349" s="55" t="s">
        <v>276</v>
      </c>
      <c r="C349" s="56" t="s">
        <v>24</v>
      </c>
      <c r="D349" s="19" t="s">
        <v>189</v>
      </c>
      <c r="E349" s="5">
        <f t="shared" ref="E349" si="148">E352+E351</f>
        <v>500000</v>
      </c>
      <c r="F349" s="12">
        <f t="shared" si="143"/>
        <v>0</v>
      </c>
      <c r="G349" s="5">
        <f t="shared" ref="G349:O349" si="149">G352+G351</f>
        <v>0</v>
      </c>
      <c r="H349" s="5">
        <f t="shared" si="149"/>
        <v>0</v>
      </c>
      <c r="I349" s="5">
        <f t="shared" si="135"/>
        <v>500000</v>
      </c>
      <c r="J349" s="5">
        <v>5400000</v>
      </c>
      <c r="K349" s="5">
        <f>K352+K351</f>
        <v>600000</v>
      </c>
      <c r="L349" s="5">
        <f>SUM(L350:L352)</f>
        <v>600000</v>
      </c>
      <c r="M349" s="5">
        <f t="shared" ref="M349:N349" si="150">SUM(M350:M352)</f>
        <v>0</v>
      </c>
      <c r="N349" s="5">
        <f t="shared" si="150"/>
        <v>600000</v>
      </c>
      <c r="O349" s="5">
        <f t="shared" si="149"/>
        <v>6000000</v>
      </c>
      <c r="P349" s="2">
        <f t="shared" si="100"/>
        <v>5900000</v>
      </c>
      <c r="Q349" s="2">
        <f t="shared" si="101"/>
        <v>600000</v>
      </c>
      <c r="R349" s="2">
        <f t="shared" si="147"/>
        <v>6500000</v>
      </c>
    </row>
    <row r="350" spans="1:18" s="11" customFormat="1" ht="12.75" x14ac:dyDescent="0.2">
      <c r="A350" s="55"/>
      <c r="B350" s="55"/>
      <c r="C350" s="56"/>
      <c r="D350" s="19" t="s">
        <v>190</v>
      </c>
      <c r="E350" s="5"/>
      <c r="F350" s="12">
        <f t="shared" si="143"/>
        <v>0</v>
      </c>
      <c r="G350" s="5"/>
      <c r="H350" s="5"/>
      <c r="I350" s="5">
        <f t="shared" si="135"/>
        <v>0</v>
      </c>
      <c r="J350" s="5">
        <v>0</v>
      </c>
      <c r="K350" s="5">
        <f t="shared" ref="K350:K352" si="151">M350+N350</f>
        <v>0</v>
      </c>
      <c r="L350" s="5"/>
      <c r="M350" s="5"/>
      <c r="N350" s="5"/>
      <c r="O350" s="5">
        <f t="shared" si="141"/>
        <v>0</v>
      </c>
      <c r="P350" s="2">
        <f t="shared" si="100"/>
        <v>0</v>
      </c>
      <c r="Q350" s="2">
        <f t="shared" si="101"/>
        <v>0</v>
      </c>
      <c r="R350" s="2">
        <f t="shared" si="147"/>
        <v>0</v>
      </c>
    </row>
    <row r="351" spans="1:18" s="11" customFormat="1" ht="36" x14ac:dyDescent="0.2">
      <c r="A351" s="55"/>
      <c r="B351" s="55"/>
      <c r="C351" s="56"/>
      <c r="D351" s="27" t="s">
        <v>471</v>
      </c>
      <c r="E351" s="5">
        <v>500000</v>
      </c>
      <c r="F351" s="12">
        <f t="shared" si="143"/>
        <v>0</v>
      </c>
      <c r="G351" s="5"/>
      <c r="H351" s="5"/>
      <c r="I351" s="5">
        <f t="shared" si="135"/>
        <v>500000</v>
      </c>
      <c r="J351" s="5">
        <v>5400000</v>
      </c>
      <c r="K351" s="5">
        <f t="shared" si="151"/>
        <v>600000</v>
      </c>
      <c r="L351" s="5">
        <f>600000</f>
        <v>600000</v>
      </c>
      <c r="M351" s="5"/>
      <c r="N351" s="5">
        <f>600000</f>
        <v>600000</v>
      </c>
      <c r="O351" s="5">
        <f t="shared" si="141"/>
        <v>6000000</v>
      </c>
      <c r="P351" s="2">
        <f t="shared" ref="P351:P420" si="152">E351+J351</f>
        <v>5900000</v>
      </c>
      <c r="Q351" s="2">
        <f t="shared" ref="Q351:Q420" si="153">F351+K351</f>
        <v>600000</v>
      </c>
      <c r="R351" s="2">
        <f t="shared" si="147"/>
        <v>6500000</v>
      </c>
    </row>
    <row r="352" spans="1:18" s="11" customFormat="1" ht="36" x14ac:dyDescent="0.2">
      <c r="A352" s="55"/>
      <c r="B352" s="55"/>
      <c r="C352" s="56"/>
      <c r="D352" s="19" t="s">
        <v>480</v>
      </c>
      <c r="E352" s="5"/>
      <c r="F352" s="12">
        <f t="shared" si="143"/>
        <v>0</v>
      </c>
      <c r="G352" s="5"/>
      <c r="H352" s="5"/>
      <c r="I352" s="5">
        <f t="shared" si="135"/>
        <v>0</v>
      </c>
      <c r="J352" s="5">
        <v>0</v>
      </c>
      <c r="K352" s="5">
        <f t="shared" si="151"/>
        <v>0</v>
      </c>
      <c r="L352" s="5"/>
      <c r="M352" s="5"/>
      <c r="N352" s="5"/>
      <c r="O352" s="5">
        <f t="shared" si="141"/>
        <v>0</v>
      </c>
      <c r="P352" s="2">
        <f t="shared" si="152"/>
        <v>0</v>
      </c>
      <c r="Q352" s="2">
        <f t="shared" si="153"/>
        <v>0</v>
      </c>
      <c r="R352" s="2">
        <f t="shared" si="147"/>
        <v>0</v>
      </c>
    </row>
    <row r="353" spans="1:18" s="4" customFormat="1" ht="25.5" x14ac:dyDescent="0.2">
      <c r="A353" s="15" t="s">
        <v>193</v>
      </c>
      <c r="B353" s="1"/>
      <c r="C353" s="1"/>
      <c r="D353" s="54" t="s">
        <v>329</v>
      </c>
      <c r="E353" s="2">
        <f>E355+E358+E356+E366+E359+E357</f>
        <v>23110000</v>
      </c>
      <c r="F353" s="12">
        <f t="shared" si="143"/>
        <v>789600</v>
      </c>
      <c r="G353" s="2">
        <f>G355+G358+G356+G366+G359+G357</f>
        <v>789600</v>
      </c>
      <c r="H353" s="2">
        <f>H355+H358+H356+H366+H359+H357</f>
        <v>0</v>
      </c>
      <c r="I353" s="5">
        <f t="shared" si="135"/>
        <v>23899600</v>
      </c>
      <c r="J353" s="2">
        <f>J355+J358+J356+J366+J359+J357+J362+J365</f>
        <v>5855657</v>
      </c>
      <c r="K353" s="2">
        <f>K355+K358+K356+K366+K359+K357+K362+K365</f>
        <v>447450</v>
      </c>
      <c r="L353" s="2">
        <f t="shared" ref="L353:O353" si="154">L355+L358+L356+L366+L359+L357+L362+L365</f>
        <v>447450</v>
      </c>
      <c r="M353" s="2">
        <f t="shared" si="154"/>
        <v>0</v>
      </c>
      <c r="N353" s="2">
        <f t="shared" si="154"/>
        <v>447450</v>
      </c>
      <c r="O353" s="2">
        <f t="shared" si="154"/>
        <v>6303107</v>
      </c>
      <c r="P353" s="2">
        <f t="shared" si="152"/>
        <v>28965657</v>
      </c>
      <c r="Q353" s="2">
        <f t="shared" si="153"/>
        <v>1237050</v>
      </c>
      <c r="R353" s="2">
        <f t="shared" si="147"/>
        <v>30202707</v>
      </c>
    </row>
    <row r="354" spans="1:18" s="4" customFormat="1" ht="25.5" x14ac:dyDescent="0.2">
      <c r="A354" s="15" t="s">
        <v>194</v>
      </c>
      <c r="B354" s="1"/>
      <c r="C354" s="1"/>
      <c r="D354" s="54" t="s">
        <v>329</v>
      </c>
      <c r="E354" s="2"/>
      <c r="F354" s="12">
        <f t="shared" si="143"/>
        <v>0</v>
      </c>
      <c r="G354" s="2"/>
      <c r="H354" s="2"/>
      <c r="I354" s="5">
        <f t="shared" si="135"/>
        <v>0</v>
      </c>
      <c r="J354" s="5">
        <v>0</v>
      </c>
      <c r="K354" s="5">
        <f t="shared" ref="K354:K366" si="155">M354+N354</f>
        <v>0</v>
      </c>
      <c r="L354" s="2"/>
      <c r="M354" s="2"/>
      <c r="N354" s="2"/>
      <c r="O354" s="2">
        <f t="shared" si="141"/>
        <v>0</v>
      </c>
      <c r="P354" s="2">
        <f t="shared" si="152"/>
        <v>0</v>
      </c>
      <c r="Q354" s="2">
        <f t="shared" si="153"/>
        <v>0</v>
      </c>
      <c r="R354" s="2">
        <f t="shared" si="147"/>
        <v>0</v>
      </c>
    </row>
    <row r="355" spans="1:18" s="11" customFormat="1" ht="36" x14ac:dyDescent="0.2">
      <c r="A355" s="55" t="s">
        <v>195</v>
      </c>
      <c r="B355" s="56" t="s">
        <v>60</v>
      </c>
      <c r="C355" s="56" t="s">
        <v>21</v>
      </c>
      <c r="D355" s="16" t="s">
        <v>447</v>
      </c>
      <c r="E355" s="5">
        <v>15050000</v>
      </c>
      <c r="F355" s="12">
        <f t="shared" si="143"/>
        <v>500000</v>
      </c>
      <c r="G355" s="5">
        <v>500000</v>
      </c>
      <c r="H355" s="5"/>
      <c r="I355" s="5">
        <f t="shared" si="135"/>
        <v>15550000</v>
      </c>
      <c r="J355" s="5">
        <v>0</v>
      </c>
      <c r="K355" s="5">
        <f t="shared" si="155"/>
        <v>0</v>
      </c>
      <c r="L355" s="5"/>
      <c r="M355" s="5"/>
      <c r="N355" s="5"/>
      <c r="O355" s="5">
        <f t="shared" si="141"/>
        <v>0</v>
      </c>
      <c r="P355" s="2">
        <f t="shared" si="152"/>
        <v>15050000</v>
      </c>
      <c r="Q355" s="2">
        <f t="shared" si="153"/>
        <v>500000</v>
      </c>
      <c r="R355" s="2">
        <f t="shared" si="147"/>
        <v>15550000</v>
      </c>
    </row>
    <row r="356" spans="1:18" s="11" customFormat="1" ht="12.75" x14ac:dyDescent="0.2">
      <c r="A356" s="55" t="s">
        <v>200</v>
      </c>
      <c r="B356" s="56" t="s">
        <v>11</v>
      </c>
      <c r="C356" s="56" t="s">
        <v>13</v>
      </c>
      <c r="D356" s="16" t="s">
        <v>163</v>
      </c>
      <c r="E356" s="5">
        <v>60000</v>
      </c>
      <c r="F356" s="12">
        <f t="shared" si="143"/>
        <v>0</v>
      </c>
      <c r="G356" s="5"/>
      <c r="H356" s="5"/>
      <c r="I356" s="5">
        <f t="shared" si="135"/>
        <v>60000</v>
      </c>
      <c r="J356" s="5">
        <v>0</v>
      </c>
      <c r="K356" s="5">
        <f t="shared" si="155"/>
        <v>0</v>
      </c>
      <c r="L356" s="5"/>
      <c r="M356" s="5"/>
      <c r="N356" s="5"/>
      <c r="O356" s="5">
        <f t="shared" si="141"/>
        <v>0</v>
      </c>
      <c r="P356" s="2">
        <f t="shared" si="152"/>
        <v>60000</v>
      </c>
      <c r="Q356" s="2">
        <f t="shared" si="153"/>
        <v>0</v>
      </c>
      <c r="R356" s="2">
        <f t="shared" si="147"/>
        <v>60000</v>
      </c>
    </row>
    <row r="357" spans="1:18" s="11" customFormat="1" ht="12.75" x14ac:dyDescent="0.2">
      <c r="A357" s="55" t="s">
        <v>463</v>
      </c>
      <c r="B357" s="56" t="s">
        <v>464</v>
      </c>
      <c r="C357" s="56" t="s">
        <v>198</v>
      </c>
      <c r="D357" s="16" t="s">
        <v>465</v>
      </c>
      <c r="E357" s="5">
        <v>2500000</v>
      </c>
      <c r="F357" s="12">
        <f t="shared" si="143"/>
        <v>289600</v>
      </c>
      <c r="G357" s="5">
        <v>289600</v>
      </c>
      <c r="H357" s="5"/>
      <c r="I357" s="5">
        <f t="shared" si="135"/>
        <v>2789600</v>
      </c>
      <c r="J357" s="5">
        <v>0</v>
      </c>
      <c r="K357" s="5">
        <f t="shared" si="155"/>
        <v>0</v>
      </c>
      <c r="L357" s="5"/>
      <c r="M357" s="5"/>
      <c r="N357" s="5"/>
      <c r="O357" s="5">
        <f t="shared" si="141"/>
        <v>0</v>
      </c>
      <c r="P357" s="2">
        <f t="shared" si="152"/>
        <v>2500000</v>
      </c>
      <c r="Q357" s="2">
        <f t="shared" si="153"/>
        <v>289600</v>
      </c>
      <c r="R357" s="2">
        <f t="shared" si="147"/>
        <v>2789600</v>
      </c>
    </row>
    <row r="358" spans="1:18" s="11" customFormat="1" ht="12.75" x14ac:dyDescent="0.2">
      <c r="A358" s="55" t="s">
        <v>196</v>
      </c>
      <c r="B358" s="56" t="s">
        <v>197</v>
      </c>
      <c r="C358" s="56" t="s">
        <v>198</v>
      </c>
      <c r="D358" s="16" t="s">
        <v>199</v>
      </c>
      <c r="E358" s="5">
        <v>500000</v>
      </c>
      <c r="F358" s="12">
        <f t="shared" si="143"/>
        <v>0</v>
      </c>
      <c r="G358" s="5"/>
      <c r="H358" s="5"/>
      <c r="I358" s="5">
        <f t="shared" si="135"/>
        <v>500000</v>
      </c>
      <c r="J358" s="5">
        <v>0</v>
      </c>
      <c r="K358" s="5">
        <f t="shared" si="155"/>
        <v>0</v>
      </c>
      <c r="L358" s="5"/>
      <c r="M358" s="5"/>
      <c r="N358" s="5"/>
      <c r="O358" s="5">
        <f t="shared" si="141"/>
        <v>0</v>
      </c>
      <c r="P358" s="2">
        <f t="shared" si="152"/>
        <v>500000</v>
      </c>
      <c r="Q358" s="2">
        <f t="shared" si="153"/>
        <v>0</v>
      </c>
      <c r="R358" s="2">
        <f t="shared" si="147"/>
        <v>500000</v>
      </c>
    </row>
    <row r="359" spans="1:18" s="11" customFormat="1" ht="12.75" x14ac:dyDescent="0.2">
      <c r="A359" s="55" t="s">
        <v>462</v>
      </c>
      <c r="B359" s="56" t="s">
        <v>423</v>
      </c>
      <c r="C359" s="56" t="s">
        <v>198</v>
      </c>
      <c r="D359" s="16" t="s">
        <v>424</v>
      </c>
      <c r="E359" s="5">
        <v>5000000</v>
      </c>
      <c r="F359" s="12">
        <f t="shared" si="143"/>
        <v>0</v>
      </c>
      <c r="G359" s="5">
        <f>-49000+49000</f>
        <v>0</v>
      </c>
      <c r="H359" s="5"/>
      <c r="I359" s="5">
        <f t="shared" si="135"/>
        <v>5000000</v>
      </c>
      <c r="J359" s="5">
        <v>0</v>
      </c>
      <c r="K359" s="5">
        <f t="shared" si="155"/>
        <v>0</v>
      </c>
      <c r="L359" s="5"/>
      <c r="M359" s="5"/>
      <c r="N359" s="5"/>
      <c r="O359" s="5">
        <f t="shared" si="141"/>
        <v>0</v>
      </c>
      <c r="P359" s="2">
        <f t="shared" si="152"/>
        <v>5000000</v>
      </c>
      <c r="Q359" s="2">
        <f t="shared" si="153"/>
        <v>0</v>
      </c>
      <c r="R359" s="2">
        <f t="shared" si="147"/>
        <v>5000000</v>
      </c>
    </row>
    <row r="360" spans="1:18" s="11" customFormat="1" ht="12.75" x14ac:dyDescent="0.2">
      <c r="A360" s="55"/>
      <c r="B360" s="56"/>
      <c r="C360" s="56"/>
      <c r="D360" s="19" t="s">
        <v>190</v>
      </c>
      <c r="E360" s="5"/>
      <c r="F360" s="12">
        <f t="shared" si="143"/>
        <v>0</v>
      </c>
      <c r="G360" s="5"/>
      <c r="H360" s="5"/>
      <c r="I360" s="5">
        <f t="shared" si="135"/>
        <v>0</v>
      </c>
      <c r="J360" s="5">
        <v>0</v>
      </c>
      <c r="K360" s="5">
        <f t="shared" si="155"/>
        <v>0</v>
      </c>
      <c r="L360" s="5"/>
      <c r="M360" s="5"/>
      <c r="N360" s="5"/>
      <c r="O360" s="5">
        <f t="shared" si="141"/>
        <v>0</v>
      </c>
      <c r="P360" s="2">
        <f t="shared" si="152"/>
        <v>0</v>
      </c>
      <c r="Q360" s="2">
        <f t="shared" si="153"/>
        <v>0</v>
      </c>
      <c r="R360" s="2">
        <f t="shared" si="147"/>
        <v>0</v>
      </c>
    </row>
    <row r="361" spans="1:18" s="11" customFormat="1" ht="12.75" x14ac:dyDescent="0.2">
      <c r="A361" s="55"/>
      <c r="B361" s="56"/>
      <c r="C361" s="56"/>
      <c r="D361" s="19" t="s">
        <v>482</v>
      </c>
      <c r="E361" s="5">
        <v>5000000</v>
      </c>
      <c r="F361" s="12">
        <f t="shared" si="143"/>
        <v>0</v>
      </c>
      <c r="G361" s="5"/>
      <c r="H361" s="5"/>
      <c r="I361" s="5">
        <f t="shared" si="135"/>
        <v>5000000</v>
      </c>
      <c r="J361" s="5">
        <v>0</v>
      </c>
      <c r="K361" s="5">
        <f t="shared" si="155"/>
        <v>0</v>
      </c>
      <c r="L361" s="5"/>
      <c r="M361" s="5"/>
      <c r="N361" s="5"/>
      <c r="O361" s="5">
        <f t="shared" si="141"/>
        <v>0</v>
      </c>
      <c r="P361" s="2">
        <f t="shared" si="152"/>
        <v>5000000</v>
      </c>
      <c r="Q361" s="2">
        <f t="shared" si="153"/>
        <v>0</v>
      </c>
      <c r="R361" s="2">
        <f t="shared" si="147"/>
        <v>5000000</v>
      </c>
    </row>
    <row r="362" spans="1:18" s="11" customFormat="1" ht="24" x14ac:dyDescent="0.2">
      <c r="A362" s="55" t="s">
        <v>521</v>
      </c>
      <c r="B362" s="56" t="s">
        <v>78</v>
      </c>
      <c r="C362" s="56" t="s">
        <v>24</v>
      </c>
      <c r="D362" s="16" t="s">
        <v>9</v>
      </c>
      <c r="E362" s="5"/>
      <c r="F362" s="5">
        <f t="shared" ref="F362:F366" si="156">G362+H362</f>
        <v>0</v>
      </c>
      <c r="G362" s="5"/>
      <c r="H362" s="5"/>
      <c r="I362" s="5">
        <f t="shared" si="135"/>
        <v>0</v>
      </c>
      <c r="J362" s="5">
        <v>5255757</v>
      </c>
      <c r="K362" s="5">
        <f t="shared" si="155"/>
        <v>447450</v>
      </c>
      <c r="L362" s="5">
        <f>SUM(L363:L364)</f>
        <v>447450</v>
      </c>
      <c r="M362" s="5">
        <f t="shared" ref="M362:N362" si="157">SUM(M363:M364)</f>
        <v>0</v>
      </c>
      <c r="N362" s="5">
        <f t="shared" si="157"/>
        <v>447450</v>
      </c>
      <c r="O362" s="5">
        <f>K362+J362</f>
        <v>5703207</v>
      </c>
      <c r="P362" s="2">
        <f t="shared" si="152"/>
        <v>5255757</v>
      </c>
      <c r="Q362" s="2">
        <f t="shared" si="153"/>
        <v>447450</v>
      </c>
      <c r="R362" s="2">
        <f t="shared" si="147"/>
        <v>5703207</v>
      </c>
    </row>
    <row r="363" spans="1:18" s="11" customFormat="1" ht="12" x14ac:dyDescent="0.2">
      <c r="A363" s="55"/>
      <c r="B363" s="56"/>
      <c r="C363" s="56"/>
      <c r="D363" s="16" t="s">
        <v>574</v>
      </c>
      <c r="E363" s="5"/>
      <c r="F363" s="5"/>
      <c r="G363" s="5"/>
      <c r="H363" s="5"/>
      <c r="I363" s="5"/>
      <c r="J363" s="5">
        <v>0</v>
      </c>
      <c r="K363" s="5">
        <f t="shared" si="155"/>
        <v>0</v>
      </c>
      <c r="L363" s="5"/>
      <c r="M363" s="5"/>
      <c r="N363" s="5"/>
      <c r="O363" s="5">
        <f t="shared" ref="O363:O364" si="158">K363+J363</f>
        <v>0</v>
      </c>
      <c r="P363" s="2">
        <f t="shared" si="152"/>
        <v>0</v>
      </c>
      <c r="Q363" s="2">
        <f t="shared" si="153"/>
        <v>0</v>
      </c>
      <c r="R363" s="2">
        <f t="shared" si="147"/>
        <v>0</v>
      </c>
    </row>
    <row r="364" spans="1:18" s="11" customFormat="1" ht="12" x14ac:dyDescent="0.2">
      <c r="A364" s="55"/>
      <c r="B364" s="56"/>
      <c r="C364" s="56"/>
      <c r="D364" s="16" t="s">
        <v>482</v>
      </c>
      <c r="E364" s="5"/>
      <c r="F364" s="5"/>
      <c r="G364" s="5"/>
      <c r="H364" s="5"/>
      <c r="I364" s="5"/>
      <c r="J364" s="5">
        <v>5255757</v>
      </c>
      <c r="K364" s="5">
        <f t="shared" si="155"/>
        <v>447450</v>
      </c>
      <c r="L364" s="5">
        <f>447450</f>
        <v>447450</v>
      </c>
      <c r="M364" s="5"/>
      <c r="N364" s="5">
        <f>447450</f>
        <v>447450</v>
      </c>
      <c r="O364" s="5">
        <f t="shared" si="158"/>
        <v>5703207</v>
      </c>
      <c r="P364" s="2">
        <f t="shared" si="152"/>
        <v>5255757</v>
      </c>
      <c r="Q364" s="2">
        <f t="shared" si="153"/>
        <v>447450</v>
      </c>
      <c r="R364" s="2">
        <f t="shared" si="147"/>
        <v>5703207</v>
      </c>
    </row>
    <row r="365" spans="1:18" s="11" customFormat="1" ht="100.5" customHeight="1" x14ac:dyDescent="0.2">
      <c r="A365" s="55" t="s">
        <v>596</v>
      </c>
      <c r="B365" s="56" t="s">
        <v>259</v>
      </c>
      <c r="C365" s="56" t="s">
        <v>24</v>
      </c>
      <c r="D365" s="16" t="s">
        <v>260</v>
      </c>
      <c r="E365" s="5"/>
      <c r="F365" s="12">
        <f t="shared" si="156"/>
        <v>0</v>
      </c>
      <c r="G365" s="5"/>
      <c r="H365" s="5"/>
      <c r="I365" s="5">
        <f t="shared" si="135"/>
        <v>0</v>
      </c>
      <c r="J365" s="5">
        <v>100000</v>
      </c>
      <c r="K365" s="5">
        <f t="shared" si="155"/>
        <v>0</v>
      </c>
      <c r="L365" s="5"/>
      <c r="M365" s="5"/>
      <c r="N365" s="5"/>
      <c r="O365" s="5">
        <f t="shared" ref="O365" si="159">J365+K365</f>
        <v>100000</v>
      </c>
      <c r="P365" s="2">
        <f t="shared" si="152"/>
        <v>100000</v>
      </c>
      <c r="Q365" s="2">
        <f t="shared" si="153"/>
        <v>0</v>
      </c>
      <c r="R365" s="2">
        <f t="shared" si="147"/>
        <v>100000</v>
      </c>
    </row>
    <row r="366" spans="1:18" s="11" customFormat="1" ht="24" x14ac:dyDescent="0.2">
      <c r="A366" s="55" t="s">
        <v>311</v>
      </c>
      <c r="B366" s="56" t="s">
        <v>97</v>
      </c>
      <c r="C366" s="56" t="s">
        <v>15</v>
      </c>
      <c r="D366" s="16" t="s">
        <v>6</v>
      </c>
      <c r="E366" s="5"/>
      <c r="F366" s="5">
        <f t="shared" si="156"/>
        <v>0</v>
      </c>
      <c r="G366" s="5"/>
      <c r="H366" s="5"/>
      <c r="I366" s="5">
        <f t="shared" si="135"/>
        <v>0</v>
      </c>
      <c r="J366" s="5">
        <v>499900</v>
      </c>
      <c r="K366" s="5">
        <f t="shared" si="155"/>
        <v>0</v>
      </c>
      <c r="L366" s="5"/>
      <c r="M366" s="5"/>
      <c r="N366" s="5"/>
      <c r="O366" s="5">
        <f t="shared" si="141"/>
        <v>499900</v>
      </c>
      <c r="P366" s="2">
        <f t="shared" si="152"/>
        <v>499900</v>
      </c>
      <c r="Q366" s="2">
        <f t="shared" si="153"/>
        <v>0</v>
      </c>
      <c r="R366" s="2">
        <f t="shared" si="147"/>
        <v>499900</v>
      </c>
    </row>
    <row r="367" spans="1:18" s="4" customFormat="1" ht="38.25" x14ac:dyDescent="0.2">
      <c r="A367" s="15" t="s">
        <v>326</v>
      </c>
      <c r="B367" s="1"/>
      <c r="C367" s="1"/>
      <c r="D367" s="54" t="s">
        <v>330</v>
      </c>
      <c r="E367" s="2">
        <f t="shared" ref="E367" si="160">E369</f>
        <v>24121270</v>
      </c>
      <c r="F367" s="2">
        <f>F369</f>
        <v>3693054</v>
      </c>
      <c r="G367" s="2">
        <f t="shared" ref="G367:O367" si="161">G369</f>
        <v>3693054</v>
      </c>
      <c r="H367" s="2">
        <f t="shared" si="161"/>
        <v>0</v>
      </c>
      <c r="I367" s="5">
        <f t="shared" si="135"/>
        <v>27814324</v>
      </c>
      <c r="J367" s="2">
        <f t="shared" si="161"/>
        <v>178730</v>
      </c>
      <c r="K367" s="2">
        <f t="shared" si="161"/>
        <v>0</v>
      </c>
      <c r="L367" s="2">
        <f t="shared" si="161"/>
        <v>0</v>
      </c>
      <c r="M367" s="2">
        <f t="shared" si="161"/>
        <v>0</v>
      </c>
      <c r="N367" s="2">
        <f t="shared" si="161"/>
        <v>0</v>
      </c>
      <c r="O367" s="2">
        <f t="shared" si="161"/>
        <v>178730</v>
      </c>
      <c r="P367" s="2">
        <f t="shared" si="152"/>
        <v>24300000</v>
      </c>
      <c r="Q367" s="2">
        <f t="shared" si="153"/>
        <v>3693054</v>
      </c>
      <c r="R367" s="2">
        <f t="shared" si="147"/>
        <v>27993054</v>
      </c>
    </row>
    <row r="368" spans="1:18" s="4" customFormat="1" ht="38.25" x14ac:dyDescent="0.2">
      <c r="A368" s="15" t="s">
        <v>327</v>
      </c>
      <c r="B368" s="1"/>
      <c r="C368" s="1"/>
      <c r="D368" s="54" t="s">
        <v>330</v>
      </c>
      <c r="E368" s="2"/>
      <c r="F368" s="2"/>
      <c r="G368" s="2"/>
      <c r="H368" s="2"/>
      <c r="I368" s="5">
        <f t="shared" si="135"/>
        <v>0</v>
      </c>
      <c r="J368" s="5">
        <v>0</v>
      </c>
      <c r="K368" s="5">
        <f t="shared" ref="K368:K369" si="162">M368+N368</f>
        <v>0</v>
      </c>
      <c r="L368" s="2"/>
      <c r="M368" s="2"/>
      <c r="N368" s="2"/>
      <c r="O368" s="2">
        <f t="shared" si="141"/>
        <v>0</v>
      </c>
      <c r="P368" s="2">
        <f t="shared" si="152"/>
        <v>0</v>
      </c>
      <c r="Q368" s="2">
        <f t="shared" si="153"/>
        <v>0</v>
      </c>
      <c r="R368" s="2">
        <f t="shared" si="147"/>
        <v>0</v>
      </c>
    </row>
    <row r="369" spans="1:19" s="11" customFormat="1" ht="36" x14ac:dyDescent="0.2">
      <c r="A369" s="55" t="s">
        <v>328</v>
      </c>
      <c r="B369" s="56" t="s">
        <v>60</v>
      </c>
      <c r="C369" s="56" t="s">
        <v>21</v>
      </c>
      <c r="D369" s="16" t="s">
        <v>447</v>
      </c>
      <c r="E369" s="5">
        <v>24121270</v>
      </c>
      <c r="F369" s="5">
        <f>G369+H369</f>
        <v>3693054</v>
      </c>
      <c r="G369" s="5">
        <f>3623054+70000</f>
        <v>3693054</v>
      </c>
      <c r="H369" s="5"/>
      <c r="I369" s="5">
        <f t="shared" si="135"/>
        <v>27814324</v>
      </c>
      <c r="J369" s="5">
        <v>178730</v>
      </c>
      <c r="K369" s="5">
        <f t="shared" si="162"/>
        <v>0</v>
      </c>
      <c r="L369" s="5"/>
      <c r="M369" s="5"/>
      <c r="N369" s="5"/>
      <c r="O369" s="5">
        <f t="shared" si="141"/>
        <v>178730</v>
      </c>
      <c r="P369" s="2">
        <f t="shared" si="152"/>
        <v>24300000</v>
      </c>
      <c r="Q369" s="2">
        <f t="shared" si="153"/>
        <v>3693054</v>
      </c>
      <c r="R369" s="2">
        <f t="shared" si="147"/>
        <v>27993054</v>
      </c>
    </row>
    <row r="370" spans="1:19" s="4" customFormat="1" ht="25.5" x14ac:dyDescent="0.2">
      <c r="A370" s="15" t="s">
        <v>118</v>
      </c>
      <c r="B370" s="1"/>
      <c r="C370" s="1"/>
      <c r="D370" s="54" t="s">
        <v>363</v>
      </c>
      <c r="E370" s="2">
        <f>E372+E373+E381+E382+E383+E384+E396</f>
        <v>191536054</v>
      </c>
      <c r="F370" s="2">
        <f>F372+F373+F381+F382+F383+F384+F396</f>
        <v>-6385912.1500000004</v>
      </c>
      <c r="G370" s="2">
        <f>G372+G373+G381+G382+G383+G384+G396</f>
        <v>-6385912.1500000004</v>
      </c>
      <c r="H370" s="2">
        <f>H372+H373+H381+H382+H383+H384</f>
        <v>0</v>
      </c>
      <c r="I370" s="5">
        <f t="shared" si="135"/>
        <v>185150141.84999999</v>
      </c>
      <c r="J370" s="2">
        <f t="shared" ref="J370:O370" si="163">J372+J373+J381+J382+J383+J396+J384</f>
        <v>46782884</v>
      </c>
      <c r="K370" s="2">
        <f t="shared" si="163"/>
        <v>15805044</v>
      </c>
      <c r="L370" s="2">
        <f t="shared" si="163"/>
        <v>15505044</v>
      </c>
      <c r="M370" s="2">
        <f t="shared" si="163"/>
        <v>0</v>
      </c>
      <c r="N370" s="2">
        <f t="shared" si="163"/>
        <v>15805044</v>
      </c>
      <c r="O370" s="2">
        <f t="shared" si="163"/>
        <v>62587928</v>
      </c>
      <c r="P370" s="2">
        <f t="shared" si="152"/>
        <v>238318938</v>
      </c>
      <c r="Q370" s="2">
        <f t="shared" si="153"/>
        <v>9419131.8499999996</v>
      </c>
      <c r="R370" s="2">
        <f t="shared" si="147"/>
        <v>247738069.84999999</v>
      </c>
      <c r="S370" s="46"/>
    </row>
    <row r="371" spans="1:19" s="4" customFormat="1" ht="25.5" x14ac:dyDescent="0.2">
      <c r="A371" s="15" t="s">
        <v>119</v>
      </c>
      <c r="B371" s="1"/>
      <c r="C371" s="1"/>
      <c r="D371" s="54" t="s">
        <v>363</v>
      </c>
      <c r="E371" s="2"/>
      <c r="F371" s="5">
        <f t="shared" ref="F371:F382" si="164">G371+H371</f>
        <v>0</v>
      </c>
      <c r="G371" s="2"/>
      <c r="H371" s="2"/>
      <c r="I371" s="5">
        <f t="shared" si="135"/>
        <v>0</v>
      </c>
      <c r="J371" s="5">
        <v>0</v>
      </c>
      <c r="K371" s="5">
        <f t="shared" ref="K371:K372" si="165">M371+N371</f>
        <v>0</v>
      </c>
      <c r="L371" s="2"/>
      <c r="M371" s="2"/>
      <c r="N371" s="2"/>
      <c r="O371" s="2">
        <f t="shared" si="141"/>
        <v>0</v>
      </c>
      <c r="P371" s="2">
        <f t="shared" si="152"/>
        <v>0</v>
      </c>
      <c r="Q371" s="2">
        <f t="shared" si="153"/>
        <v>0</v>
      </c>
      <c r="R371" s="2">
        <f t="shared" si="147"/>
        <v>0</v>
      </c>
    </row>
    <row r="372" spans="1:19" s="11" customFormat="1" ht="36" x14ac:dyDescent="0.2">
      <c r="A372" s="55" t="s">
        <v>120</v>
      </c>
      <c r="B372" s="56" t="s">
        <v>60</v>
      </c>
      <c r="C372" s="56" t="s">
        <v>21</v>
      </c>
      <c r="D372" s="16" t="s">
        <v>447</v>
      </c>
      <c r="E372" s="5">
        <v>19092900</v>
      </c>
      <c r="F372" s="5">
        <f t="shared" si="164"/>
        <v>0</v>
      </c>
      <c r="G372" s="5"/>
      <c r="H372" s="5"/>
      <c r="I372" s="5">
        <f t="shared" si="135"/>
        <v>19092900</v>
      </c>
      <c r="J372" s="5">
        <v>0</v>
      </c>
      <c r="K372" s="5">
        <f t="shared" si="165"/>
        <v>230000</v>
      </c>
      <c r="L372" s="5">
        <f>230000</f>
        <v>230000</v>
      </c>
      <c r="M372" s="5"/>
      <c r="N372" s="5">
        <f>230000</f>
        <v>230000</v>
      </c>
      <c r="O372" s="5">
        <f t="shared" si="141"/>
        <v>230000</v>
      </c>
      <c r="P372" s="2">
        <f t="shared" si="152"/>
        <v>19092900</v>
      </c>
      <c r="Q372" s="2">
        <f t="shared" si="153"/>
        <v>230000</v>
      </c>
      <c r="R372" s="2">
        <f t="shared" si="147"/>
        <v>19322900</v>
      </c>
    </row>
    <row r="373" spans="1:19" s="11" customFormat="1" ht="12" x14ac:dyDescent="0.2">
      <c r="A373" s="55" t="s">
        <v>179</v>
      </c>
      <c r="B373" s="56" t="s">
        <v>11</v>
      </c>
      <c r="C373" s="56" t="s">
        <v>13</v>
      </c>
      <c r="D373" s="16" t="s">
        <v>180</v>
      </c>
      <c r="E373" s="5">
        <v>4737522</v>
      </c>
      <c r="F373" s="5">
        <f t="shared" si="164"/>
        <v>-2603590</v>
      </c>
      <c r="G373" s="5">
        <f>G375+G376+G377+G378+G379-1105000</f>
        <v>-2603590</v>
      </c>
      <c r="H373" s="5"/>
      <c r="I373" s="5">
        <f>E373+F373</f>
        <v>2133932</v>
      </c>
      <c r="J373" s="5">
        <v>14000000</v>
      </c>
      <c r="K373" s="5">
        <f>M373+N373</f>
        <v>5000000</v>
      </c>
      <c r="L373" s="5">
        <f>SUM(L374:L380)</f>
        <v>5000000</v>
      </c>
      <c r="M373" s="5">
        <f t="shared" ref="M373:N373" si="166">SUM(M374:M380)</f>
        <v>0</v>
      </c>
      <c r="N373" s="5">
        <f t="shared" si="166"/>
        <v>5000000</v>
      </c>
      <c r="O373" s="5">
        <f t="shared" ref="O373" si="167">K373+J373</f>
        <v>19000000</v>
      </c>
      <c r="P373" s="2">
        <f t="shared" si="152"/>
        <v>18737522</v>
      </c>
      <c r="Q373" s="2">
        <f t="shared" si="153"/>
        <v>2396410</v>
      </c>
      <c r="R373" s="2">
        <f t="shared" si="147"/>
        <v>21133932</v>
      </c>
    </row>
    <row r="374" spans="1:19" s="11" customFormat="1" ht="12" x14ac:dyDescent="0.2">
      <c r="A374" s="55"/>
      <c r="B374" s="56"/>
      <c r="C374" s="56"/>
      <c r="D374" s="16" t="s">
        <v>26</v>
      </c>
      <c r="E374" s="5"/>
      <c r="F374" s="5">
        <f t="shared" si="164"/>
        <v>0</v>
      </c>
      <c r="G374" s="5"/>
      <c r="H374" s="5"/>
      <c r="I374" s="5">
        <f t="shared" si="135"/>
        <v>0</v>
      </c>
      <c r="J374" s="5">
        <v>0</v>
      </c>
      <c r="K374" s="5">
        <f t="shared" ref="K374:K380" si="168">M374+N374</f>
        <v>0</v>
      </c>
      <c r="L374" s="5"/>
      <c r="M374" s="5"/>
      <c r="N374" s="5"/>
      <c r="O374" s="5">
        <f t="shared" si="141"/>
        <v>0</v>
      </c>
      <c r="P374" s="2">
        <f t="shared" si="152"/>
        <v>0</v>
      </c>
      <c r="Q374" s="2">
        <f t="shared" si="153"/>
        <v>0</v>
      </c>
      <c r="R374" s="2">
        <f t="shared" si="147"/>
        <v>0</v>
      </c>
    </row>
    <row r="375" spans="1:19" s="11" customFormat="1" ht="12" x14ac:dyDescent="0.2">
      <c r="A375" s="55"/>
      <c r="B375" s="56"/>
      <c r="C375" s="56"/>
      <c r="D375" s="18" t="s">
        <v>27</v>
      </c>
      <c r="E375" s="5">
        <v>200000</v>
      </c>
      <c r="F375" s="5">
        <f t="shared" si="164"/>
        <v>0</v>
      </c>
      <c r="G375" s="5"/>
      <c r="H375" s="5"/>
      <c r="I375" s="5">
        <f t="shared" si="135"/>
        <v>200000</v>
      </c>
      <c r="J375" s="5">
        <v>0</v>
      </c>
      <c r="K375" s="5">
        <f t="shared" si="168"/>
        <v>0</v>
      </c>
      <c r="L375" s="5"/>
      <c r="M375" s="5"/>
      <c r="N375" s="5"/>
      <c r="O375" s="5">
        <f t="shared" si="141"/>
        <v>0</v>
      </c>
      <c r="P375" s="2">
        <f t="shared" si="152"/>
        <v>200000</v>
      </c>
      <c r="Q375" s="2">
        <f t="shared" si="153"/>
        <v>0</v>
      </c>
      <c r="R375" s="2">
        <f t="shared" si="147"/>
        <v>200000</v>
      </c>
    </row>
    <row r="376" spans="1:19" s="11" customFormat="1" ht="36" x14ac:dyDescent="0.2">
      <c r="A376" s="55"/>
      <c r="B376" s="56"/>
      <c r="C376" s="56"/>
      <c r="D376" s="16" t="s">
        <v>319</v>
      </c>
      <c r="E376" s="5">
        <v>1835092</v>
      </c>
      <c r="F376" s="5">
        <f>G376+H376</f>
        <v>-10690</v>
      </c>
      <c r="G376" s="5">
        <f>-710690+700000</f>
        <v>-10690</v>
      </c>
      <c r="H376" s="5"/>
      <c r="I376" s="5">
        <f>E376+F376</f>
        <v>1824402</v>
      </c>
      <c r="J376" s="5">
        <v>0</v>
      </c>
      <c r="K376" s="5">
        <f t="shared" si="168"/>
        <v>0</v>
      </c>
      <c r="L376" s="5"/>
      <c r="M376" s="5"/>
      <c r="N376" s="5"/>
      <c r="O376" s="5">
        <f t="shared" si="141"/>
        <v>0</v>
      </c>
      <c r="P376" s="2">
        <f t="shared" si="152"/>
        <v>1835092</v>
      </c>
      <c r="Q376" s="2">
        <f t="shared" si="153"/>
        <v>-10690</v>
      </c>
      <c r="R376" s="2">
        <f t="shared" si="147"/>
        <v>1824402</v>
      </c>
    </row>
    <row r="377" spans="1:19" s="11" customFormat="1" ht="24" x14ac:dyDescent="0.2">
      <c r="A377" s="55"/>
      <c r="B377" s="56"/>
      <c r="C377" s="56"/>
      <c r="D377" s="16" t="s">
        <v>55</v>
      </c>
      <c r="E377" s="5">
        <v>1447330</v>
      </c>
      <c r="F377" s="5">
        <f t="shared" si="164"/>
        <v>-1438000</v>
      </c>
      <c r="G377" s="5">
        <f>-28000-310000-700000-300000-100000</f>
        <v>-1438000</v>
      </c>
      <c r="H377" s="5"/>
      <c r="I377" s="5">
        <f t="shared" si="135"/>
        <v>9330</v>
      </c>
      <c r="J377" s="5">
        <v>0</v>
      </c>
      <c r="K377" s="5">
        <f t="shared" si="168"/>
        <v>0</v>
      </c>
      <c r="L377" s="5"/>
      <c r="M377" s="5"/>
      <c r="N377" s="5"/>
      <c r="O377" s="5">
        <f t="shared" si="141"/>
        <v>0</v>
      </c>
      <c r="P377" s="2">
        <f t="shared" si="152"/>
        <v>1447330</v>
      </c>
      <c r="Q377" s="2">
        <f t="shared" si="153"/>
        <v>-1438000</v>
      </c>
      <c r="R377" s="2">
        <f t="shared" si="147"/>
        <v>9330</v>
      </c>
    </row>
    <row r="378" spans="1:19" s="11" customFormat="1" ht="14.25" customHeight="1" x14ac:dyDescent="0.2">
      <c r="A378" s="55"/>
      <c r="B378" s="56"/>
      <c r="C378" s="56"/>
      <c r="D378" s="16" t="s">
        <v>320</v>
      </c>
      <c r="E378" s="5">
        <v>150100</v>
      </c>
      <c r="F378" s="5">
        <f t="shared" si="164"/>
        <v>-49900</v>
      </c>
      <c r="G378" s="5">
        <v>-49900</v>
      </c>
      <c r="H378" s="5"/>
      <c r="I378" s="5">
        <f t="shared" si="135"/>
        <v>100200</v>
      </c>
      <c r="J378" s="5">
        <v>0</v>
      </c>
      <c r="K378" s="5">
        <f t="shared" si="168"/>
        <v>0</v>
      </c>
      <c r="L378" s="5"/>
      <c r="M378" s="5"/>
      <c r="N378" s="5"/>
      <c r="O378" s="5">
        <f t="shared" si="141"/>
        <v>0</v>
      </c>
      <c r="P378" s="2">
        <f t="shared" si="152"/>
        <v>150100</v>
      </c>
      <c r="Q378" s="2">
        <f t="shared" si="153"/>
        <v>-49900</v>
      </c>
      <c r="R378" s="2">
        <f t="shared" si="147"/>
        <v>100200</v>
      </c>
    </row>
    <row r="379" spans="1:19" s="11" customFormat="1" ht="84.75" customHeight="1" x14ac:dyDescent="0.2">
      <c r="A379" s="55"/>
      <c r="B379" s="56"/>
      <c r="C379" s="56"/>
      <c r="D379" s="16" t="s">
        <v>564</v>
      </c>
      <c r="E379" s="5"/>
      <c r="F379" s="5">
        <f t="shared" si="164"/>
        <v>0</v>
      </c>
      <c r="G379" s="5">
        <f>10037400-10037400</f>
        <v>0</v>
      </c>
      <c r="H379" s="5"/>
      <c r="I379" s="5">
        <f t="shared" si="135"/>
        <v>0</v>
      </c>
      <c r="J379" s="5">
        <v>0</v>
      </c>
      <c r="K379" s="5">
        <f t="shared" si="168"/>
        <v>0</v>
      </c>
      <c r="L379" s="5"/>
      <c r="M379" s="5"/>
      <c r="N379" s="5"/>
      <c r="O379" s="5">
        <f t="shared" si="141"/>
        <v>0</v>
      </c>
      <c r="P379" s="2">
        <f t="shared" si="152"/>
        <v>0</v>
      </c>
      <c r="Q379" s="2">
        <f t="shared" si="153"/>
        <v>0</v>
      </c>
      <c r="R379" s="2">
        <f t="shared" si="147"/>
        <v>0</v>
      </c>
    </row>
    <row r="380" spans="1:19" s="11" customFormat="1" ht="24" x14ac:dyDescent="0.2">
      <c r="A380" s="55"/>
      <c r="B380" s="56"/>
      <c r="C380" s="56"/>
      <c r="D380" s="16" t="s">
        <v>573</v>
      </c>
      <c r="E380" s="5"/>
      <c r="F380" s="5"/>
      <c r="G380" s="5"/>
      <c r="H380" s="5"/>
      <c r="I380" s="5"/>
      <c r="J380" s="5">
        <v>14000000</v>
      </c>
      <c r="K380" s="5">
        <f t="shared" si="168"/>
        <v>5000000</v>
      </c>
      <c r="L380" s="5">
        <f>5000000</f>
        <v>5000000</v>
      </c>
      <c r="M380" s="5"/>
      <c r="N380" s="5">
        <f>5000000</f>
        <v>5000000</v>
      </c>
      <c r="O380" s="5">
        <f t="shared" si="141"/>
        <v>19000000</v>
      </c>
      <c r="P380" s="2">
        <f t="shared" si="152"/>
        <v>14000000</v>
      </c>
      <c r="Q380" s="2">
        <f t="shared" si="153"/>
        <v>5000000</v>
      </c>
      <c r="R380" s="2">
        <f t="shared" si="147"/>
        <v>19000000</v>
      </c>
    </row>
    <row r="381" spans="1:19" s="11" customFormat="1" ht="12" x14ac:dyDescent="0.2">
      <c r="A381" s="55" t="s">
        <v>121</v>
      </c>
      <c r="B381" s="56" t="s">
        <v>100</v>
      </c>
      <c r="C381" s="56" t="s">
        <v>102</v>
      </c>
      <c r="D381" s="16" t="s">
        <v>101</v>
      </c>
      <c r="E381" s="5">
        <v>15000000</v>
      </c>
      <c r="F381" s="5">
        <f t="shared" si="164"/>
        <v>-2000000</v>
      </c>
      <c r="G381" s="5">
        <v>-2000000</v>
      </c>
      <c r="H381" s="5"/>
      <c r="I381" s="5">
        <f t="shared" si="135"/>
        <v>13000000</v>
      </c>
      <c r="J381" s="5">
        <v>0</v>
      </c>
      <c r="K381" s="5">
        <f t="shared" ref="K381:K415" si="169">M381+N381</f>
        <v>0</v>
      </c>
      <c r="L381" s="5"/>
      <c r="M381" s="5"/>
      <c r="N381" s="5"/>
      <c r="O381" s="5">
        <f t="shared" ref="O381:O415" si="170">K381+J381</f>
        <v>0</v>
      </c>
      <c r="P381" s="2">
        <f t="shared" si="152"/>
        <v>15000000</v>
      </c>
      <c r="Q381" s="2">
        <f t="shared" si="153"/>
        <v>-2000000</v>
      </c>
      <c r="R381" s="2">
        <f t="shared" si="147"/>
        <v>13000000</v>
      </c>
    </row>
    <row r="382" spans="1:19" s="11" customFormat="1" ht="12" x14ac:dyDescent="0.2">
      <c r="A382" s="55" t="s">
        <v>412</v>
      </c>
      <c r="B382" s="56" t="s">
        <v>410</v>
      </c>
      <c r="C382" s="56" t="s">
        <v>13</v>
      </c>
      <c r="D382" s="16" t="s">
        <v>411</v>
      </c>
      <c r="E382" s="5">
        <f>15000000-324665-516500-9154000</f>
        <v>5004835</v>
      </c>
      <c r="F382" s="5">
        <f t="shared" si="164"/>
        <v>0</v>
      </c>
      <c r="G382" s="5"/>
      <c r="H382" s="5"/>
      <c r="I382" s="5">
        <f t="shared" si="135"/>
        <v>5004835</v>
      </c>
      <c r="J382" s="5">
        <v>0</v>
      </c>
      <c r="K382" s="5">
        <f t="shared" si="169"/>
        <v>0</v>
      </c>
      <c r="L382" s="5"/>
      <c r="M382" s="5"/>
      <c r="N382" s="5"/>
      <c r="O382" s="5">
        <f t="shared" si="170"/>
        <v>0</v>
      </c>
      <c r="P382" s="2">
        <f t="shared" si="152"/>
        <v>5004835</v>
      </c>
      <c r="Q382" s="2">
        <f t="shared" si="153"/>
        <v>0</v>
      </c>
      <c r="R382" s="2">
        <f t="shared" si="147"/>
        <v>5004835</v>
      </c>
    </row>
    <row r="383" spans="1:19" s="11" customFormat="1" ht="12" x14ac:dyDescent="0.2">
      <c r="A383" s="55" t="s">
        <v>178</v>
      </c>
      <c r="B383" s="56" t="s">
        <v>103</v>
      </c>
      <c r="C383" s="56" t="s">
        <v>11</v>
      </c>
      <c r="D383" s="27" t="s">
        <v>12</v>
      </c>
      <c r="E383" s="5">
        <v>123992300</v>
      </c>
      <c r="F383" s="5">
        <f>G383+H383</f>
        <v>0</v>
      </c>
      <c r="G383" s="5"/>
      <c r="H383" s="5"/>
      <c r="I383" s="5">
        <f t="shared" si="135"/>
        <v>123992300</v>
      </c>
      <c r="J383" s="5">
        <v>0</v>
      </c>
      <c r="K383" s="5">
        <f t="shared" si="169"/>
        <v>0</v>
      </c>
      <c r="L383" s="5"/>
      <c r="M383" s="5"/>
      <c r="N383" s="5"/>
      <c r="O383" s="5">
        <f t="shared" si="170"/>
        <v>0</v>
      </c>
      <c r="P383" s="2">
        <f t="shared" si="152"/>
        <v>123992300</v>
      </c>
      <c r="Q383" s="2">
        <f t="shared" si="153"/>
        <v>0</v>
      </c>
      <c r="R383" s="2">
        <f t="shared" si="147"/>
        <v>123992300</v>
      </c>
    </row>
    <row r="384" spans="1:19" s="11" customFormat="1" ht="12" x14ac:dyDescent="0.2">
      <c r="A384" s="55" t="s">
        <v>550</v>
      </c>
      <c r="B384" s="56" t="s">
        <v>549</v>
      </c>
      <c r="C384" s="56" t="s">
        <v>11</v>
      </c>
      <c r="D384" s="27" t="s">
        <v>548</v>
      </c>
      <c r="E384" s="5">
        <f>E386+E387+E388+E393+E389+E390+E391+E392+E394+E395</f>
        <v>2726000</v>
      </c>
      <c r="F384" s="5">
        <f>G384+H384</f>
        <v>0</v>
      </c>
      <c r="G384" s="5">
        <f>G386+G387+G388+G393+G391+G394+G389+G390+G392+G395</f>
        <v>0</v>
      </c>
      <c r="H384" s="5"/>
      <c r="I384" s="5">
        <f t="shared" ref="I384:I411" si="171">E384+F384</f>
        <v>2726000</v>
      </c>
      <c r="J384" s="5">
        <v>2300000</v>
      </c>
      <c r="K384" s="5">
        <f>SUM(K385:K394)</f>
        <v>1065400</v>
      </c>
      <c r="L384" s="5">
        <f>SUM(L385:L394)</f>
        <v>1065400</v>
      </c>
      <c r="M384" s="5">
        <f t="shared" ref="M384:O384" si="172">SUM(M385:M394)</f>
        <v>0</v>
      </c>
      <c r="N384" s="5">
        <f t="shared" si="172"/>
        <v>1065400</v>
      </c>
      <c r="O384" s="5">
        <f t="shared" si="172"/>
        <v>3365400</v>
      </c>
      <c r="P384" s="2">
        <f t="shared" si="152"/>
        <v>5026000</v>
      </c>
      <c r="Q384" s="2">
        <f t="shared" si="153"/>
        <v>1065400</v>
      </c>
      <c r="R384" s="2">
        <f t="shared" si="147"/>
        <v>6091400</v>
      </c>
    </row>
    <row r="385" spans="1:18" s="11" customFormat="1" ht="12" x14ac:dyDescent="0.2">
      <c r="A385" s="55"/>
      <c r="B385" s="56"/>
      <c r="C385" s="56"/>
      <c r="D385" s="27" t="s">
        <v>551</v>
      </c>
      <c r="E385" s="5"/>
      <c r="F385" s="5"/>
      <c r="G385" s="5"/>
      <c r="H385" s="5"/>
      <c r="I385" s="5">
        <f t="shared" si="171"/>
        <v>0</v>
      </c>
      <c r="J385" s="5"/>
      <c r="K385" s="5"/>
      <c r="L385" s="5"/>
      <c r="M385" s="5"/>
      <c r="N385" s="5"/>
      <c r="O385" s="5"/>
      <c r="P385" s="2">
        <f t="shared" si="152"/>
        <v>0</v>
      </c>
      <c r="Q385" s="2">
        <f t="shared" si="153"/>
        <v>0</v>
      </c>
      <c r="R385" s="2">
        <f t="shared" si="147"/>
        <v>0</v>
      </c>
    </row>
    <row r="386" spans="1:18" s="11" customFormat="1" ht="35.450000000000003" customHeight="1" x14ac:dyDescent="0.2">
      <c r="A386" s="55"/>
      <c r="B386" s="56"/>
      <c r="C386" s="56"/>
      <c r="D386" s="27" t="s">
        <v>554</v>
      </c>
      <c r="E386" s="5">
        <v>1000000</v>
      </c>
      <c r="F386" s="5"/>
      <c r="G386" s="5"/>
      <c r="H386" s="5"/>
      <c r="I386" s="5">
        <f t="shared" si="171"/>
        <v>1000000</v>
      </c>
      <c r="J386" s="5">
        <v>0</v>
      </c>
      <c r="K386" s="5"/>
      <c r="L386" s="5"/>
      <c r="M386" s="5"/>
      <c r="N386" s="5"/>
      <c r="O386" s="5">
        <f t="shared" ref="O386:O392" si="173">J386+K386</f>
        <v>0</v>
      </c>
      <c r="P386" s="2">
        <f t="shared" si="152"/>
        <v>1000000</v>
      </c>
      <c r="Q386" s="2">
        <f t="shared" si="153"/>
        <v>0</v>
      </c>
      <c r="R386" s="2">
        <f t="shared" si="147"/>
        <v>1000000</v>
      </c>
    </row>
    <row r="387" spans="1:18" s="11" customFormat="1" ht="60" customHeight="1" x14ac:dyDescent="0.2">
      <c r="A387" s="55"/>
      <c r="B387" s="56"/>
      <c r="C387" s="56"/>
      <c r="D387" s="27" t="s">
        <v>552</v>
      </c>
      <c r="E387" s="5">
        <v>500000</v>
      </c>
      <c r="F387" s="5"/>
      <c r="G387" s="5"/>
      <c r="H387" s="5"/>
      <c r="I387" s="5">
        <f t="shared" si="171"/>
        <v>500000</v>
      </c>
      <c r="J387" s="5">
        <v>0</v>
      </c>
      <c r="K387" s="5"/>
      <c r="L387" s="5"/>
      <c r="M387" s="5"/>
      <c r="N387" s="5"/>
      <c r="O387" s="5">
        <f t="shared" si="173"/>
        <v>0</v>
      </c>
      <c r="P387" s="2">
        <f t="shared" si="152"/>
        <v>500000</v>
      </c>
      <c r="Q387" s="2">
        <f t="shared" si="153"/>
        <v>0</v>
      </c>
      <c r="R387" s="2">
        <f t="shared" si="147"/>
        <v>500000</v>
      </c>
    </row>
    <row r="388" spans="1:18" s="11" customFormat="1" ht="36" customHeight="1" x14ac:dyDescent="0.2">
      <c r="A388" s="55"/>
      <c r="B388" s="56"/>
      <c r="C388" s="56"/>
      <c r="D388" s="27" t="s">
        <v>553</v>
      </c>
      <c r="E388" s="5">
        <v>500000</v>
      </c>
      <c r="F388" s="5"/>
      <c r="G388" s="5"/>
      <c r="H388" s="5"/>
      <c r="I388" s="5">
        <f t="shared" si="171"/>
        <v>500000</v>
      </c>
      <c r="J388" s="5">
        <v>0</v>
      </c>
      <c r="K388" s="5">
        <f t="shared" si="169"/>
        <v>0</v>
      </c>
      <c r="L388" s="5"/>
      <c r="M388" s="5"/>
      <c r="N388" s="5"/>
      <c r="O388" s="5">
        <f t="shared" si="173"/>
        <v>0</v>
      </c>
      <c r="P388" s="2">
        <f t="shared" si="152"/>
        <v>500000</v>
      </c>
      <c r="Q388" s="2">
        <f t="shared" si="153"/>
        <v>0</v>
      </c>
      <c r="R388" s="2">
        <f t="shared" si="147"/>
        <v>500000</v>
      </c>
    </row>
    <row r="389" spans="1:18" s="11" customFormat="1" ht="48" x14ac:dyDescent="0.2">
      <c r="A389" s="55"/>
      <c r="B389" s="56"/>
      <c r="C389" s="56"/>
      <c r="D389" s="27" t="s">
        <v>660</v>
      </c>
      <c r="E389" s="5"/>
      <c r="F389" s="5"/>
      <c r="G389" s="5"/>
      <c r="H389" s="5"/>
      <c r="I389" s="5"/>
      <c r="J389" s="5"/>
      <c r="K389" s="5">
        <f t="shared" si="169"/>
        <v>300000</v>
      </c>
      <c r="L389" s="5">
        <v>300000</v>
      </c>
      <c r="M389" s="5"/>
      <c r="N389" s="5">
        <v>300000</v>
      </c>
      <c r="O389" s="5">
        <f t="shared" ref="O389:O390" si="174">J389+K389</f>
        <v>300000</v>
      </c>
      <c r="P389" s="2">
        <f t="shared" ref="P389:P390" si="175">E389+J389</f>
        <v>0</v>
      </c>
      <c r="Q389" s="2">
        <f t="shared" ref="Q389:Q390" si="176">F389+K389</f>
        <v>300000</v>
      </c>
      <c r="R389" s="2">
        <f t="shared" ref="R389:R390" si="177">I389+O389</f>
        <v>300000</v>
      </c>
    </row>
    <row r="390" spans="1:18" s="11" customFormat="1" ht="96" x14ac:dyDescent="0.2">
      <c r="A390" s="55"/>
      <c r="B390" s="56"/>
      <c r="C390" s="56"/>
      <c r="D390" s="27" t="s">
        <v>661</v>
      </c>
      <c r="E390" s="5"/>
      <c r="F390" s="5"/>
      <c r="G390" s="5"/>
      <c r="H390" s="5"/>
      <c r="I390" s="5"/>
      <c r="J390" s="5"/>
      <c r="K390" s="5">
        <f t="shared" si="169"/>
        <v>765400</v>
      </c>
      <c r="L390" s="5">
        <v>765400</v>
      </c>
      <c r="M390" s="5"/>
      <c r="N390" s="5">
        <v>765400</v>
      </c>
      <c r="O390" s="5">
        <f t="shared" si="174"/>
        <v>765400</v>
      </c>
      <c r="P390" s="2">
        <f t="shared" si="175"/>
        <v>0</v>
      </c>
      <c r="Q390" s="2">
        <f t="shared" si="176"/>
        <v>765400</v>
      </c>
      <c r="R390" s="2">
        <f t="shared" si="177"/>
        <v>765400</v>
      </c>
    </row>
    <row r="391" spans="1:18" s="11" customFormat="1" ht="60" x14ac:dyDescent="0.2">
      <c r="A391" s="55"/>
      <c r="B391" s="56"/>
      <c r="C391" s="56"/>
      <c r="D391" s="27" t="s">
        <v>597</v>
      </c>
      <c r="E391" s="5"/>
      <c r="F391" s="5"/>
      <c r="G391" s="5"/>
      <c r="H391" s="5"/>
      <c r="I391" s="5"/>
      <c r="J391" s="5">
        <v>500000</v>
      </c>
      <c r="K391" s="5">
        <f t="shared" si="169"/>
        <v>0</v>
      </c>
      <c r="L391" s="5"/>
      <c r="M391" s="5"/>
      <c r="N391" s="5"/>
      <c r="O391" s="5">
        <f t="shared" si="173"/>
        <v>500000</v>
      </c>
      <c r="P391" s="2">
        <f t="shared" si="152"/>
        <v>500000</v>
      </c>
      <c r="Q391" s="2">
        <f t="shared" si="153"/>
        <v>0</v>
      </c>
      <c r="R391" s="2">
        <f t="shared" si="147"/>
        <v>500000</v>
      </c>
    </row>
    <row r="392" spans="1:18" s="11" customFormat="1" ht="72" x14ac:dyDescent="0.2">
      <c r="A392" s="55"/>
      <c r="B392" s="56"/>
      <c r="C392" s="56"/>
      <c r="D392" s="27" t="s">
        <v>598</v>
      </c>
      <c r="E392" s="5"/>
      <c r="F392" s="5"/>
      <c r="G392" s="5"/>
      <c r="H392" s="5"/>
      <c r="I392" s="5"/>
      <c r="J392" s="5">
        <v>800000</v>
      </c>
      <c r="K392" s="5">
        <f t="shared" si="169"/>
        <v>0</v>
      </c>
      <c r="L392" s="5"/>
      <c r="M392" s="5"/>
      <c r="N392" s="5"/>
      <c r="O392" s="5">
        <f t="shared" si="173"/>
        <v>800000</v>
      </c>
      <c r="P392" s="2">
        <f t="shared" si="152"/>
        <v>800000</v>
      </c>
      <c r="Q392" s="2">
        <f t="shared" si="153"/>
        <v>0</v>
      </c>
      <c r="R392" s="2">
        <f t="shared" si="147"/>
        <v>800000</v>
      </c>
    </row>
    <row r="393" spans="1:18" s="11" customFormat="1" ht="36" customHeight="1" x14ac:dyDescent="0.2">
      <c r="A393" s="55"/>
      <c r="B393" s="56"/>
      <c r="C393" s="56"/>
      <c r="D393" s="27" t="s">
        <v>555</v>
      </c>
      <c r="E393" s="5"/>
      <c r="F393" s="5">
        <f>G393+H393</f>
        <v>0</v>
      </c>
      <c r="G393" s="5"/>
      <c r="H393" s="5"/>
      <c r="I393" s="5">
        <f t="shared" si="171"/>
        <v>0</v>
      </c>
      <c r="J393" s="5">
        <v>1000000</v>
      </c>
      <c r="K393" s="5">
        <f t="shared" si="169"/>
        <v>0</v>
      </c>
      <c r="L393" s="5"/>
      <c r="M393" s="5"/>
      <c r="N393" s="5"/>
      <c r="O393" s="5">
        <f>J393+K393</f>
        <v>1000000</v>
      </c>
      <c r="P393" s="2">
        <f t="shared" si="152"/>
        <v>1000000</v>
      </c>
      <c r="Q393" s="2">
        <f t="shared" si="153"/>
        <v>0</v>
      </c>
      <c r="R393" s="2">
        <f t="shared" si="147"/>
        <v>1000000</v>
      </c>
    </row>
    <row r="394" spans="1:18" s="11" customFormat="1" ht="36" customHeight="1" x14ac:dyDescent="0.2">
      <c r="A394" s="55"/>
      <c r="B394" s="56"/>
      <c r="C394" s="56"/>
      <c r="D394" s="27" t="s">
        <v>631</v>
      </c>
      <c r="E394" s="5">
        <v>226000</v>
      </c>
      <c r="F394" s="5">
        <f>G394</f>
        <v>0</v>
      </c>
      <c r="G394" s="5"/>
      <c r="H394" s="5"/>
      <c r="I394" s="5">
        <f t="shared" si="171"/>
        <v>226000</v>
      </c>
      <c r="J394" s="5"/>
      <c r="K394" s="5"/>
      <c r="L394" s="5"/>
      <c r="M394" s="5"/>
      <c r="N394" s="5"/>
      <c r="O394" s="5"/>
      <c r="P394" s="2">
        <f t="shared" si="152"/>
        <v>226000</v>
      </c>
      <c r="Q394" s="2">
        <f t="shared" si="153"/>
        <v>0</v>
      </c>
      <c r="R394" s="2">
        <f t="shared" si="147"/>
        <v>226000</v>
      </c>
    </row>
    <row r="395" spans="1:18" s="11" customFormat="1" ht="36" customHeight="1" x14ac:dyDescent="0.2">
      <c r="A395" s="55"/>
      <c r="B395" s="56"/>
      <c r="C395" s="56"/>
      <c r="D395" s="27" t="s">
        <v>663</v>
      </c>
      <c r="E395" s="5">
        <v>500000</v>
      </c>
      <c r="F395" s="5">
        <f>G395</f>
        <v>0</v>
      </c>
      <c r="G395" s="5"/>
      <c r="H395" s="5"/>
      <c r="I395" s="5">
        <f t="shared" si="171"/>
        <v>500000</v>
      </c>
      <c r="J395" s="5"/>
      <c r="K395" s="5"/>
      <c r="L395" s="5"/>
      <c r="M395" s="5"/>
      <c r="N395" s="5"/>
      <c r="O395" s="5"/>
      <c r="P395" s="2">
        <f t="shared" si="152"/>
        <v>500000</v>
      </c>
      <c r="Q395" s="2">
        <f t="shared" si="153"/>
        <v>0</v>
      </c>
      <c r="R395" s="2">
        <f t="shared" si="147"/>
        <v>500000</v>
      </c>
    </row>
    <row r="396" spans="1:18" s="11" customFormat="1" ht="36" x14ac:dyDescent="0.2">
      <c r="A396" s="39" t="s">
        <v>522</v>
      </c>
      <c r="B396" s="40" t="s">
        <v>523</v>
      </c>
      <c r="C396" s="39" t="s">
        <v>11</v>
      </c>
      <c r="D396" s="19" t="s">
        <v>524</v>
      </c>
      <c r="E396" s="5">
        <f>E397+E398+E399+E400+E401+E402+E403+E404+E405+E406+E407+E408+E409+E410+E411+E412+E413+E414+E415+E416+E417+E418+E419+E421+E423+E424+E425+E426+E427</f>
        <v>20982497</v>
      </c>
      <c r="F396" s="5">
        <f>G396</f>
        <v>-1782322.15</v>
      </c>
      <c r="G396" s="5">
        <f>G402+G403+G404+G405+G407+G408+G409+G410+G411++G412+G414+G415+G397+G416+G417+G418+G419+G427+G398+G420+G421+G423+G424+G425+G426</f>
        <v>-1782322.15</v>
      </c>
      <c r="H396" s="5"/>
      <c r="I396" s="5">
        <f t="shared" si="171"/>
        <v>19200174.850000001</v>
      </c>
      <c r="J396" s="5">
        <v>30482884</v>
      </c>
      <c r="K396" s="5">
        <f>M396+N396</f>
        <v>9509644</v>
      </c>
      <c r="L396" s="5">
        <f>SUM(L397:L427)</f>
        <v>9209644</v>
      </c>
      <c r="M396" s="5">
        <f t="shared" ref="M396:O396" si="178">SUM(M397:M427)</f>
        <v>0</v>
      </c>
      <c r="N396" s="5">
        <f>SUM(N397:N427)</f>
        <v>9509644</v>
      </c>
      <c r="O396" s="5">
        <f t="shared" si="178"/>
        <v>39992528</v>
      </c>
      <c r="P396" s="2">
        <f t="shared" si="152"/>
        <v>51465381</v>
      </c>
      <c r="Q396" s="2">
        <f t="shared" si="153"/>
        <v>7727321.8499999996</v>
      </c>
      <c r="R396" s="2">
        <f t="shared" si="147"/>
        <v>59192702.850000001</v>
      </c>
    </row>
    <row r="397" spans="1:18" s="11" customFormat="1" ht="72" x14ac:dyDescent="0.2">
      <c r="A397" s="39"/>
      <c r="B397" s="40"/>
      <c r="C397" s="39"/>
      <c r="D397" s="19" t="s">
        <v>559</v>
      </c>
      <c r="E397" s="5">
        <v>1000000</v>
      </c>
      <c r="F397" s="5">
        <f t="shared" ref="F397:F411" si="179">G397</f>
        <v>0</v>
      </c>
      <c r="G397" s="5"/>
      <c r="H397" s="5"/>
      <c r="I397" s="5">
        <f t="shared" si="171"/>
        <v>1000000</v>
      </c>
      <c r="J397" s="5"/>
      <c r="K397" s="5"/>
      <c r="L397" s="5"/>
      <c r="M397" s="5"/>
      <c r="N397" s="5"/>
      <c r="O397" s="5">
        <f t="shared" si="170"/>
        <v>0</v>
      </c>
      <c r="P397" s="2">
        <f t="shared" si="152"/>
        <v>1000000</v>
      </c>
      <c r="Q397" s="2">
        <f t="shared" si="153"/>
        <v>0</v>
      </c>
      <c r="R397" s="2">
        <f t="shared" si="147"/>
        <v>1000000</v>
      </c>
    </row>
    <row r="398" spans="1:18" s="11" customFormat="1" ht="119.45" customHeight="1" x14ac:dyDescent="0.2">
      <c r="A398" s="39"/>
      <c r="B398" s="40"/>
      <c r="C398" s="39"/>
      <c r="D398" s="65" t="s">
        <v>638</v>
      </c>
      <c r="E398" s="5">
        <v>300000</v>
      </c>
      <c r="F398" s="5">
        <f t="shared" si="179"/>
        <v>0</v>
      </c>
      <c r="G398" s="5"/>
      <c r="H398" s="5"/>
      <c r="I398" s="5">
        <f t="shared" si="171"/>
        <v>300000</v>
      </c>
      <c r="J398" s="5"/>
      <c r="K398" s="5">
        <f t="shared" si="169"/>
        <v>0</v>
      </c>
      <c r="L398" s="5"/>
      <c r="M398" s="5"/>
      <c r="N398" s="5"/>
      <c r="O398" s="5">
        <f t="shared" si="170"/>
        <v>0</v>
      </c>
      <c r="P398" s="2">
        <f t="shared" si="152"/>
        <v>300000</v>
      </c>
      <c r="Q398" s="2">
        <f t="shared" si="153"/>
        <v>0</v>
      </c>
      <c r="R398" s="2">
        <f t="shared" si="147"/>
        <v>300000</v>
      </c>
    </row>
    <row r="399" spans="1:18" s="11" customFormat="1" ht="72" x14ac:dyDescent="0.2">
      <c r="A399" s="39"/>
      <c r="B399" s="40"/>
      <c r="C399" s="39"/>
      <c r="D399" s="65" t="s">
        <v>654</v>
      </c>
      <c r="E399" s="5"/>
      <c r="F399" s="5"/>
      <c r="G399" s="5"/>
      <c r="H399" s="5"/>
      <c r="I399" s="5"/>
      <c r="J399" s="5"/>
      <c r="K399" s="5">
        <f t="shared" si="169"/>
        <v>300000</v>
      </c>
      <c r="L399" s="5"/>
      <c r="M399" s="5"/>
      <c r="N399" s="5">
        <f>300000</f>
        <v>300000</v>
      </c>
      <c r="O399" s="5">
        <f t="shared" si="170"/>
        <v>300000</v>
      </c>
      <c r="P399" s="2">
        <f t="shared" ref="P399" si="180">E399+J399</f>
        <v>0</v>
      </c>
      <c r="Q399" s="2">
        <f t="shared" ref="Q399" si="181">F399+K399</f>
        <v>300000</v>
      </c>
      <c r="R399" s="2">
        <f t="shared" ref="R399" si="182">I399+O399</f>
        <v>300000</v>
      </c>
    </row>
    <row r="400" spans="1:18" s="11" customFormat="1" ht="96" x14ac:dyDescent="0.2">
      <c r="A400" s="39"/>
      <c r="B400" s="40"/>
      <c r="C400" s="39"/>
      <c r="D400" s="19" t="s">
        <v>601</v>
      </c>
      <c r="E400" s="5"/>
      <c r="F400" s="5"/>
      <c r="G400" s="5"/>
      <c r="H400" s="5"/>
      <c r="I400" s="5"/>
      <c r="J400" s="5">
        <v>1500000</v>
      </c>
      <c r="K400" s="5">
        <f t="shared" si="169"/>
        <v>0</v>
      </c>
      <c r="L400" s="5"/>
      <c r="M400" s="5"/>
      <c r="N400" s="5"/>
      <c r="O400" s="5">
        <f t="shared" si="170"/>
        <v>1500000</v>
      </c>
      <c r="P400" s="2">
        <f t="shared" si="152"/>
        <v>1500000</v>
      </c>
      <c r="Q400" s="2">
        <f t="shared" si="153"/>
        <v>0</v>
      </c>
      <c r="R400" s="2">
        <f t="shared" si="147"/>
        <v>1500000</v>
      </c>
    </row>
    <row r="401" spans="1:18" s="11" customFormat="1" ht="96" x14ac:dyDescent="0.2">
      <c r="A401" s="39"/>
      <c r="B401" s="40"/>
      <c r="C401" s="39"/>
      <c r="D401" s="19" t="s">
        <v>600</v>
      </c>
      <c r="E401" s="5"/>
      <c r="F401" s="5"/>
      <c r="G401" s="5"/>
      <c r="H401" s="5"/>
      <c r="I401" s="5"/>
      <c r="J401" s="5">
        <v>2000000</v>
      </c>
      <c r="K401" s="5">
        <f t="shared" si="169"/>
        <v>0</v>
      </c>
      <c r="L401" s="5"/>
      <c r="M401" s="5"/>
      <c r="N401" s="5"/>
      <c r="O401" s="5">
        <f t="shared" si="170"/>
        <v>2000000</v>
      </c>
      <c r="P401" s="2">
        <f t="shared" si="152"/>
        <v>2000000</v>
      </c>
      <c r="Q401" s="2">
        <f t="shared" si="153"/>
        <v>0</v>
      </c>
      <c r="R401" s="2">
        <f t="shared" si="147"/>
        <v>2000000</v>
      </c>
    </row>
    <row r="402" spans="1:18" s="11" customFormat="1" ht="60" x14ac:dyDescent="0.2">
      <c r="A402" s="39"/>
      <c r="B402" s="40"/>
      <c r="C402" s="39"/>
      <c r="D402" s="19" t="s">
        <v>525</v>
      </c>
      <c r="E402" s="5"/>
      <c r="F402" s="5">
        <f t="shared" si="179"/>
        <v>0</v>
      </c>
      <c r="G402" s="5"/>
      <c r="H402" s="5"/>
      <c r="I402" s="5">
        <f t="shared" si="171"/>
        <v>0</v>
      </c>
      <c r="J402" s="5">
        <v>850000</v>
      </c>
      <c r="K402" s="5">
        <f t="shared" si="169"/>
        <v>0</v>
      </c>
      <c r="L402" s="5"/>
      <c r="M402" s="5"/>
      <c r="N402" s="5"/>
      <c r="O402" s="5">
        <f t="shared" si="170"/>
        <v>850000</v>
      </c>
      <c r="P402" s="2">
        <f t="shared" si="152"/>
        <v>850000</v>
      </c>
      <c r="Q402" s="2">
        <f t="shared" si="153"/>
        <v>0</v>
      </c>
      <c r="R402" s="2">
        <f t="shared" si="147"/>
        <v>850000</v>
      </c>
    </row>
    <row r="403" spans="1:18" s="11" customFormat="1" ht="60" x14ac:dyDescent="0.2">
      <c r="A403" s="39"/>
      <c r="B403" s="40"/>
      <c r="C403" s="39"/>
      <c r="D403" s="19" t="s">
        <v>526</v>
      </c>
      <c r="E403" s="5"/>
      <c r="F403" s="5">
        <f t="shared" si="179"/>
        <v>0</v>
      </c>
      <c r="G403" s="5"/>
      <c r="H403" s="5"/>
      <c r="I403" s="5">
        <f t="shared" si="171"/>
        <v>0</v>
      </c>
      <c r="J403" s="5">
        <v>2318200</v>
      </c>
      <c r="K403" s="5">
        <f t="shared" si="169"/>
        <v>822900</v>
      </c>
      <c r="L403" s="5">
        <f>822900</f>
        <v>822900</v>
      </c>
      <c r="M403" s="5"/>
      <c r="N403" s="5">
        <f>822900</f>
        <v>822900</v>
      </c>
      <c r="O403" s="5">
        <f t="shared" si="170"/>
        <v>3141100</v>
      </c>
      <c r="P403" s="2">
        <f t="shared" si="152"/>
        <v>2318200</v>
      </c>
      <c r="Q403" s="2">
        <f t="shared" si="153"/>
        <v>822900</v>
      </c>
      <c r="R403" s="2">
        <f t="shared" si="147"/>
        <v>3141100</v>
      </c>
    </row>
    <row r="404" spans="1:18" s="11" customFormat="1" ht="60" x14ac:dyDescent="0.2">
      <c r="A404" s="39"/>
      <c r="B404" s="40"/>
      <c r="C404" s="39"/>
      <c r="D404" s="19" t="s">
        <v>527</v>
      </c>
      <c r="E404" s="5"/>
      <c r="F404" s="5">
        <f t="shared" si="179"/>
        <v>0</v>
      </c>
      <c r="G404" s="5"/>
      <c r="H404" s="5"/>
      <c r="I404" s="5">
        <f t="shared" si="171"/>
        <v>0</v>
      </c>
      <c r="J404" s="5">
        <v>960000</v>
      </c>
      <c r="K404" s="5">
        <f t="shared" si="169"/>
        <v>0</v>
      </c>
      <c r="L404" s="5"/>
      <c r="M404" s="5"/>
      <c r="N404" s="5"/>
      <c r="O404" s="5">
        <f t="shared" si="170"/>
        <v>960000</v>
      </c>
      <c r="P404" s="2">
        <f t="shared" si="152"/>
        <v>960000</v>
      </c>
      <c r="Q404" s="2">
        <f t="shared" si="153"/>
        <v>0</v>
      </c>
      <c r="R404" s="2">
        <f t="shared" si="147"/>
        <v>960000</v>
      </c>
    </row>
    <row r="405" spans="1:18" s="11" customFormat="1" ht="71.45" customHeight="1" x14ac:dyDescent="0.2">
      <c r="A405" s="39"/>
      <c r="B405" s="40"/>
      <c r="C405" s="39"/>
      <c r="D405" s="19" t="s">
        <v>528</v>
      </c>
      <c r="E405" s="5">
        <v>1245000</v>
      </c>
      <c r="F405" s="5">
        <f t="shared" si="179"/>
        <v>0</v>
      </c>
      <c r="G405" s="5"/>
      <c r="H405" s="5"/>
      <c r="I405" s="5">
        <f t="shared" si="171"/>
        <v>1245000</v>
      </c>
      <c r="J405" s="5">
        <v>3369000</v>
      </c>
      <c r="K405" s="5">
        <f t="shared" si="169"/>
        <v>0</v>
      </c>
      <c r="L405" s="5"/>
      <c r="M405" s="5"/>
      <c r="N405" s="5"/>
      <c r="O405" s="5">
        <f t="shared" si="170"/>
        <v>3369000</v>
      </c>
      <c r="P405" s="2">
        <f t="shared" si="152"/>
        <v>4614000</v>
      </c>
      <c r="Q405" s="2">
        <f t="shared" si="153"/>
        <v>0</v>
      </c>
      <c r="R405" s="2">
        <f t="shared" si="147"/>
        <v>4614000</v>
      </c>
    </row>
    <row r="406" spans="1:18" s="11" customFormat="1" ht="78.75" customHeight="1" x14ac:dyDescent="0.2">
      <c r="A406" s="39"/>
      <c r="B406" s="40"/>
      <c r="C406" s="39"/>
      <c r="D406" s="19" t="s">
        <v>656</v>
      </c>
      <c r="E406" s="5"/>
      <c r="F406" s="5"/>
      <c r="G406" s="5"/>
      <c r="H406" s="5"/>
      <c r="I406" s="5"/>
      <c r="J406" s="5"/>
      <c r="K406" s="5">
        <f t="shared" si="169"/>
        <v>850000</v>
      </c>
      <c r="L406" s="5">
        <f>850000</f>
        <v>850000</v>
      </c>
      <c r="M406" s="5"/>
      <c r="N406" s="5">
        <f>850000</f>
        <v>850000</v>
      </c>
      <c r="O406" s="5">
        <f t="shared" ref="O406" si="183">K406+J406</f>
        <v>850000</v>
      </c>
      <c r="P406" s="2">
        <f t="shared" ref="P406" si="184">E406+J406</f>
        <v>0</v>
      </c>
      <c r="Q406" s="2">
        <f t="shared" ref="Q406" si="185">F406+K406</f>
        <v>850000</v>
      </c>
      <c r="R406" s="2">
        <f t="shared" ref="R406" si="186">I406+O406</f>
        <v>850000</v>
      </c>
    </row>
    <row r="407" spans="1:18" s="11" customFormat="1" ht="72" x14ac:dyDescent="0.2">
      <c r="A407" s="39"/>
      <c r="B407" s="40"/>
      <c r="C407" s="39"/>
      <c r="D407" s="19" t="s">
        <v>639</v>
      </c>
      <c r="E407" s="5">
        <v>555000</v>
      </c>
      <c r="F407" s="5">
        <f t="shared" si="179"/>
        <v>0</v>
      </c>
      <c r="G407" s="5"/>
      <c r="H407" s="5"/>
      <c r="I407" s="5">
        <f t="shared" si="171"/>
        <v>555000</v>
      </c>
      <c r="J407" s="5">
        <v>610000</v>
      </c>
      <c r="K407" s="5">
        <f t="shared" si="169"/>
        <v>0</v>
      </c>
      <c r="L407" s="5"/>
      <c r="M407" s="5"/>
      <c r="N407" s="5"/>
      <c r="O407" s="5">
        <f t="shared" si="170"/>
        <v>610000</v>
      </c>
      <c r="P407" s="2">
        <f t="shared" si="152"/>
        <v>1165000</v>
      </c>
      <c r="Q407" s="2">
        <f t="shared" si="153"/>
        <v>0</v>
      </c>
      <c r="R407" s="2">
        <f t="shared" si="147"/>
        <v>1165000</v>
      </c>
    </row>
    <row r="408" spans="1:18" s="11" customFormat="1" ht="108" x14ac:dyDescent="0.2">
      <c r="A408" s="39"/>
      <c r="B408" s="40"/>
      <c r="C408" s="39"/>
      <c r="D408" s="19" t="s">
        <v>529</v>
      </c>
      <c r="E408" s="5"/>
      <c r="F408" s="5">
        <f t="shared" si="179"/>
        <v>0</v>
      </c>
      <c r="G408" s="5"/>
      <c r="H408" s="5"/>
      <c r="I408" s="5">
        <f t="shared" si="171"/>
        <v>0</v>
      </c>
      <c r="J408" s="5">
        <v>2755684</v>
      </c>
      <c r="K408" s="5">
        <f t="shared" si="169"/>
        <v>0</v>
      </c>
      <c r="L408" s="5"/>
      <c r="M408" s="5"/>
      <c r="N408" s="5"/>
      <c r="O408" s="5">
        <f t="shared" si="170"/>
        <v>2755684</v>
      </c>
      <c r="P408" s="2">
        <f t="shared" si="152"/>
        <v>2755684</v>
      </c>
      <c r="Q408" s="2">
        <f t="shared" si="153"/>
        <v>0</v>
      </c>
      <c r="R408" s="2">
        <f t="shared" ref="R408:R428" si="187">I408+O408</f>
        <v>2755684</v>
      </c>
    </row>
    <row r="409" spans="1:18" s="11" customFormat="1" ht="72" x14ac:dyDescent="0.2">
      <c r="A409" s="39"/>
      <c r="B409" s="40"/>
      <c r="C409" s="39"/>
      <c r="D409" s="19" t="s">
        <v>530</v>
      </c>
      <c r="E409" s="5"/>
      <c r="F409" s="5">
        <f t="shared" si="179"/>
        <v>0</v>
      </c>
      <c r="G409" s="5"/>
      <c r="H409" s="5"/>
      <c r="I409" s="5">
        <f t="shared" si="171"/>
        <v>0</v>
      </c>
      <c r="J409" s="5">
        <v>3000000</v>
      </c>
      <c r="K409" s="5">
        <f t="shared" si="169"/>
        <v>0</v>
      </c>
      <c r="L409" s="5"/>
      <c r="M409" s="5"/>
      <c r="N409" s="5"/>
      <c r="O409" s="5">
        <f t="shared" si="170"/>
        <v>3000000</v>
      </c>
      <c r="P409" s="2">
        <f t="shared" si="152"/>
        <v>3000000</v>
      </c>
      <c r="Q409" s="2">
        <f t="shared" si="153"/>
        <v>0</v>
      </c>
      <c r="R409" s="2">
        <f t="shared" si="187"/>
        <v>3000000</v>
      </c>
    </row>
    <row r="410" spans="1:18" s="11" customFormat="1" ht="87" customHeight="1" x14ac:dyDescent="0.2">
      <c r="A410" s="39"/>
      <c r="B410" s="40"/>
      <c r="C410" s="39"/>
      <c r="D410" s="19" t="s">
        <v>633</v>
      </c>
      <c r="E410" s="5">
        <v>1980200</v>
      </c>
      <c r="F410" s="5">
        <f t="shared" si="179"/>
        <v>0</v>
      </c>
      <c r="G410" s="5"/>
      <c r="H410" s="5"/>
      <c r="I410" s="5">
        <f t="shared" si="171"/>
        <v>1980200</v>
      </c>
      <c r="J410" s="5">
        <v>4500000</v>
      </c>
      <c r="K410" s="5">
        <f t="shared" si="169"/>
        <v>0</v>
      </c>
      <c r="L410" s="5"/>
      <c r="M410" s="5"/>
      <c r="N410" s="5"/>
      <c r="O410" s="5">
        <f t="shared" si="170"/>
        <v>4500000</v>
      </c>
      <c r="P410" s="2">
        <f t="shared" si="152"/>
        <v>6480200</v>
      </c>
      <c r="Q410" s="2">
        <f t="shared" si="153"/>
        <v>0</v>
      </c>
      <c r="R410" s="2">
        <f t="shared" si="187"/>
        <v>6480200</v>
      </c>
    </row>
    <row r="411" spans="1:18" s="11" customFormat="1" ht="72" x14ac:dyDescent="0.2">
      <c r="A411" s="39"/>
      <c r="B411" s="40"/>
      <c r="C411" s="39"/>
      <c r="D411" s="19" t="s">
        <v>599</v>
      </c>
      <c r="E411" s="5">
        <v>1540000</v>
      </c>
      <c r="F411" s="5">
        <f t="shared" si="179"/>
        <v>0</v>
      </c>
      <c r="G411" s="5"/>
      <c r="H411" s="5"/>
      <c r="I411" s="5">
        <f t="shared" si="171"/>
        <v>1540000</v>
      </c>
      <c r="J411" s="5">
        <v>1000000</v>
      </c>
      <c r="K411" s="5">
        <f t="shared" si="169"/>
        <v>0</v>
      </c>
      <c r="L411" s="5"/>
      <c r="M411" s="5"/>
      <c r="N411" s="5"/>
      <c r="O411" s="5">
        <f t="shared" si="170"/>
        <v>1000000</v>
      </c>
      <c r="P411" s="2">
        <f t="shared" si="152"/>
        <v>2540000</v>
      </c>
      <c r="Q411" s="2">
        <f t="shared" si="153"/>
        <v>0</v>
      </c>
      <c r="R411" s="2">
        <f t="shared" si="187"/>
        <v>2540000</v>
      </c>
    </row>
    <row r="412" spans="1:18" s="11" customFormat="1" ht="72" x14ac:dyDescent="0.2">
      <c r="A412" s="39"/>
      <c r="B412" s="40"/>
      <c r="C412" s="39"/>
      <c r="D412" s="19" t="s">
        <v>531</v>
      </c>
      <c r="E412" s="5">
        <v>5481400</v>
      </c>
      <c r="F412" s="5">
        <f>G412</f>
        <v>0</v>
      </c>
      <c r="G412" s="5"/>
      <c r="H412" s="5"/>
      <c r="I412" s="5">
        <f>E412+F412</f>
        <v>5481400</v>
      </c>
      <c r="J412" s="5">
        <v>2090000</v>
      </c>
      <c r="K412" s="5">
        <f t="shared" si="169"/>
        <v>0</v>
      </c>
      <c r="L412" s="5"/>
      <c r="M412" s="5"/>
      <c r="N412" s="5"/>
      <c r="O412" s="5">
        <f t="shared" si="170"/>
        <v>2090000</v>
      </c>
      <c r="P412" s="2">
        <f t="shared" si="152"/>
        <v>7571400</v>
      </c>
      <c r="Q412" s="2">
        <f t="shared" si="153"/>
        <v>0</v>
      </c>
      <c r="R412" s="2">
        <f t="shared" si="187"/>
        <v>7571400</v>
      </c>
    </row>
    <row r="413" spans="1:18" s="11" customFormat="1" ht="72" x14ac:dyDescent="0.2">
      <c r="A413" s="39"/>
      <c r="B413" s="40"/>
      <c r="C413" s="39"/>
      <c r="D413" s="19" t="s">
        <v>655</v>
      </c>
      <c r="E413" s="5"/>
      <c r="F413" s="5"/>
      <c r="G413" s="5"/>
      <c r="H413" s="5"/>
      <c r="I413" s="5"/>
      <c r="J413" s="5"/>
      <c r="K413" s="5">
        <f t="shared" si="169"/>
        <v>2900000</v>
      </c>
      <c r="L413" s="5">
        <f>2900000</f>
        <v>2900000</v>
      </c>
      <c r="M413" s="5"/>
      <c r="N413" s="5">
        <f>2900000</f>
        <v>2900000</v>
      </c>
      <c r="O413" s="5">
        <f t="shared" ref="O413" si="188">K413+J413</f>
        <v>2900000</v>
      </c>
      <c r="P413" s="2">
        <f t="shared" ref="P413" si="189">E413+J413</f>
        <v>0</v>
      </c>
      <c r="Q413" s="2">
        <f t="shared" ref="Q413" si="190">F413+K413</f>
        <v>2900000</v>
      </c>
      <c r="R413" s="2">
        <f t="shared" ref="R413" si="191">I413+O413</f>
        <v>2900000</v>
      </c>
    </row>
    <row r="414" spans="1:18" s="11" customFormat="1" ht="84" x14ac:dyDescent="0.2">
      <c r="A414" s="39"/>
      <c r="B414" s="40"/>
      <c r="C414" s="39"/>
      <c r="D414" s="19" t="s">
        <v>532</v>
      </c>
      <c r="E414" s="5">
        <v>1520000</v>
      </c>
      <c r="F414" s="5">
        <f>G414</f>
        <v>0</v>
      </c>
      <c r="G414" s="5"/>
      <c r="H414" s="5"/>
      <c r="I414" s="5">
        <f>E414+F414</f>
        <v>1520000</v>
      </c>
      <c r="J414" s="5">
        <v>2530000</v>
      </c>
      <c r="K414" s="5">
        <f t="shared" si="169"/>
        <v>2735000</v>
      </c>
      <c r="L414" s="5">
        <f>2735000</f>
        <v>2735000</v>
      </c>
      <c r="M414" s="5"/>
      <c r="N414" s="5">
        <f>2735000</f>
        <v>2735000</v>
      </c>
      <c r="O414" s="5">
        <f t="shared" si="170"/>
        <v>5265000</v>
      </c>
      <c r="P414" s="2">
        <f t="shared" si="152"/>
        <v>4050000</v>
      </c>
      <c r="Q414" s="2">
        <f t="shared" si="153"/>
        <v>2735000</v>
      </c>
      <c r="R414" s="2">
        <f t="shared" si="187"/>
        <v>6785000</v>
      </c>
    </row>
    <row r="415" spans="1:18" s="11" customFormat="1" ht="72" x14ac:dyDescent="0.2">
      <c r="A415" s="39"/>
      <c r="B415" s="40"/>
      <c r="C415" s="39"/>
      <c r="D415" s="19" t="s">
        <v>533</v>
      </c>
      <c r="E415" s="5"/>
      <c r="F415" s="5">
        <f t="shared" ref="F415:F427" si="192">G415</f>
        <v>0</v>
      </c>
      <c r="G415" s="5"/>
      <c r="H415" s="5"/>
      <c r="I415" s="5">
        <f t="shared" ref="I415:I427" si="193">E415+F415</f>
        <v>0</v>
      </c>
      <c r="J415" s="5">
        <v>3000000</v>
      </c>
      <c r="K415" s="5">
        <f t="shared" si="169"/>
        <v>0</v>
      </c>
      <c r="L415" s="5"/>
      <c r="M415" s="5"/>
      <c r="N415" s="5"/>
      <c r="O415" s="5">
        <f t="shared" si="170"/>
        <v>3000000</v>
      </c>
      <c r="P415" s="2">
        <f t="shared" si="152"/>
        <v>3000000</v>
      </c>
      <c r="Q415" s="2">
        <f t="shared" si="153"/>
        <v>0</v>
      </c>
      <c r="R415" s="2">
        <f t="shared" si="187"/>
        <v>3000000</v>
      </c>
    </row>
    <row r="416" spans="1:18" s="11" customFormat="1" ht="108" x14ac:dyDescent="0.2">
      <c r="A416" s="39"/>
      <c r="B416" s="40"/>
      <c r="C416" s="39"/>
      <c r="D416" s="19" t="s">
        <v>556</v>
      </c>
      <c r="E416" s="5">
        <v>1050000</v>
      </c>
      <c r="F416" s="5">
        <f t="shared" si="192"/>
        <v>0</v>
      </c>
      <c r="G416" s="5"/>
      <c r="H416" s="5"/>
      <c r="I416" s="5">
        <f t="shared" si="193"/>
        <v>1050000</v>
      </c>
      <c r="J416" s="5"/>
      <c r="K416" s="5"/>
      <c r="L416" s="5"/>
      <c r="M416" s="5"/>
      <c r="N416" s="5"/>
      <c r="O416" s="5"/>
      <c r="P416" s="2">
        <f t="shared" si="152"/>
        <v>1050000</v>
      </c>
      <c r="Q416" s="2">
        <f t="shared" si="153"/>
        <v>0</v>
      </c>
      <c r="R416" s="2">
        <f t="shared" si="187"/>
        <v>1050000</v>
      </c>
    </row>
    <row r="417" spans="1:18" s="11" customFormat="1" ht="72" x14ac:dyDescent="0.2">
      <c r="A417" s="39"/>
      <c r="B417" s="40"/>
      <c r="C417" s="39"/>
      <c r="D417" s="19" t="s">
        <v>560</v>
      </c>
      <c r="E417" s="5">
        <v>440000</v>
      </c>
      <c r="F417" s="5">
        <f t="shared" si="192"/>
        <v>0</v>
      </c>
      <c r="G417" s="5"/>
      <c r="H417" s="5"/>
      <c r="I417" s="5">
        <f t="shared" si="193"/>
        <v>440000</v>
      </c>
      <c r="J417" s="5"/>
      <c r="K417" s="5"/>
      <c r="L417" s="5"/>
      <c r="M417" s="5"/>
      <c r="N417" s="5"/>
      <c r="O417" s="5"/>
      <c r="P417" s="2">
        <f t="shared" si="152"/>
        <v>440000</v>
      </c>
      <c r="Q417" s="2">
        <f t="shared" si="153"/>
        <v>0</v>
      </c>
      <c r="R417" s="2">
        <f t="shared" si="187"/>
        <v>440000</v>
      </c>
    </row>
    <row r="418" spans="1:18" s="11" customFormat="1" ht="84" x14ac:dyDescent="0.2">
      <c r="A418" s="39"/>
      <c r="B418" s="40"/>
      <c r="C418" s="39"/>
      <c r="D418" s="19" t="s">
        <v>561</v>
      </c>
      <c r="E418" s="5">
        <v>450000</v>
      </c>
      <c r="F418" s="5">
        <f t="shared" si="192"/>
        <v>0</v>
      </c>
      <c r="G418" s="5"/>
      <c r="H418" s="5"/>
      <c r="I418" s="5">
        <f t="shared" si="193"/>
        <v>450000</v>
      </c>
      <c r="J418" s="5"/>
      <c r="K418" s="5"/>
      <c r="L418" s="5"/>
      <c r="M418" s="5"/>
      <c r="N418" s="5"/>
      <c r="O418" s="5"/>
      <c r="P418" s="2">
        <f t="shared" si="152"/>
        <v>450000</v>
      </c>
      <c r="Q418" s="2">
        <f t="shared" si="153"/>
        <v>0</v>
      </c>
      <c r="R418" s="2">
        <f t="shared" si="187"/>
        <v>450000</v>
      </c>
    </row>
    <row r="419" spans="1:18" s="11" customFormat="1" ht="72" x14ac:dyDescent="0.2">
      <c r="A419" s="39"/>
      <c r="B419" s="40"/>
      <c r="C419" s="39"/>
      <c r="D419" s="19" t="s">
        <v>562</v>
      </c>
      <c r="E419" s="5">
        <v>200000</v>
      </c>
      <c r="F419" s="5">
        <f t="shared" si="192"/>
        <v>0</v>
      </c>
      <c r="G419" s="5"/>
      <c r="H419" s="5"/>
      <c r="I419" s="5">
        <f t="shared" si="193"/>
        <v>200000</v>
      </c>
      <c r="J419" s="5"/>
      <c r="K419" s="5"/>
      <c r="L419" s="5"/>
      <c r="M419" s="5"/>
      <c r="N419" s="5"/>
      <c r="O419" s="5"/>
      <c r="P419" s="2">
        <f t="shared" si="152"/>
        <v>200000</v>
      </c>
      <c r="Q419" s="2">
        <f t="shared" si="153"/>
        <v>0</v>
      </c>
      <c r="R419" s="2">
        <f t="shared" si="187"/>
        <v>200000</v>
      </c>
    </row>
    <row r="420" spans="1:18" s="11" customFormat="1" ht="60" hidden="1" customHeight="1" x14ac:dyDescent="0.2">
      <c r="A420" s="39"/>
      <c r="B420" s="40"/>
      <c r="C420" s="39"/>
      <c r="D420" s="19"/>
      <c r="E420" s="5"/>
      <c r="F420" s="5"/>
      <c r="G420" s="5"/>
      <c r="H420" s="5"/>
      <c r="I420" s="5"/>
      <c r="J420" s="5"/>
      <c r="K420" s="5"/>
      <c r="L420" s="5"/>
      <c r="M420" s="5"/>
      <c r="N420" s="5"/>
      <c r="O420" s="5"/>
      <c r="P420" s="2">
        <f t="shared" si="152"/>
        <v>0</v>
      </c>
      <c r="Q420" s="2">
        <f t="shared" si="153"/>
        <v>0</v>
      </c>
      <c r="R420" s="2">
        <f t="shared" si="187"/>
        <v>0</v>
      </c>
    </row>
    <row r="421" spans="1:18" s="11" customFormat="1" ht="87" customHeight="1" x14ac:dyDescent="0.2">
      <c r="A421" s="39"/>
      <c r="B421" s="40"/>
      <c r="C421" s="39"/>
      <c r="D421" s="19" t="s">
        <v>634</v>
      </c>
      <c r="E421" s="5">
        <v>4050000</v>
      </c>
      <c r="F421" s="5">
        <f t="shared" si="192"/>
        <v>-1901744</v>
      </c>
      <c r="G421" s="5">
        <v>-1901744</v>
      </c>
      <c r="H421" s="5"/>
      <c r="I421" s="5">
        <f t="shared" si="193"/>
        <v>2148256</v>
      </c>
      <c r="J421" s="5"/>
      <c r="K421" s="5">
        <f t="shared" ref="K421:K422" si="194">M421+N421</f>
        <v>0</v>
      </c>
      <c r="L421" s="5"/>
      <c r="M421" s="5"/>
      <c r="N421" s="5"/>
      <c r="O421" s="5">
        <f t="shared" ref="O421" si="195">K421+J421</f>
        <v>0</v>
      </c>
      <c r="P421" s="2">
        <f t="shared" ref="P421:P428" si="196">E421+J421</f>
        <v>4050000</v>
      </c>
      <c r="Q421" s="2">
        <f t="shared" ref="Q421:Q428" si="197">F421+K421</f>
        <v>-1901744</v>
      </c>
      <c r="R421" s="2">
        <f t="shared" si="187"/>
        <v>2148256</v>
      </c>
    </row>
    <row r="422" spans="1:18" s="11" customFormat="1" ht="108" x14ac:dyDescent="0.2">
      <c r="A422" s="39"/>
      <c r="B422" s="40"/>
      <c r="C422" s="39"/>
      <c r="D422" s="19" t="s">
        <v>665</v>
      </c>
      <c r="E422" s="5"/>
      <c r="F422" s="5"/>
      <c r="G422" s="5"/>
      <c r="H422" s="5"/>
      <c r="I422" s="5"/>
      <c r="J422" s="5"/>
      <c r="K422" s="5">
        <f t="shared" si="194"/>
        <v>1901744</v>
      </c>
      <c r="L422" s="5">
        <f>1901744</f>
        <v>1901744</v>
      </c>
      <c r="M422" s="5"/>
      <c r="N422" s="5">
        <f>1901744</f>
        <v>1901744</v>
      </c>
      <c r="O422" s="5">
        <f t="shared" ref="O422" si="198">K422+J422</f>
        <v>1901744</v>
      </c>
      <c r="P422" s="2">
        <f t="shared" ref="P422" si="199">E422+J422</f>
        <v>0</v>
      </c>
      <c r="Q422" s="2">
        <f t="shared" ref="Q422" si="200">F422+K422</f>
        <v>1901744</v>
      </c>
      <c r="R422" s="2">
        <f t="shared" ref="R422" si="201">I422+O422</f>
        <v>1901744</v>
      </c>
    </row>
    <row r="423" spans="1:18" s="11" customFormat="1" ht="111" customHeight="1" x14ac:dyDescent="0.2">
      <c r="A423" s="39"/>
      <c r="B423" s="40"/>
      <c r="C423" s="39"/>
      <c r="D423" s="19" t="s">
        <v>636</v>
      </c>
      <c r="E423" s="5">
        <v>170897</v>
      </c>
      <c r="F423" s="5">
        <f t="shared" si="192"/>
        <v>119421.85</v>
      </c>
      <c r="G423" s="5">
        <v>119421.85</v>
      </c>
      <c r="H423" s="5"/>
      <c r="I423" s="5">
        <f t="shared" si="193"/>
        <v>290318.84999999998</v>
      </c>
      <c r="J423" s="5"/>
      <c r="K423" s="5"/>
      <c r="L423" s="5"/>
      <c r="M423" s="5"/>
      <c r="N423" s="5"/>
      <c r="O423" s="5"/>
      <c r="P423" s="2">
        <f t="shared" si="196"/>
        <v>170897</v>
      </c>
      <c r="Q423" s="2">
        <f t="shared" si="197"/>
        <v>119421.85</v>
      </c>
      <c r="R423" s="2">
        <f t="shared" si="187"/>
        <v>290318.84999999998</v>
      </c>
    </row>
    <row r="424" spans="1:18" s="11" customFormat="1" ht="74.45" customHeight="1" x14ac:dyDescent="0.2">
      <c r="A424" s="39"/>
      <c r="B424" s="40"/>
      <c r="C424" s="39"/>
      <c r="D424" s="19" t="s">
        <v>635</v>
      </c>
      <c r="E424" s="5">
        <v>500000</v>
      </c>
      <c r="F424" s="5">
        <f t="shared" si="192"/>
        <v>0</v>
      </c>
      <c r="G424" s="5"/>
      <c r="H424" s="5"/>
      <c r="I424" s="5">
        <f t="shared" si="193"/>
        <v>500000</v>
      </c>
      <c r="J424" s="5"/>
      <c r="K424" s="5"/>
      <c r="L424" s="5"/>
      <c r="M424" s="5"/>
      <c r="N424" s="5"/>
      <c r="O424" s="5"/>
      <c r="P424" s="2">
        <f t="shared" si="196"/>
        <v>500000</v>
      </c>
      <c r="Q424" s="2">
        <f t="shared" si="197"/>
        <v>0</v>
      </c>
      <c r="R424" s="2">
        <f t="shared" si="187"/>
        <v>500000</v>
      </c>
    </row>
    <row r="425" spans="1:18" s="11" customFormat="1" ht="102" customHeight="1" x14ac:dyDescent="0.2">
      <c r="A425" s="39"/>
      <c r="B425" s="40"/>
      <c r="C425" s="39"/>
      <c r="D425" s="19" t="s">
        <v>640</v>
      </c>
      <c r="E425" s="5">
        <v>300000</v>
      </c>
      <c r="F425" s="5">
        <f t="shared" si="192"/>
        <v>0</v>
      </c>
      <c r="G425" s="5"/>
      <c r="H425" s="5"/>
      <c r="I425" s="5">
        <f t="shared" si="193"/>
        <v>300000</v>
      </c>
      <c r="J425" s="5"/>
      <c r="K425" s="5"/>
      <c r="L425" s="5"/>
      <c r="M425" s="5"/>
      <c r="N425" s="5"/>
      <c r="O425" s="5"/>
      <c r="P425" s="2">
        <f t="shared" si="196"/>
        <v>300000</v>
      </c>
      <c r="Q425" s="2">
        <f t="shared" si="197"/>
        <v>0</v>
      </c>
      <c r="R425" s="2">
        <f t="shared" si="187"/>
        <v>300000</v>
      </c>
    </row>
    <row r="426" spans="1:18" s="11" customFormat="1" ht="86.45" customHeight="1" x14ac:dyDescent="0.2">
      <c r="A426" s="39"/>
      <c r="B426" s="40"/>
      <c r="C426" s="39"/>
      <c r="D426" s="19" t="s">
        <v>637</v>
      </c>
      <c r="E426" s="5">
        <v>100000</v>
      </c>
      <c r="F426" s="5">
        <f t="shared" si="192"/>
        <v>0</v>
      </c>
      <c r="G426" s="5"/>
      <c r="H426" s="5"/>
      <c r="I426" s="5">
        <f t="shared" si="193"/>
        <v>100000</v>
      </c>
      <c r="J426" s="5"/>
      <c r="K426" s="5"/>
      <c r="L426" s="5"/>
      <c r="M426" s="5"/>
      <c r="N426" s="5"/>
      <c r="O426" s="5"/>
      <c r="P426" s="2">
        <f t="shared" si="196"/>
        <v>100000</v>
      </c>
      <c r="Q426" s="2">
        <f t="shared" si="197"/>
        <v>0</v>
      </c>
      <c r="R426" s="2">
        <f t="shared" si="187"/>
        <v>100000</v>
      </c>
    </row>
    <row r="427" spans="1:18" s="11" customFormat="1" ht="72" x14ac:dyDescent="0.2">
      <c r="A427" s="39"/>
      <c r="B427" s="40"/>
      <c r="C427" s="39"/>
      <c r="D427" s="19" t="s">
        <v>563</v>
      </c>
      <c r="E427" s="5">
        <v>100000</v>
      </c>
      <c r="F427" s="5">
        <f t="shared" si="192"/>
        <v>0</v>
      </c>
      <c r="G427" s="5"/>
      <c r="H427" s="5"/>
      <c r="I427" s="5">
        <f t="shared" si="193"/>
        <v>100000</v>
      </c>
      <c r="J427" s="5"/>
      <c r="K427" s="5"/>
      <c r="L427" s="5"/>
      <c r="M427" s="5"/>
      <c r="N427" s="5"/>
      <c r="O427" s="5"/>
      <c r="P427" s="2">
        <f t="shared" si="196"/>
        <v>100000</v>
      </c>
      <c r="Q427" s="2">
        <f t="shared" si="197"/>
        <v>0</v>
      </c>
      <c r="R427" s="2">
        <f t="shared" si="187"/>
        <v>100000</v>
      </c>
    </row>
    <row r="428" spans="1:18" s="13" customFormat="1" ht="12.75" x14ac:dyDescent="0.15">
      <c r="A428" s="32"/>
      <c r="B428" s="74" t="s">
        <v>2</v>
      </c>
      <c r="C428" s="74"/>
      <c r="D428" s="74"/>
      <c r="E428" s="3">
        <f t="shared" ref="E428:O428" si="202">E13+E68+E126+E141+E181+E188+E218+E353+E271+E290+E308+E338+E370+E203+E250+E325+E367+E317+E305</f>
        <v>3710604181</v>
      </c>
      <c r="F428" s="3">
        <f t="shared" si="202"/>
        <v>150495092.41</v>
      </c>
      <c r="G428" s="3">
        <f t="shared" si="202"/>
        <v>150495092.41</v>
      </c>
      <c r="H428" s="3">
        <f t="shared" si="202"/>
        <v>0</v>
      </c>
      <c r="I428" s="3">
        <f t="shared" si="202"/>
        <v>3861099273.4099998</v>
      </c>
      <c r="J428" s="3">
        <f t="shared" si="202"/>
        <v>819044938</v>
      </c>
      <c r="K428" s="3">
        <f t="shared" si="202"/>
        <v>13268070</v>
      </c>
      <c r="L428" s="3">
        <f t="shared" si="202"/>
        <v>7933780</v>
      </c>
      <c r="M428" s="3">
        <f t="shared" si="202"/>
        <v>486500</v>
      </c>
      <c r="N428" s="3">
        <f t="shared" si="202"/>
        <v>12781570</v>
      </c>
      <c r="O428" s="3">
        <f t="shared" si="202"/>
        <v>832313008</v>
      </c>
      <c r="P428" s="2">
        <f t="shared" si="196"/>
        <v>4529649119</v>
      </c>
      <c r="Q428" s="2">
        <f t="shared" si="197"/>
        <v>163763162.41</v>
      </c>
      <c r="R428" s="2">
        <f t="shared" si="187"/>
        <v>4693412281.4099998</v>
      </c>
    </row>
    <row r="429" spans="1:18" s="7" customFormat="1" x14ac:dyDescent="0.2">
      <c r="A429" s="6"/>
      <c r="B429" s="8"/>
      <c r="C429" s="8"/>
      <c r="E429" s="20"/>
      <c r="F429" s="20"/>
      <c r="G429" s="20"/>
      <c r="H429" s="20"/>
      <c r="I429" s="53"/>
      <c r="J429" s="59"/>
      <c r="K429" s="59"/>
      <c r="L429" s="72" t="s">
        <v>572</v>
      </c>
      <c r="M429" s="72"/>
      <c r="N429" s="72"/>
      <c r="O429" s="59"/>
      <c r="P429" s="34"/>
      <c r="Q429" s="35"/>
      <c r="R429" s="35"/>
    </row>
    <row r="430" spans="1:18" s="7" customFormat="1" x14ac:dyDescent="0.2">
      <c r="A430" s="6"/>
      <c r="B430" s="8"/>
      <c r="C430" s="8"/>
      <c r="E430" s="20"/>
      <c r="F430" s="20"/>
      <c r="G430" s="20"/>
      <c r="H430" s="20"/>
      <c r="I430" s="20"/>
      <c r="J430" s="59"/>
      <c r="K430" s="59"/>
      <c r="L430" s="72"/>
      <c r="M430" s="72"/>
      <c r="N430" s="72"/>
      <c r="O430" s="59"/>
      <c r="P430" s="34"/>
      <c r="Q430" s="35"/>
      <c r="R430" s="35"/>
    </row>
    <row r="431" spans="1:18" s="7" customFormat="1" x14ac:dyDescent="0.2">
      <c r="A431" s="6"/>
      <c r="B431" s="8"/>
      <c r="C431" s="8"/>
      <c r="E431" s="20"/>
      <c r="F431" s="20"/>
      <c r="G431" s="20"/>
      <c r="H431" s="20"/>
      <c r="J431" s="59"/>
      <c r="K431" s="59"/>
      <c r="L431" s="72"/>
      <c r="M431" s="72"/>
      <c r="N431" s="72"/>
      <c r="O431" s="59"/>
      <c r="P431" s="34"/>
      <c r="Q431" s="35"/>
      <c r="R431" s="13"/>
    </row>
    <row r="432" spans="1:18" s="7" customFormat="1" ht="15.75" x14ac:dyDescent="0.2">
      <c r="A432" s="6"/>
      <c r="B432" s="71" t="s">
        <v>7</v>
      </c>
      <c r="C432" s="71"/>
      <c r="D432" s="71"/>
      <c r="E432" s="26"/>
      <c r="F432" s="22"/>
      <c r="G432" s="22"/>
      <c r="H432" s="21"/>
      <c r="I432" s="22"/>
      <c r="J432" s="58"/>
      <c r="K432" s="72"/>
      <c r="L432" s="72"/>
      <c r="M432" s="72"/>
      <c r="N432" s="72"/>
      <c r="O432" s="72"/>
      <c r="P432" s="36"/>
      <c r="Q432" s="13"/>
      <c r="R432" s="13"/>
    </row>
    <row r="433" spans="1:18" s="7" customFormat="1" ht="15.75" x14ac:dyDescent="0.2">
      <c r="A433" s="6"/>
      <c r="B433" s="57"/>
      <c r="C433" s="57"/>
      <c r="D433" s="57"/>
      <c r="E433" s="21"/>
      <c r="F433" s="21"/>
      <c r="G433" s="22"/>
      <c r="H433" s="21"/>
      <c r="I433" s="22"/>
      <c r="J433" s="58"/>
      <c r="K433" s="72"/>
      <c r="L433" s="72"/>
      <c r="M433" s="72"/>
      <c r="N433" s="72"/>
      <c r="O433" s="72"/>
      <c r="P433" s="36"/>
      <c r="Q433" s="13"/>
      <c r="R433" s="13"/>
    </row>
    <row r="434" spans="1:18" x14ac:dyDescent="0.2">
      <c r="E434" s="23"/>
      <c r="F434" s="23"/>
      <c r="G434" s="23"/>
      <c r="H434" s="23"/>
      <c r="R434" s="47"/>
    </row>
    <row r="435" spans="1:18" x14ac:dyDescent="0.2">
      <c r="E435" s="23"/>
      <c r="F435" s="23"/>
      <c r="G435" s="23"/>
      <c r="H435" s="23"/>
      <c r="I435" s="23"/>
      <c r="J435" s="23"/>
      <c r="K435" s="23"/>
      <c r="L435" s="23"/>
      <c r="M435" s="23"/>
      <c r="N435" s="23"/>
      <c r="O435" s="23"/>
      <c r="P435" s="38"/>
    </row>
    <row r="436" spans="1:18" x14ac:dyDescent="0.2">
      <c r="E436" s="23"/>
    </row>
    <row r="439" spans="1:18" x14ac:dyDescent="0.2">
      <c r="E439" s="23"/>
      <c r="G439" s="23"/>
      <c r="H439" s="23"/>
    </row>
    <row r="440" spans="1:18" x14ac:dyDescent="0.2">
      <c r="G440" s="23"/>
    </row>
    <row r="442" spans="1:18" x14ac:dyDescent="0.2">
      <c r="E442" s="23"/>
    </row>
    <row r="443" spans="1:18" x14ac:dyDescent="0.2">
      <c r="E443" s="23"/>
      <c r="F443" s="23"/>
      <c r="G443" s="23"/>
      <c r="H443" s="23"/>
    </row>
  </sheetData>
  <mergeCells count="36">
    <mergeCell ref="B1:N1"/>
    <mergeCell ref="B2:N2"/>
    <mergeCell ref="O10:O12"/>
    <mergeCell ref="N4:O4"/>
    <mergeCell ref="A6:B6"/>
    <mergeCell ref="A7:B7"/>
    <mergeCell ref="A9:A12"/>
    <mergeCell ref="B9:B12"/>
    <mergeCell ref="D9:D12"/>
    <mergeCell ref="C9:C12"/>
    <mergeCell ref="E9:I9"/>
    <mergeCell ref="K10:N10"/>
    <mergeCell ref="K11:K12"/>
    <mergeCell ref="F11:F12"/>
    <mergeCell ref="B432:D432"/>
    <mergeCell ref="L429:N433"/>
    <mergeCell ref="K432:K433"/>
    <mergeCell ref="P11:P12"/>
    <mergeCell ref="O432:O433"/>
    <mergeCell ref="B428:D428"/>
    <mergeCell ref="Q11:Q12"/>
    <mergeCell ref="R11:R12"/>
    <mergeCell ref="P9:R10"/>
    <mergeCell ref="A299:A300"/>
    <mergeCell ref="B299:B300"/>
    <mergeCell ref="C299:C300"/>
    <mergeCell ref="J9:O9"/>
    <mergeCell ref="G11:G12"/>
    <mergeCell ref="H11:H12"/>
    <mergeCell ref="M11:M12"/>
    <mergeCell ref="N11:N12"/>
    <mergeCell ref="E10:E12"/>
    <mergeCell ref="J10:J12"/>
    <mergeCell ref="I10:I12"/>
    <mergeCell ref="F10:H10"/>
    <mergeCell ref="L11:L12"/>
  </mergeCells>
  <phoneticPr fontId="9" type="noConversion"/>
  <pageMargins left="0" right="0" top="1.3779527559055118" bottom="0.39370078740157483" header="0.51181102362204722" footer="0.51181102362204722"/>
  <pageSetup paperSize="9" scale="55" fitToHeight="0" orientation="landscape" r:id="rId1"/>
  <ignoredErrors>
    <ignoredError sqref="F87:F88 F76 F79:F80"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TDSheet</vt:lpstr>
      <vt:lpstr>TDSheet!Заголовки_для_печати</vt:lpstr>
      <vt:lpstr>TDSheet!Область_печати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админ</dc:creator>
  <cp:lastModifiedBy>User</cp:lastModifiedBy>
  <cp:lastPrinted>2023-12-06T15:13:43Z</cp:lastPrinted>
  <dcterms:created xsi:type="dcterms:W3CDTF">2016-12-02T14:24:23Z</dcterms:created>
  <dcterms:modified xsi:type="dcterms:W3CDTF">2023-12-07T13:00:00Z</dcterms:modified>
</cp:coreProperties>
</file>