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3\"/>
    </mc:Choice>
  </mc:AlternateContent>
  <bookViews>
    <workbookView xWindow="0" yWindow="0" windowWidth="28800" windowHeight="1233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звіт'!$32:$34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J200" i="20" l="1"/>
  <c r="J201" i="20"/>
  <c r="J202" i="20"/>
  <c r="J203" i="20"/>
  <c r="J204" i="20"/>
  <c r="J205" i="20"/>
  <c r="J206" i="20"/>
  <c r="J207" i="20"/>
  <c r="J177" i="20"/>
  <c r="J178" i="20"/>
  <c r="J179" i="20"/>
  <c r="J180" i="20"/>
  <c r="J181" i="20"/>
  <c r="J182" i="20"/>
  <c r="J183" i="20"/>
  <c r="J175" i="20"/>
  <c r="J171" i="20"/>
  <c r="J173" i="20"/>
  <c r="J174" i="20"/>
  <c r="J170" i="20"/>
  <c r="J169" i="20"/>
  <c r="J167" i="20"/>
  <c r="J165" i="20"/>
  <c r="J164" i="20"/>
  <c r="J155" i="20"/>
  <c r="J156" i="20"/>
  <c r="J158" i="20"/>
  <c r="J160" i="20"/>
  <c r="J161" i="20"/>
  <c r="J162" i="20"/>
  <c r="J163" i="20"/>
  <c r="J152" i="20"/>
  <c r="J143" i="20"/>
  <c r="J145" i="20"/>
  <c r="J147" i="20"/>
  <c r="J148" i="20"/>
  <c r="J149" i="20"/>
  <c r="J151" i="20"/>
  <c r="J142" i="20"/>
  <c r="J139" i="20"/>
  <c r="J140" i="20"/>
  <c r="J128" i="20"/>
  <c r="J129" i="20"/>
  <c r="J127" i="20"/>
  <c r="J114" i="20"/>
  <c r="J115" i="20"/>
  <c r="J116" i="20"/>
  <c r="J117" i="20"/>
  <c r="J119" i="20"/>
  <c r="J102" i="20"/>
  <c r="J104" i="20"/>
  <c r="J106" i="20"/>
  <c r="J80" i="20"/>
  <c r="J83" i="20"/>
  <c r="J88" i="20"/>
  <c r="J89" i="20"/>
  <c r="J92" i="20"/>
  <c r="J93" i="20"/>
  <c r="J94" i="20"/>
  <c r="J95" i="20"/>
  <c r="J57" i="20"/>
  <c r="J58" i="20"/>
  <c r="J59" i="20"/>
  <c r="J60" i="20"/>
  <c r="J61" i="20"/>
  <c r="J62" i="20"/>
  <c r="J63" i="20"/>
  <c r="J64" i="20"/>
  <c r="J65" i="20"/>
  <c r="J67" i="20"/>
  <c r="J68" i="20"/>
  <c r="J69" i="20"/>
  <c r="J56" i="20"/>
  <c r="J46" i="20"/>
  <c r="J50" i="20"/>
  <c r="J51" i="20"/>
  <c r="J52" i="20"/>
  <c r="J53" i="20"/>
  <c r="J37" i="20"/>
  <c r="F200" i="20"/>
  <c r="F201" i="20"/>
  <c r="F202" i="20"/>
  <c r="F203" i="20"/>
  <c r="F204" i="20"/>
  <c r="F205" i="20"/>
  <c r="F206" i="20"/>
  <c r="F207" i="20"/>
  <c r="F177" i="20"/>
  <c r="F178" i="20"/>
  <c r="F179" i="20"/>
  <c r="F180" i="20"/>
  <c r="F181" i="20"/>
  <c r="F182" i="20"/>
  <c r="F183" i="20"/>
  <c r="F185" i="20"/>
  <c r="F186" i="20"/>
  <c r="F187" i="20"/>
  <c r="F188" i="20"/>
  <c r="F189" i="20"/>
  <c r="F190" i="20"/>
  <c r="F191" i="20"/>
  <c r="F175" i="20"/>
  <c r="F171" i="20"/>
  <c r="F173" i="20"/>
  <c r="F174" i="20"/>
  <c r="F170" i="20"/>
  <c r="F169" i="20"/>
  <c r="F167" i="20"/>
  <c r="F165" i="20"/>
  <c r="F164" i="20"/>
  <c r="F155" i="20"/>
  <c r="F156" i="20"/>
  <c r="F157" i="20"/>
  <c r="F158" i="20"/>
  <c r="F160" i="20"/>
  <c r="F161" i="20"/>
  <c r="F162" i="20"/>
  <c r="F163" i="20"/>
  <c r="F152" i="20"/>
  <c r="F143" i="20"/>
  <c r="F144" i="20"/>
  <c r="F145" i="20"/>
  <c r="F146" i="20"/>
  <c r="F147" i="20"/>
  <c r="F148" i="20"/>
  <c r="F149" i="20"/>
  <c r="F150" i="20"/>
  <c r="F151" i="20"/>
  <c r="F142" i="20"/>
  <c r="F139" i="20"/>
  <c r="F140" i="20"/>
  <c r="F132" i="20"/>
  <c r="F128" i="20"/>
  <c r="F129" i="20"/>
  <c r="F127" i="20"/>
  <c r="F122" i="20"/>
  <c r="F123" i="20"/>
  <c r="F124" i="20"/>
  <c r="F125" i="20"/>
  <c r="F121" i="20"/>
  <c r="F111" i="20"/>
  <c r="F112" i="20"/>
  <c r="F113" i="20"/>
  <c r="F114" i="20"/>
  <c r="F115" i="20"/>
  <c r="F116" i="20"/>
  <c r="F117" i="20"/>
  <c r="F118" i="20"/>
  <c r="F119" i="20"/>
  <c r="F110" i="20"/>
  <c r="F99" i="20"/>
  <c r="F100" i="20"/>
  <c r="F101" i="20"/>
  <c r="F102" i="20"/>
  <c r="F103" i="20"/>
  <c r="F104" i="20"/>
  <c r="F105" i="20"/>
  <c r="F106" i="20"/>
  <c r="F107" i="20"/>
  <c r="F98" i="20"/>
  <c r="F72" i="20"/>
  <c r="F74" i="20"/>
  <c r="F75" i="20"/>
  <c r="F76" i="20"/>
  <c r="F77" i="20"/>
  <c r="F78" i="20"/>
  <c r="F79" i="20"/>
  <c r="F80" i="20"/>
  <c r="F82" i="20"/>
  <c r="F83" i="20"/>
  <c r="F84" i="20"/>
  <c r="F85" i="20"/>
  <c r="F86" i="20"/>
  <c r="F87" i="20"/>
  <c r="F88" i="20"/>
  <c r="F89" i="20"/>
  <c r="F90" i="20"/>
  <c r="F91" i="20"/>
  <c r="F92" i="20"/>
  <c r="F93" i="20"/>
  <c r="F94" i="20"/>
  <c r="F95" i="20"/>
  <c r="F96" i="20"/>
  <c r="F71" i="20"/>
  <c r="F57" i="20"/>
  <c r="F58" i="20"/>
  <c r="F59" i="20"/>
  <c r="F60" i="20"/>
  <c r="F61" i="20"/>
  <c r="F62" i="20"/>
  <c r="F63" i="20"/>
  <c r="F64" i="20"/>
  <c r="F65" i="20"/>
  <c r="F67" i="20"/>
  <c r="F68" i="20"/>
  <c r="F69" i="20"/>
  <c r="F56" i="20"/>
  <c r="F45" i="20"/>
  <c r="F46" i="20"/>
  <c r="F47" i="20"/>
  <c r="F48" i="20"/>
  <c r="F49" i="20"/>
  <c r="F50" i="20"/>
  <c r="F51" i="20"/>
  <c r="F52" i="20"/>
  <c r="F53" i="20"/>
  <c r="H138" i="20" l="1"/>
  <c r="F37" i="20"/>
  <c r="F38" i="20"/>
  <c r="F40" i="20"/>
  <c r="F43" i="20"/>
  <c r="E199" i="20" l="1"/>
  <c r="D199" i="20"/>
  <c r="E198" i="20"/>
  <c r="D198" i="20"/>
  <c r="E197" i="20"/>
  <c r="D197" i="20"/>
  <c r="E196" i="20"/>
  <c r="D196" i="20"/>
  <c r="E195" i="20"/>
  <c r="D195" i="20"/>
  <c r="E194" i="20"/>
  <c r="D194" i="20"/>
  <c r="E193" i="20"/>
  <c r="D193" i="20"/>
  <c r="I191" i="20"/>
  <c r="H191" i="20"/>
  <c r="G191" i="20"/>
  <c r="I190" i="20"/>
  <c r="H190" i="20"/>
  <c r="H198" i="20" s="1"/>
  <c r="G190" i="20"/>
  <c r="I189" i="20"/>
  <c r="H189" i="20"/>
  <c r="G189" i="20"/>
  <c r="I188" i="20"/>
  <c r="H188" i="20"/>
  <c r="H196" i="20" s="1"/>
  <c r="G188" i="20"/>
  <c r="I187" i="20"/>
  <c r="H187" i="20"/>
  <c r="G187" i="20"/>
  <c r="I186" i="20"/>
  <c r="H186" i="20"/>
  <c r="H194" i="20" s="1"/>
  <c r="G186" i="20"/>
  <c r="I185" i="20"/>
  <c r="H185" i="20"/>
  <c r="G185" i="20"/>
  <c r="H184" i="20"/>
  <c r="E184" i="20"/>
  <c r="D184" i="20"/>
  <c r="K183" i="20"/>
  <c r="G183" i="20"/>
  <c r="K182" i="20"/>
  <c r="G182" i="20"/>
  <c r="K181" i="20"/>
  <c r="G181" i="20"/>
  <c r="K180" i="20"/>
  <c r="G180" i="20"/>
  <c r="K179" i="20"/>
  <c r="G179" i="20"/>
  <c r="K178" i="20"/>
  <c r="G178" i="20"/>
  <c r="K177" i="20"/>
  <c r="G177" i="20"/>
  <c r="I176" i="20"/>
  <c r="H176" i="20"/>
  <c r="E176" i="20"/>
  <c r="D176" i="20"/>
  <c r="I172" i="20"/>
  <c r="H172" i="20"/>
  <c r="E172" i="20"/>
  <c r="D172" i="20"/>
  <c r="K171" i="20"/>
  <c r="G171" i="20"/>
  <c r="K170" i="20"/>
  <c r="G170" i="20"/>
  <c r="I168" i="20"/>
  <c r="J168" i="20" s="1"/>
  <c r="E168" i="20"/>
  <c r="F168" i="20" s="1"/>
  <c r="I159" i="20"/>
  <c r="H159" i="20"/>
  <c r="E159" i="20"/>
  <c r="D159" i="20"/>
  <c r="I157" i="20"/>
  <c r="H157" i="20"/>
  <c r="I154" i="20"/>
  <c r="H154" i="20"/>
  <c r="E154" i="20"/>
  <c r="D154" i="20"/>
  <c r="I153" i="20"/>
  <c r="H153" i="20"/>
  <c r="E153" i="20"/>
  <c r="D153" i="20"/>
  <c r="K152" i="20"/>
  <c r="G152" i="20"/>
  <c r="I150" i="20"/>
  <c r="H150" i="20"/>
  <c r="G150" i="20"/>
  <c r="I146" i="20"/>
  <c r="J146" i="20" s="1"/>
  <c r="H146" i="20"/>
  <c r="G146" i="20"/>
  <c r="I144" i="20"/>
  <c r="H144" i="20"/>
  <c r="G144" i="20"/>
  <c r="I141" i="20"/>
  <c r="E141" i="20"/>
  <c r="D141" i="20"/>
  <c r="E138" i="20"/>
  <c r="H137" i="20"/>
  <c r="E137" i="20"/>
  <c r="H136" i="20"/>
  <c r="E136" i="20"/>
  <c r="D136" i="20"/>
  <c r="I132" i="20"/>
  <c r="H132" i="20"/>
  <c r="G132" i="20"/>
  <c r="L131" i="20"/>
  <c r="I126" i="20"/>
  <c r="H126" i="20"/>
  <c r="E126" i="20"/>
  <c r="D126" i="20"/>
  <c r="I125" i="20"/>
  <c r="H125" i="20"/>
  <c r="G125" i="20"/>
  <c r="I124" i="20"/>
  <c r="H124" i="20"/>
  <c r="G124" i="20"/>
  <c r="I123" i="20"/>
  <c r="H123" i="20"/>
  <c r="G123" i="20"/>
  <c r="I122" i="20"/>
  <c r="I120" i="20" s="1"/>
  <c r="H122" i="20"/>
  <c r="G122" i="20"/>
  <c r="H121" i="20"/>
  <c r="G121" i="20"/>
  <c r="E120" i="20"/>
  <c r="D120" i="20"/>
  <c r="I118" i="20"/>
  <c r="H118" i="20"/>
  <c r="G118" i="20"/>
  <c r="K115" i="20"/>
  <c r="H113" i="20"/>
  <c r="G113" i="20"/>
  <c r="I112" i="20"/>
  <c r="H112" i="20"/>
  <c r="G112" i="20"/>
  <c r="I111" i="20"/>
  <c r="H111" i="20"/>
  <c r="G111" i="20"/>
  <c r="I110" i="20"/>
  <c r="I109" i="20" s="1"/>
  <c r="H110" i="20"/>
  <c r="G110" i="20"/>
  <c r="E109" i="20"/>
  <c r="D109" i="20"/>
  <c r="I107" i="20"/>
  <c r="J107" i="20" s="1"/>
  <c r="H107" i="20"/>
  <c r="G107" i="20"/>
  <c r="I105" i="20"/>
  <c r="H105" i="20"/>
  <c r="G105" i="20"/>
  <c r="I103" i="20"/>
  <c r="J103" i="20" s="1"/>
  <c r="H103" i="20"/>
  <c r="G103" i="20"/>
  <c r="H101" i="20"/>
  <c r="I100" i="20"/>
  <c r="J100" i="20" s="1"/>
  <c r="H100" i="20"/>
  <c r="G100" i="20"/>
  <c r="I99" i="20"/>
  <c r="H99" i="20"/>
  <c r="G99" i="20"/>
  <c r="I98" i="20"/>
  <c r="H98" i="20"/>
  <c r="G98" i="20"/>
  <c r="E97" i="20"/>
  <c r="D97" i="20"/>
  <c r="I96" i="20"/>
  <c r="H96" i="20"/>
  <c r="G96" i="20"/>
  <c r="I91" i="20"/>
  <c r="H91" i="20"/>
  <c r="G91" i="20"/>
  <c r="I90" i="20"/>
  <c r="H90" i="20"/>
  <c r="G90" i="20"/>
  <c r="I87" i="20"/>
  <c r="H87" i="20"/>
  <c r="G87" i="20"/>
  <c r="H86" i="20"/>
  <c r="J86" i="20" s="1"/>
  <c r="K86" i="20" s="1"/>
  <c r="I85" i="20"/>
  <c r="H85" i="20"/>
  <c r="G85" i="20"/>
  <c r="I84" i="20"/>
  <c r="H84" i="20"/>
  <c r="G84" i="20"/>
  <c r="I82" i="20"/>
  <c r="H82" i="20"/>
  <c r="H81" i="20" s="1"/>
  <c r="E81" i="20"/>
  <c r="D81" i="20"/>
  <c r="I79" i="20"/>
  <c r="H79" i="20"/>
  <c r="G79" i="20"/>
  <c r="I78" i="20"/>
  <c r="H78" i="20"/>
  <c r="I77" i="20"/>
  <c r="H77" i="20"/>
  <c r="G77" i="20"/>
  <c r="I76" i="20"/>
  <c r="H76" i="20"/>
  <c r="I75" i="20"/>
  <c r="H75" i="20"/>
  <c r="G75" i="20"/>
  <c r="I74" i="20"/>
  <c r="H74" i="20"/>
  <c r="G74" i="20"/>
  <c r="E73" i="20"/>
  <c r="F73" i="20" s="1"/>
  <c r="D73" i="20"/>
  <c r="I72" i="20"/>
  <c r="H72" i="20"/>
  <c r="G72" i="20"/>
  <c r="I71" i="20"/>
  <c r="H71" i="20"/>
  <c r="G71" i="20"/>
  <c r="B71" i="20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207" i="20" s="1"/>
  <c r="I66" i="20"/>
  <c r="H66" i="20"/>
  <c r="E66" i="20"/>
  <c r="D66" i="20"/>
  <c r="I55" i="20"/>
  <c r="H55" i="20"/>
  <c r="E55" i="20"/>
  <c r="D55" i="20"/>
  <c r="B55" i="20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K53" i="20"/>
  <c r="G53" i="20"/>
  <c r="K52" i="20"/>
  <c r="G52" i="20"/>
  <c r="I49" i="20"/>
  <c r="J49" i="20" s="1"/>
  <c r="H49" i="20"/>
  <c r="G49" i="20"/>
  <c r="I48" i="20"/>
  <c r="H48" i="20"/>
  <c r="G48" i="20"/>
  <c r="I47" i="20"/>
  <c r="J47" i="20" s="1"/>
  <c r="H47" i="20"/>
  <c r="G47" i="20"/>
  <c r="I45" i="20"/>
  <c r="H45" i="20"/>
  <c r="H44" i="20" s="1"/>
  <c r="G45" i="20"/>
  <c r="I44" i="20"/>
  <c r="J44" i="20" s="1"/>
  <c r="E44" i="20"/>
  <c r="D44" i="20"/>
  <c r="I43" i="20"/>
  <c r="H43" i="20"/>
  <c r="G43" i="20"/>
  <c r="H42" i="20"/>
  <c r="E42" i="20"/>
  <c r="I41" i="20"/>
  <c r="J41" i="20" s="1"/>
  <c r="I40" i="20"/>
  <c r="H40" i="20"/>
  <c r="G40" i="20"/>
  <c r="D39" i="20"/>
  <c r="I38" i="20"/>
  <c r="H38" i="20"/>
  <c r="G38" i="20"/>
  <c r="B36" i="20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J40" i="20" l="1"/>
  <c r="J55" i="20"/>
  <c r="F66" i="20"/>
  <c r="J66" i="20"/>
  <c r="J71" i="20"/>
  <c r="J77" i="20"/>
  <c r="K77" i="20" s="1"/>
  <c r="J78" i="20"/>
  <c r="J82" i="20"/>
  <c r="J90" i="20"/>
  <c r="J96" i="20"/>
  <c r="F97" i="20"/>
  <c r="H109" i="20"/>
  <c r="J111" i="20"/>
  <c r="J123" i="20"/>
  <c r="J125" i="20"/>
  <c r="J126" i="20"/>
  <c r="J132" i="20"/>
  <c r="F136" i="20"/>
  <c r="F193" i="20"/>
  <c r="F194" i="20"/>
  <c r="F195" i="20"/>
  <c r="F196" i="20"/>
  <c r="F197" i="20"/>
  <c r="F198" i="20"/>
  <c r="F199" i="20"/>
  <c r="F55" i="20"/>
  <c r="I137" i="20"/>
  <c r="J137" i="20" s="1"/>
  <c r="J72" i="20"/>
  <c r="K72" i="20" s="1"/>
  <c r="J98" i="20"/>
  <c r="I97" i="20"/>
  <c r="I166" i="20"/>
  <c r="J166" i="20" s="1"/>
  <c r="H141" i="20"/>
  <c r="D36" i="20"/>
  <c r="D133" i="20" s="1"/>
  <c r="K44" i="20"/>
  <c r="E70" i="20"/>
  <c r="I73" i="20"/>
  <c r="J74" i="20"/>
  <c r="H73" i="20"/>
  <c r="D70" i="20"/>
  <c r="I81" i="20"/>
  <c r="J81" i="20" s="1"/>
  <c r="K81" i="20" s="1"/>
  <c r="J85" i="20"/>
  <c r="I108" i="20"/>
  <c r="J109" i="20"/>
  <c r="K109" i="20" s="1"/>
  <c r="D108" i="20"/>
  <c r="K121" i="20"/>
  <c r="J121" i="20"/>
  <c r="F126" i="20"/>
  <c r="E41" i="20"/>
  <c r="G137" i="20"/>
  <c r="F137" i="20"/>
  <c r="G138" i="20"/>
  <c r="F138" i="20"/>
  <c r="E166" i="20"/>
  <c r="F166" i="20" s="1"/>
  <c r="F141" i="20"/>
  <c r="D192" i="20"/>
  <c r="H192" i="20"/>
  <c r="J185" i="20"/>
  <c r="I193" i="20"/>
  <c r="J187" i="20"/>
  <c r="K187" i="20" s="1"/>
  <c r="I195" i="20"/>
  <c r="J189" i="20"/>
  <c r="I197" i="20"/>
  <c r="J191" i="20"/>
  <c r="K191" i="20" s="1"/>
  <c r="I199" i="20"/>
  <c r="J38" i="20"/>
  <c r="K38" i="20" s="1"/>
  <c r="H39" i="20"/>
  <c r="G42" i="20"/>
  <c r="F42" i="20"/>
  <c r="J43" i="20"/>
  <c r="K43" i="20" s="1"/>
  <c r="F44" i="20"/>
  <c r="G44" i="20" s="1"/>
  <c r="J45" i="20"/>
  <c r="K47" i="20"/>
  <c r="J48" i="20"/>
  <c r="K48" i="20" s="1"/>
  <c r="K49" i="20"/>
  <c r="H70" i="20"/>
  <c r="H130" i="20" s="1"/>
  <c r="G73" i="20"/>
  <c r="K74" i="20"/>
  <c r="J75" i="20"/>
  <c r="K75" i="20" s="1"/>
  <c r="J76" i="20"/>
  <c r="K76" i="20" s="1"/>
  <c r="J79" i="20"/>
  <c r="K79" i="20" s="1"/>
  <c r="F81" i="20"/>
  <c r="G81" i="20" s="1"/>
  <c r="K82" i="20"/>
  <c r="J84" i="20"/>
  <c r="K84" i="20" s="1"/>
  <c r="K85" i="20"/>
  <c r="J87" i="20"/>
  <c r="K87" i="20" s="1"/>
  <c r="K90" i="20"/>
  <c r="J91" i="20"/>
  <c r="K91" i="20" s="1"/>
  <c r="K96" i="20"/>
  <c r="G97" i="20"/>
  <c r="H97" i="20"/>
  <c r="J99" i="20"/>
  <c r="K99" i="20" s="1"/>
  <c r="K100" i="20"/>
  <c r="J101" i="20"/>
  <c r="K101" i="20" s="1"/>
  <c r="K103" i="20"/>
  <c r="J105" i="20"/>
  <c r="K105" i="20" s="1"/>
  <c r="K107" i="20"/>
  <c r="E108" i="20"/>
  <c r="F109" i="20"/>
  <c r="G109" i="20" s="1"/>
  <c r="J110" i="20"/>
  <c r="K110" i="20" s="1"/>
  <c r="K111" i="20"/>
  <c r="J112" i="20"/>
  <c r="K112" i="20" s="1"/>
  <c r="J113" i="20"/>
  <c r="K113" i="20" s="1"/>
  <c r="J118" i="20"/>
  <c r="K118" i="20" s="1"/>
  <c r="F120" i="20"/>
  <c r="G120" i="20" s="1"/>
  <c r="J122" i="20"/>
  <c r="K122" i="20" s="1"/>
  <c r="K123" i="20"/>
  <c r="J124" i="20"/>
  <c r="K124" i="20" s="1"/>
  <c r="K125" i="20"/>
  <c r="K132" i="20"/>
  <c r="G136" i="20"/>
  <c r="G141" i="20"/>
  <c r="J144" i="20"/>
  <c r="K144" i="20" s="1"/>
  <c r="K146" i="20"/>
  <c r="J150" i="20"/>
  <c r="K150" i="20" s="1"/>
  <c r="F153" i="20"/>
  <c r="G153" i="20" s="1"/>
  <c r="J153" i="20"/>
  <c r="K153" i="20" s="1"/>
  <c r="F154" i="20"/>
  <c r="G154" i="20" s="1"/>
  <c r="J154" i="20"/>
  <c r="K154" i="20" s="1"/>
  <c r="J157" i="20"/>
  <c r="K157" i="20" s="1"/>
  <c r="F159" i="20"/>
  <c r="J159" i="20"/>
  <c r="F172" i="20"/>
  <c r="G172" i="20" s="1"/>
  <c r="J172" i="20"/>
  <c r="K172" i="20" s="1"/>
  <c r="F176" i="20"/>
  <c r="G176" i="20" s="1"/>
  <c r="J176" i="20"/>
  <c r="K176" i="20" s="1"/>
  <c r="E192" i="20"/>
  <c r="F192" i="20" s="1"/>
  <c r="F184" i="20"/>
  <c r="I184" i="20"/>
  <c r="H193" i="20"/>
  <c r="J186" i="20"/>
  <c r="I194" i="20"/>
  <c r="J194" i="20" s="1"/>
  <c r="K194" i="20" s="1"/>
  <c r="H195" i="20"/>
  <c r="J188" i="20"/>
  <c r="K188" i="20" s="1"/>
  <c r="I196" i="20"/>
  <c r="J196" i="20" s="1"/>
  <c r="H197" i="20"/>
  <c r="J190" i="20"/>
  <c r="I198" i="20"/>
  <c r="J198" i="20" s="1"/>
  <c r="K198" i="20" s="1"/>
  <c r="H199" i="20"/>
  <c r="G193" i="20"/>
  <c r="G194" i="20"/>
  <c r="G195" i="20"/>
  <c r="G196" i="20"/>
  <c r="G197" i="20"/>
  <c r="G198" i="20"/>
  <c r="G199" i="20"/>
  <c r="H36" i="20"/>
  <c r="K40" i="20"/>
  <c r="I42" i="20"/>
  <c r="K137" i="20"/>
  <c r="G192" i="20"/>
  <c r="K196" i="20"/>
  <c r="K45" i="20"/>
  <c r="K71" i="20"/>
  <c r="K98" i="20"/>
  <c r="G184" i="20"/>
  <c r="K186" i="20"/>
  <c r="K190" i="20"/>
  <c r="H120" i="20"/>
  <c r="J120" i="20" s="1"/>
  <c r="K185" i="20"/>
  <c r="K189" i="20"/>
  <c r="J97" i="20" l="1"/>
  <c r="J199" i="20"/>
  <c r="K199" i="20" s="1"/>
  <c r="J197" i="20"/>
  <c r="K197" i="20" s="1"/>
  <c r="J195" i="20"/>
  <c r="K195" i="20" s="1"/>
  <c r="J193" i="20"/>
  <c r="K193" i="20" s="1"/>
  <c r="I70" i="20"/>
  <c r="J73" i="20"/>
  <c r="J141" i="20"/>
  <c r="K141" i="20" s="1"/>
  <c r="I39" i="20"/>
  <c r="J39" i="20" s="1"/>
  <c r="J42" i="20"/>
  <c r="J184" i="20"/>
  <c r="K184" i="20" s="1"/>
  <c r="I138" i="20"/>
  <c r="J138" i="20" s="1"/>
  <c r="K138" i="20" s="1"/>
  <c r="I192" i="20"/>
  <c r="J192" i="20" s="1"/>
  <c r="K192" i="20" s="1"/>
  <c r="F108" i="20"/>
  <c r="G108" i="20" s="1"/>
  <c r="K97" i="20"/>
  <c r="F41" i="20"/>
  <c r="E39" i="20"/>
  <c r="D54" i="20"/>
  <c r="D134" i="20" s="1"/>
  <c r="K73" i="20"/>
  <c r="E130" i="20"/>
  <c r="F70" i="20"/>
  <c r="G70" i="20" s="1"/>
  <c r="E54" i="20"/>
  <c r="I131" i="20"/>
  <c r="I36" i="20"/>
  <c r="H133" i="20"/>
  <c r="K42" i="20"/>
  <c r="K120" i="20"/>
  <c r="H108" i="20"/>
  <c r="J108" i="20" s="1"/>
  <c r="K39" i="20"/>
  <c r="I136" i="20" l="1"/>
  <c r="I133" i="20"/>
  <c r="J36" i="20"/>
  <c r="K36" i="20" s="1"/>
  <c r="F130" i="20"/>
  <c r="G130" i="20" s="1"/>
  <c r="D135" i="20"/>
  <c r="I54" i="20"/>
  <c r="J70" i="20"/>
  <c r="K70" i="20" s="1"/>
  <c r="I130" i="20"/>
  <c r="J130" i="20" s="1"/>
  <c r="K130" i="20" s="1"/>
  <c r="J136" i="20"/>
  <c r="K136" i="20" s="1"/>
  <c r="E134" i="20"/>
  <c r="F134" i="20" s="1"/>
  <c r="G134" i="20" s="1"/>
  <c r="F54" i="20"/>
  <c r="G54" i="20" s="1"/>
  <c r="E131" i="20"/>
  <c r="F39" i="20"/>
  <c r="G39" i="20" s="1"/>
  <c r="E36" i="20"/>
  <c r="K108" i="20"/>
  <c r="H131" i="20"/>
  <c r="J131" i="20" s="1"/>
  <c r="H54" i="20"/>
  <c r="K131" i="20" l="1"/>
  <c r="E133" i="20"/>
  <c r="F36" i="20"/>
  <c r="G36" i="20" s="1"/>
  <c r="G131" i="20"/>
  <c r="F131" i="20"/>
  <c r="I134" i="20"/>
  <c r="J134" i="20" s="1"/>
  <c r="J54" i="20"/>
  <c r="J133" i="20"/>
  <c r="K133" i="20" s="1"/>
  <c r="H134" i="20"/>
  <c r="K54" i="20"/>
  <c r="I135" i="20" l="1"/>
  <c r="E135" i="20"/>
  <c r="F135" i="20" s="1"/>
  <c r="F133" i="20"/>
  <c r="G133" i="20" s="1"/>
  <c r="K134" i="20"/>
  <c r="H135" i="20"/>
  <c r="J135" i="20" l="1"/>
</calcChain>
</file>

<file path=xl/sharedStrings.xml><?xml version="1.0" encoding="utf-8"?>
<sst xmlns="http://schemas.openxmlformats.org/spreadsheetml/2006/main" count="363" uniqueCount="298">
  <si>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</si>
  <si>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</si>
  <si>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</si>
  <si>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</si>
  <si>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</si>
  <si>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</si>
  <si>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</si>
  <si>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</si>
  <si>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</si>
  <si>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</si>
  <si>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</si>
  <si>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</si>
  <si>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</si>
  <si>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</si>
  <si>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</si>
  <si>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</si>
  <si>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</si>
  <si>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</si>
  <si>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</si>
  <si>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</si>
  <si>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</si>
  <si>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</si>
  <si>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</si>
  <si>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</si>
  <si>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</si>
  <si>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</si>
  <si>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</si>
  <si>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</si>
  <si>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</si>
  <si>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</si>
  <si>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</si>
  <si>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</si>
  <si>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</si>
  <si>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</si>
  <si>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</si>
  <si>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</si>
  <si>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</si>
  <si>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</si>
  <si>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</si>
  <si>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</si>
  <si>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</si>
  <si>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</si>
  <si>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</si>
  <si>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</si>
  <si>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</si>
  <si>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</si>
  <si>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</si>
  <si>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</si>
  <si>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</si>
  <si>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</si>
  <si>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</si>
  <si>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</si>
  <si>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</si>
  <si>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</si>
  <si>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</si>
  <si>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</si>
  <si>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</si>
  <si>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</si>
  <si>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</si>
  <si>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</si>
  <si>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</si>
  <si>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</si>
  <si>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</si>
  <si>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</si>
  <si>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</si>
  <si>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</si>
  <si>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</si>
  <si>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</si>
  <si>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</si>
  <si>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</si>
  <si>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</si>
  <si>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</si>
  <si>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</si>
  <si>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</si>
  <si>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</si>
  <si>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</si>
  <si>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</si>
  <si>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</si>
  <si>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</si>
  <si>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</si>
  <si>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</si>
  <si>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</si>
  <si>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</si>
  <si>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</si>
  <si>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</si>
  <si>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</si>
  <si>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</si>
  <si>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</si>
  <si>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</si>
  <si>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</si>
  <si>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</si>
  <si>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</si>
  <si>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</si>
  <si>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</si>
  <si>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</si>
  <si>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</si>
  <si>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</si>
  <si>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</si>
  <si>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</si>
  <si>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</si>
  <si>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</si>
  <si>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</si>
  <si>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</si>
  <si>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</si>
  <si>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</si>
  <si>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</si>
  <si>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</si>
  <si>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</si>
  <si>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</si>
  <si>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</si>
  <si>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</si>
  <si>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</si>
  <si>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</si>
  <si>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</si>
  <si>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</si>
  <si>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</si>
  <si>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</si>
  <si>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</si>
  <si>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</si>
  <si>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</si>
  <si>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</si>
  <si>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</si>
  <si>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</si>
  <si>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</si>
  <si>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</si>
  <si>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</si>
  <si>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</si>
  <si>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</si>
  <si>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</si>
  <si>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</si>
  <si>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</si>
  <si>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</si>
  <si>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</si>
  <si>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</si>
  <si>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</si>
  <si>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</si>
  <si>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</si>
  <si>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</si>
  <si>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</si>
  <si>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</si>
  <si>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</si>
  <si>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</si>
  <si>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</si>
  <si>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</si>
  <si>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</si>
  <si>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</si>
  <si>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</si>
  <si>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</si>
  <si>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</si>
  <si>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</si>
  <si>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</si>
  <si>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</si>
  <si>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</si>
  <si>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</si>
  <si>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</si>
  <si>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</si>
  <si>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</si>
  <si>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</si>
  <si>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</si>
  <si>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</si>
  <si>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</si>
  <si>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</si>
  <si>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</si>
  <si>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</si>
  <si>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</si>
  <si>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</si>
  <si>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</si>
  <si>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</si>
  <si>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</si>
  <si>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</si>
  <si>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</si>
  <si>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</si>
  <si>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</si>
  <si>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</si>
  <si>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</si>
  <si>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</si>
  <si>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</si>
  <si>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</si>
  <si>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</si>
  <si>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</si>
  <si>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</si>
  <si>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</si>
  <si>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</si>
  <si>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</si>
  <si>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</si>
  <si>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</si>
  <si>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</si>
  <si>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</si>
  <si>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</si>
  <si>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</si>
  <si>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</si>
  <si>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</si>
  <si>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</si>
  <si>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</si>
  <si>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</si>
  <si>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</si>
  <si>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</si>
  <si>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</si>
  <si>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</si>
  <si>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</si>
  <si>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</si>
  <si>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</si>
  <si>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</si>
  <si>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</si>
  <si>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</si>
  <si>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</si>
  <si>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</si>
  <si>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</si>
  <si>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</si>
  <si>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</si>
  <si>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</si>
  <si>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</si>
  <si>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</si>
  <si>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</si>
  <si>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</si>
  <si>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</si>
  <si>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</si>
  <si>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</si>
  <si>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</si>
  <si>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</si>
  <si>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</si>
  <si>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</si>
  <si>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</si>
  <si>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</si>
  <si>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</si>
  <si>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</si>
  <si>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</si>
  <si>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</si>
  <si>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</si>
  <si>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</si>
  <si>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</si>
  <si>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</si>
  <si>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</si>
  <si>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</si>
  <si>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</si>
  <si>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</si>
  <si>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</si>
  <si>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</si>
  <si>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</si>
  <si>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</si>
  <si>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</si>
  <si>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</si>
  <si>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</si>
  <si>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</si>
  <si>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</si>
  <si>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</si>
  <si>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</si>
  <si>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</si>
  <si>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</si>
  <si>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</si>
  <si>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</si>
  <si>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</si>
  <si>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</si>
  <si>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</si>
  <si>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</si>
  <si>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</si>
  <si>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</si>
  <si>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</si>
  <si>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</si>
  <si>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</si>
  <si>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</si>
  <si>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</si>
  <si>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</si>
  <si>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</si>
  <si>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</si>
  <si>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</si>
  <si>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</si>
  <si>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</si>
  <si>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</si>
  <si>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</si>
  <si>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</si>
  <si>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</si>
  <si>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</si>
  <si>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</si>
  <si>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</si>
  <si>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</si>
  <si>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</si>
  <si>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</si>
  <si>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</si>
  <si>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</si>
  <si>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</si>
  <si>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</si>
  <si>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</si>
  <si>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</si>
  <si>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</si>
  <si>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</si>
  <si>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обл., м.Івано-Франківськ, вул.Привоклальна, 17</t>
  </si>
  <si>
    <t>59-22-27</t>
  </si>
  <si>
    <t>Савчук О.В.</t>
  </si>
  <si>
    <t>Директор</t>
  </si>
  <si>
    <t>Ольга САВЧУК</t>
  </si>
  <si>
    <t>Руслан МАРЦІНКІВ</t>
  </si>
  <si>
    <t xml:space="preserve">                                                 Галина ЯЦКІВ</t>
  </si>
  <si>
    <t xml:space="preserve">                                                 Алла ВАЦЕБА</t>
  </si>
  <si>
    <t>Звітний період ( IІ квартал 2023 року)</t>
  </si>
  <si>
    <t>Зміни на 30.06.2023</t>
  </si>
  <si>
    <t>ЗВІТ ПРО ВИКОНАННЯ  ФІНАНСОВОГО ПЛАНУ ПІДПРИЄМСТВА ЗА I півріччя 2023 року</t>
  </si>
  <si>
    <t>Звітний період наростаючим підсумком з початку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</si>
</sst>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#,##0.0"/>
    <numFmt numFmtId="176" formatCode="0.0%"/>
  </numFmts>
  <fonts count="8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Calibri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226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8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8" fillId="30" borderId="17" xfId="0" applyNumberFormat="1" applyFont="1" applyFill="1" applyBorder="1" applyAlignment="1">
      <alignment vertical="center" wrapText="1"/>
    </xf>
    <xf numFmtId="0" fontId="71" fillId="30" borderId="29" xfId="0" applyFont="1" applyFill="1" applyBorder="1" applyAlignment="1">
      <alignment vertical="center" wrapText="1"/>
    </xf>
    <xf numFmtId="49" fontId="68" fillId="30" borderId="29" xfId="0" applyNumberFormat="1" applyFont="1" applyFill="1" applyBorder="1" applyAlignment="1">
      <alignment vertical="center" wrapText="1"/>
    </xf>
    <xf numFmtId="49" fontId="68" fillId="28" borderId="17" xfId="0" applyNumberFormat="1" applyFont="1" applyFill="1" applyBorder="1" applyAlignment="1">
      <alignment vertical="center" wrapText="1"/>
    </xf>
    <xf numFmtId="49" fontId="75" fillId="28" borderId="24" xfId="0" applyNumberFormat="1" applyFont="1" applyFill="1" applyBorder="1" applyAlignment="1">
      <alignment vertical="center" wrapText="1"/>
    </xf>
    <xf numFmtId="0" fontId="75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8" fillId="0" borderId="0" xfId="0" applyFont="1" applyFill="1" applyBorder="1" applyAlignment="1">
      <alignment horizontal="left" vertical="center" wrapText="1"/>
    </xf>
    <xf numFmtId="0" fontId="76" fillId="0" borderId="0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center" vertical="center"/>
    </xf>
    <xf numFmtId="0" fontId="68" fillId="0" borderId="0" xfId="0" applyFont="1" applyFill="1" applyAlignment="1">
      <alignment horizontal="left" vertical="center"/>
    </xf>
    <xf numFmtId="0" fontId="68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68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77" fillId="0" borderId="0" xfId="0" applyFont="1" applyFill="1" applyBorder="1" applyAlignment="1">
      <alignment vertical="center"/>
    </xf>
    <xf numFmtId="0" fontId="77" fillId="0" borderId="0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left" vertical="center" wrapText="1"/>
    </xf>
    <xf numFmtId="0" fontId="77" fillId="28" borderId="0" xfId="0" applyFont="1" applyFill="1" applyBorder="1" applyAlignment="1">
      <alignment horizontal="center" vertical="center"/>
    </xf>
    <xf numFmtId="0" fontId="77" fillId="28" borderId="0" xfId="0" applyFont="1" applyFill="1" applyBorder="1" applyAlignment="1">
      <alignment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23" xfId="0" applyFont="1" applyFill="1" applyBorder="1" applyAlignment="1">
      <alignment horizontal="left" vertical="center"/>
    </xf>
    <xf numFmtId="0" fontId="77" fillId="28" borderId="32" xfId="0" applyFont="1" applyFill="1" applyBorder="1" applyAlignment="1">
      <alignment horizontal="center" vertical="center"/>
    </xf>
    <xf numFmtId="0" fontId="77" fillId="0" borderId="28" xfId="0" applyFont="1" applyBorder="1" applyAlignment="1">
      <alignment vertical="center" wrapText="1"/>
    </xf>
    <xf numFmtId="0" fontId="77" fillId="0" borderId="28" xfId="0" applyFont="1" applyFill="1" applyBorder="1" applyAlignment="1">
      <alignment horizontal="center" vertical="center" wrapText="1"/>
    </xf>
    <xf numFmtId="0" fontId="77" fillId="0" borderId="30" xfId="0" applyFont="1" applyBorder="1" applyAlignment="1">
      <alignment vertical="center" wrapText="1"/>
    </xf>
    <xf numFmtId="0" fontId="77" fillId="0" borderId="30" xfId="0" applyFont="1" applyFill="1" applyBorder="1" applyAlignment="1">
      <alignment horizontal="center" vertical="center" wrapText="1"/>
    </xf>
    <xf numFmtId="0" fontId="77" fillId="0" borderId="29" xfId="0" applyFont="1" applyBorder="1" applyAlignment="1">
      <alignment vertical="center" wrapText="1"/>
    </xf>
    <xf numFmtId="0" fontId="77" fillId="0" borderId="30" xfId="0" applyFont="1" applyBorder="1" applyAlignment="1">
      <alignment horizontal="left" vertical="center" wrapText="1"/>
    </xf>
    <xf numFmtId="0" fontId="77" fillId="0" borderId="29" xfId="0" applyFont="1" applyBorder="1" applyAlignment="1">
      <alignment horizontal="left" vertical="center" wrapText="1"/>
    </xf>
    <xf numFmtId="0" fontId="77" fillId="0" borderId="0" xfId="0" applyFont="1" applyAlignment="1">
      <alignment vertical="center" wrapText="1"/>
    </xf>
    <xf numFmtId="0" fontId="77" fillId="0" borderId="30" xfId="0" applyFont="1" applyFill="1" applyBorder="1" applyAlignment="1">
      <alignment horizontal="center" vertical="center"/>
    </xf>
    <xf numFmtId="0" fontId="78" fillId="0" borderId="0" xfId="0" applyFont="1"/>
    <xf numFmtId="0" fontId="77" fillId="28" borderId="19" xfId="0" applyFont="1" applyFill="1" applyBorder="1" applyAlignment="1">
      <alignment horizontal="center" vertical="center" wrapText="1"/>
    </xf>
    <xf numFmtId="0" fontId="77" fillId="28" borderId="16" xfId="0" applyFont="1" applyFill="1" applyBorder="1" applyAlignment="1">
      <alignment horizontal="center"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7" fillId="28" borderId="30" xfId="0" applyFont="1" applyFill="1" applyBorder="1" applyAlignment="1">
      <alignment vertical="center" wrapText="1"/>
    </xf>
    <xf numFmtId="0" fontId="62" fillId="28" borderId="37" xfId="0" applyFont="1" applyFill="1" applyBorder="1" applyAlignment="1">
      <alignment vertical="center" wrapText="1"/>
    </xf>
    <xf numFmtId="0" fontId="79" fillId="0" borderId="14" xfId="0" applyFont="1" applyFill="1" applyBorder="1" applyAlignment="1">
      <alignment horizontal="center" vertical="center"/>
    </xf>
    <xf numFmtId="0" fontId="80" fillId="0" borderId="16" xfId="0" applyFont="1" applyFill="1" applyBorder="1" applyAlignment="1">
      <alignment horizontal="center" vertical="center"/>
    </xf>
    <xf numFmtId="0" fontId="69" fillId="28" borderId="15" xfId="0" applyFont="1" applyFill="1" applyBorder="1" applyAlignment="1">
      <alignment horizontal="center" vertical="center" wrapText="1"/>
    </xf>
    <xf numFmtId="0" fontId="69" fillId="28" borderId="38" xfId="0" applyFont="1" applyFill="1" applyBorder="1" applyAlignment="1">
      <alignment horizontal="center" vertical="center" wrapText="1"/>
    </xf>
    <xf numFmtId="0" fontId="69" fillId="28" borderId="22" xfId="0" applyFont="1" applyFill="1" applyBorder="1" applyAlignment="1">
      <alignment horizontal="center" vertical="center" wrapText="1"/>
    </xf>
    <xf numFmtId="0" fontId="70" fillId="28" borderId="40" xfId="0" applyFont="1" applyFill="1" applyBorder="1" applyAlignment="1">
      <alignment vertical="center" wrapText="1"/>
    </xf>
    <xf numFmtId="0" fontId="62" fillId="28" borderId="40" xfId="0" applyFont="1" applyFill="1" applyBorder="1" applyAlignment="1">
      <alignment vertical="center" wrapText="1"/>
    </xf>
    <xf numFmtId="0" fontId="70" fillId="28" borderId="37" xfId="0" applyFont="1" applyFill="1" applyBorder="1" applyAlignment="1">
      <alignment vertical="center" wrapText="1"/>
    </xf>
    <xf numFmtId="0" fontId="70" fillId="28" borderId="41" xfId="0" applyFont="1" applyFill="1" applyBorder="1" applyAlignment="1">
      <alignment vertical="center" wrapText="1"/>
    </xf>
    <xf numFmtId="0" fontId="72" fillId="28" borderId="40" xfId="0" applyFont="1" applyFill="1" applyBorder="1" applyAlignment="1">
      <alignment vertical="center" wrapText="1"/>
    </xf>
    <xf numFmtId="0" fontId="69" fillId="28" borderId="42" xfId="0" applyFont="1" applyFill="1" applyBorder="1" applyAlignment="1">
      <alignment horizontal="center" vertical="center" wrapText="1"/>
    </xf>
    <xf numFmtId="0" fontId="69" fillId="28" borderId="25" xfId="0" applyFont="1" applyFill="1" applyBorder="1" applyAlignment="1">
      <alignment horizontal="center" vertical="center" wrapText="1"/>
    </xf>
    <xf numFmtId="0" fontId="68" fillId="30" borderId="28" xfId="0" applyFont="1" applyFill="1" applyBorder="1" applyAlignment="1">
      <alignment vertical="center" wrapText="1"/>
    </xf>
    <xf numFmtId="0" fontId="69" fillId="30" borderId="15" xfId="0" applyFont="1" applyFill="1" applyBorder="1" applyAlignment="1">
      <alignment horizontal="center" vertical="center" wrapText="1"/>
    </xf>
    <xf numFmtId="0" fontId="72" fillId="28" borderId="37" xfId="0" applyFont="1" applyFill="1" applyBorder="1" applyAlignment="1">
      <alignment vertical="center" wrapText="1"/>
    </xf>
    <xf numFmtId="0" fontId="73" fillId="28" borderId="4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69" fillId="28" borderId="20" xfId="0" applyFont="1" applyFill="1" applyBorder="1" applyAlignment="1">
      <alignment horizontal="center" vertical="center" wrapText="1"/>
    </xf>
    <xf numFmtId="0" fontId="72" fillId="28" borderId="41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69" fillId="28" borderId="14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vertical="center" wrapText="1"/>
    </xf>
    <xf numFmtId="0" fontId="68" fillId="31" borderId="15" xfId="0" applyFont="1" applyFill="1" applyBorder="1" applyAlignment="1">
      <alignment vertical="center" wrapText="1"/>
    </xf>
    <xf numFmtId="0" fontId="69" fillId="31" borderId="19" xfId="0" applyFont="1" applyFill="1" applyBorder="1" applyAlignment="1">
      <alignment horizontal="center" vertical="center" wrapText="1"/>
    </xf>
    <xf numFmtId="0" fontId="68" fillId="31" borderId="28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79" fillId="0" borderId="14" xfId="0" applyFont="1" applyFill="1" applyBorder="1" applyAlignment="1">
      <alignment horizontal="center" vertical="center" wrapText="1"/>
    </xf>
    <xf numFmtId="0" fontId="68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8" fillId="30" borderId="15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0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31" borderId="28" xfId="0" applyFont="1" applyFill="1" applyBorder="1" applyAlignment="1">
      <alignment vertical="center" wrapText="1"/>
    </xf>
    <xf numFmtId="0" fontId="66" fillId="28" borderId="15" xfId="0" applyFont="1" applyFill="1" applyBorder="1" applyAlignment="1">
      <alignment horizontal="center" vertical="center" wrapText="1"/>
    </xf>
    <xf numFmtId="0" fontId="62" fillId="28" borderId="21" xfId="0" applyFont="1" applyFill="1" applyBorder="1" applyAlignment="1">
      <alignment horizontal="center" vertical="center" wrapText="1"/>
    </xf>
    <xf numFmtId="0" fontId="70" fillId="28" borderId="21" xfId="0" applyFont="1" applyFill="1" applyBorder="1" applyAlignment="1">
      <alignment horizontal="center" vertical="center" wrapText="1"/>
    </xf>
    <xf numFmtId="0" fontId="70" fillId="28" borderId="16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2" fillId="28" borderId="21" xfId="0" applyFont="1" applyFill="1" applyBorder="1" applyAlignment="1">
      <alignment horizontal="center" vertical="center" wrapText="1"/>
    </xf>
    <xf numFmtId="0" fontId="72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2" fillId="28" borderId="16" xfId="0" applyFont="1" applyFill="1" applyBorder="1" applyAlignment="1">
      <alignment horizontal="center" vertical="center" wrapText="1"/>
    </xf>
    <xf numFmtId="0" fontId="72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8" fillId="31" borderId="17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0" fontId="68" fillId="31" borderId="30" xfId="0" applyFont="1" applyFill="1" applyBorder="1" applyAlignment="1">
      <alignment vertical="center" wrapText="1"/>
    </xf>
    <xf numFmtId="0" fontId="68" fillId="31" borderId="29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vertical="center"/>
    </xf>
    <xf numFmtId="0" fontId="64" fillId="0" borderId="30" xfId="0" applyFont="1" applyFill="1" applyBorder="1" applyAlignment="1">
      <alignment horizontal="center" vertical="center" wrapText="1"/>
    </xf>
    <xf numFmtId="0" fontId="64" fillId="0" borderId="27" xfId="0" applyFont="1" applyFill="1" applyBorder="1" applyAlignment="1">
      <alignment vertical="center" wrapText="1"/>
    </xf>
    <xf numFmtId="2" fontId="77" fillId="0" borderId="29" xfId="0" applyNumberFormat="1" applyFont="1" applyBorder="1" applyAlignment="1">
      <alignment vertical="center" wrapText="1"/>
    </xf>
    <xf numFmtId="175" fontId="62" fillId="31" borderId="18" xfId="0" applyNumberFormat="1" applyFont="1" applyFill="1" applyBorder="1" applyAlignment="1">
      <alignment vertical="center" wrapText="1"/>
    </xf>
    <xf numFmtId="175" fontId="66" fillId="31" borderId="46" xfId="0" applyNumberFormat="1" applyFont="1" applyFill="1" applyBorder="1" applyAlignment="1">
      <alignment vertical="center" wrapText="1"/>
    </xf>
    <xf numFmtId="175" fontId="62" fillId="31" borderId="14" xfId="0" applyNumberFormat="1" applyFont="1" applyFill="1" applyBorder="1" applyAlignment="1">
      <alignment horizontal="center" vertical="center" wrapText="1"/>
    </xf>
    <xf numFmtId="176" fontId="66" fillId="31" borderId="47" xfId="0" applyNumberFormat="1" applyFont="1" applyFill="1" applyBorder="1" applyAlignment="1">
      <alignment vertical="center" wrapText="1"/>
    </xf>
    <xf numFmtId="176" fontId="62" fillId="31" borderId="44" xfId="0" applyNumberFormat="1" applyFont="1" applyFill="1" applyBorder="1" applyAlignment="1">
      <alignment vertical="center" wrapText="1"/>
    </xf>
    <xf numFmtId="175" fontId="62" fillId="31" borderId="15" xfId="0" applyNumberFormat="1" applyFont="1" applyFill="1" applyBorder="1" applyAlignment="1">
      <alignment horizontal="right" vertical="center" wrapText="1"/>
    </xf>
    <xf numFmtId="175" fontId="62" fillId="31" borderId="45" xfId="0" applyNumberFormat="1" applyFont="1" applyFill="1" applyBorder="1" applyAlignment="1">
      <alignment horizontal="right" vertical="center" wrapText="1"/>
    </xf>
    <xf numFmtId="175" fontId="62" fillId="31" borderId="39" xfId="0" applyNumberFormat="1" applyFont="1" applyFill="1" applyBorder="1" applyAlignment="1">
      <alignment horizontal="right" vertical="center" wrapText="1"/>
    </xf>
    <xf numFmtId="175" fontId="65" fillId="31" borderId="15" xfId="0" applyNumberFormat="1" applyFont="1" applyFill="1" applyBorder="1" applyAlignment="1">
      <alignment horizontal="right" vertical="center" wrapText="1"/>
    </xf>
    <xf numFmtId="175" fontId="62" fillId="31" borderId="14" xfId="0" applyNumberFormat="1" applyFont="1" applyFill="1" applyBorder="1" applyAlignment="1">
      <alignment horizontal="right" vertical="center" wrapText="1"/>
    </xf>
    <xf numFmtId="175" fontId="65" fillId="31" borderId="14" xfId="0" applyNumberFormat="1" applyFont="1" applyFill="1" applyBorder="1" applyAlignment="1">
      <alignment horizontal="right" vertical="center" wrapText="1"/>
    </xf>
    <xf numFmtId="175" fontId="62" fillId="28" borderId="22" xfId="0" applyNumberFormat="1" applyFont="1" applyFill="1" applyBorder="1" applyAlignment="1">
      <alignment horizontal="right" vertical="center"/>
    </xf>
    <xf numFmtId="175" fontId="62" fillId="28" borderId="25" xfId="0" applyNumberFormat="1" applyFont="1" applyFill="1" applyBorder="1" applyAlignment="1">
      <alignment horizontal="right" vertical="center"/>
    </xf>
    <xf numFmtId="175" fontId="65" fillId="31" borderId="0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Alignment="1">
      <alignment vertical="center" wrapText="1"/>
    </xf>
    <xf numFmtId="175" fontId="62" fillId="28" borderId="0" xfId="0" applyNumberFormat="1" applyFont="1" applyFill="1" applyBorder="1" applyAlignment="1">
      <alignment vertical="center" wrapText="1"/>
    </xf>
    <xf numFmtId="176" fontId="62" fillId="0" borderId="44" xfId="0" applyNumberFormat="1" applyFont="1" applyFill="1" applyBorder="1" applyAlignment="1">
      <alignment vertical="center" wrapText="1"/>
    </xf>
    <xf numFmtId="175" fontId="65" fillId="0" borderId="20" xfId="0" applyNumberFormat="1" applyFont="1" applyFill="1" applyBorder="1" applyAlignment="1">
      <alignment horizontal="right" vertical="center" wrapText="1"/>
    </xf>
    <xf numFmtId="176" fontId="62" fillId="0" borderId="17" xfId="0" applyNumberFormat="1" applyFont="1" applyFill="1" applyBorder="1" applyAlignment="1">
      <alignment vertical="center" wrapText="1"/>
    </xf>
    <xf numFmtId="175" fontId="62" fillId="0" borderId="0" xfId="0" applyNumberFormat="1" applyFont="1" applyFill="1" applyAlignment="1">
      <alignment vertical="center" wrapText="1"/>
    </xf>
    <xf numFmtId="0" fontId="62" fillId="0" borderId="0" xfId="0" applyFont="1" applyFill="1" applyAlignment="1">
      <alignment vertical="center" wrapText="1"/>
    </xf>
    <xf numFmtId="175" fontId="62" fillId="0" borderId="15" xfId="0" applyNumberFormat="1" applyFont="1" applyFill="1" applyBorder="1" applyAlignment="1">
      <alignment horizontal="right" vertical="center"/>
    </xf>
    <xf numFmtId="175" fontId="68" fillId="28" borderId="0" xfId="0" applyNumberFormat="1" applyFont="1" applyFill="1" applyBorder="1" applyAlignment="1">
      <alignment vertical="center" wrapText="1"/>
    </xf>
    <xf numFmtId="175" fontId="65" fillId="0" borderId="38" xfId="0" applyNumberFormat="1" applyFont="1" applyFill="1" applyBorder="1" applyAlignment="1">
      <alignment horizontal="right" vertical="center" wrapText="1"/>
    </xf>
    <xf numFmtId="175" fontId="62" fillId="30" borderId="15" xfId="0" applyNumberFormat="1" applyFont="1" applyFill="1" applyBorder="1" applyAlignment="1">
      <alignment horizontal="right" vertical="center" wrapText="1"/>
    </xf>
    <xf numFmtId="175" fontId="65" fillId="30" borderId="15" xfId="0" applyNumberFormat="1" applyFont="1" applyFill="1" applyBorder="1" applyAlignment="1">
      <alignment horizontal="right" vertical="center" wrapText="1"/>
    </xf>
    <xf numFmtId="176" fontId="62" fillId="30" borderId="44" xfId="0" applyNumberFormat="1" applyFont="1" applyFill="1" applyBorder="1" applyAlignment="1">
      <alignment vertical="center" wrapText="1"/>
    </xf>
    <xf numFmtId="175" fontId="62" fillId="0" borderId="20" xfId="0" applyNumberFormat="1" applyFont="1" applyFill="1" applyBorder="1" applyAlignment="1">
      <alignment horizontal="right" vertical="center" wrapText="1"/>
    </xf>
    <xf numFmtId="175" fontId="62" fillId="0" borderId="48" xfId="0" applyNumberFormat="1" applyFont="1" applyFill="1" applyBorder="1" applyAlignment="1">
      <alignment horizontal="right" vertical="center" wrapText="1"/>
    </xf>
    <xf numFmtId="175" fontId="62" fillId="0" borderId="22" xfId="0" applyNumberFormat="1" applyFont="1" applyFill="1" applyBorder="1" applyAlignment="1">
      <alignment horizontal="right" vertical="center" wrapText="1"/>
    </xf>
    <xf numFmtId="175" fontId="70" fillId="0" borderId="22" xfId="0" applyNumberFormat="1" applyFont="1" applyFill="1" applyBorder="1" applyAlignment="1">
      <alignment horizontal="right" vertical="center" wrapText="1"/>
    </xf>
    <xf numFmtId="175" fontId="62" fillId="0" borderId="15" xfId="0" applyNumberFormat="1" applyFont="1" applyFill="1" applyBorder="1" applyAlignment="1">
      <alignment horizontal="right" vertical="center" wrapText="1"/>
    </xf>
    <xf numFmtId="175" fontId="62" fillId="0" borderId="14" xfId="0" applyNumberFormat="1" applyFont="1" applyFill="1" applyBorder="1" applyAlignment="1">
      <alignment horizontal="right" vertical="center" wrapText="1"/>
    </xf>
    <xf numFmtId="175" fontId="65" fillId="0" borderId="48" xfId="0" applyNumberFormat="1" applyFont="1" applyFill="1" applyBorder="1" applyAlignment="1">
      <alignment horizontal="right" vertical="center" wrapText="1"/>
    </xf>
    <xf numFmtId="175" fontId="72" fillId="0" borderId="22" xfId="0" applyNumberFormat="1" applyFont="1" applyFill="1" applyBorder="1" applyAlignment="1">
      <alignment horizontal="right" vertical="center" wrapText="1"/>
    </xf>
    <xf numFmtId="175" fontId="72" fillId="0" borderId="42" xfId="0" applyNumberFormat="1" applyFont="1" applyFill="1" applyBorder="1" applyAlignment="1">
      <alignment horizontal="right" vertical="center" wrapText="1"/>
    </xf>
    <xf numFmtId="175" fontId="62" fillId="0" borderId="38" xfId="0" applyNumberFormat="1" applyFont="1" applyFill="1" applyBorder="1" applyAlignment="1">
      <alignment horizontal="right" vertical="center" wrapText="1"/>
    </xf>
    <xf numFmtId="175" fontId="81" fillId="0" borderId="20" xfId="0" applyNumberFormat="1" applyFont="1" applyFill="1" applyBorder="1" applyAlignment="1">
      <alignment horizontal="right" vertical="center" wrapText="1"/>
    </xf>
    <xf numFmtId="175" fontId="72" fillId="0" borderId="14" xfId="0" applyNumberFormat="1" applyFont="1" applyFill="1" applyBorder="1" applyAlignment="1">
      <alignment horizontal="right" vertical="center" wrapText="1"/>
    </xf>
    <xf numFmtId="175" fontId="62" fillId="0" borderId="25" xfId="0" applyNumberFormat="1" applyFont="1" applyFill="1" applyBorder="1" applyAlignment="1">
      <alignment horizontal="right" vertical="center" wrapText="1"/>
    </xf>
    <xf numFmtId="175" fontId="65" fillId="0" borderId="22" xfId="0" applyNumberFormat="1" applyFont="1" applyFill="1" applyBorder="1" applyAlignment="1">
      <alignment horizontal="right" vertical="center" wrapText="1"/>
    </xf>
    <xf numFmtId="175" fontId="62" fillId="0" borderId="42" xfId="0" applyNumberFormat="1" applyFont="1" applyFill="1" applyBorder="1" applyAlignment="1">
      <alignment horizontal="right" vertical="center" wrapText="1"/>
    </xf>
    <xf numFmtId="175" fontId="65" fillId="0" borderId="42" xfId="0" applyNumberFormat="1" applyFont="1" applyFill="1" applyBorder="1" applyAlignment="1">
      <alignment horizontal="right" vertical="center" wrapText="1"/>
    </xf>
    <xf numFmtId="175" fontId="72" fillId="0" borderId="20" xfId="0" applyNumberFormat="1" applyFont="1" applyFill="1" applyBorder="1" applyAlignment="1">
      <alignment horizontal="right" vertical="center" wrapText="1"/>
    </xf>
    <xf numFmtId="175" fontId="81" fillId="0" borderId="22" xfId="0" applyNumberFormat="1" applyFont="1" applyFill="1" applyBorder="1" applyAlignment="1">
      <alignment horizontal="right" vertical="center" wrapText="1"/>
    </xf>
    <xf numFmtId="175" fontId="81" fillId="0" borderId="42" xfId="0" applyNumberFormat="1" applyFont="1" applyFill="1" applyBorder="1" applyAlignment="1">
      <alignment horizontal="right" vertical="center" wrapText="1"/>
    </xf>
    <xf numFmtId="175" fontId="65" fillId="0" borderId="15" xfId="0" applyNumberFormat="1" applyFont="1" applyFill="1" applyBorder="1" applyAlignment="1">
      <alignment horizontal="right" vertical="center" wrapText="1"/>
    </xf>
    <xf numFmtId="175" fontId="65" fillId="0" borderId="14" xfId="0" applyNumberFormat="1" applyFont="1" applyFill="1" applyBorder="1" applyAlignment="1">
      <alignment horizontal="right" vertical="center" wrapText="1"/>
    </xf>
    <xf numFmtId="175" fontId="74" fillId="0" borderId="22" xfId="0" applyNumberFormat="1" applyFont="1" applyFill="1" applyBorder="1" applyAlignment="1">
      <alignment horizontal="right" vertical="center" wrapText="1"/>
    </xf>
    <xf numFmtId="4" fontId="62" fillId="0" borderId="20" xfId="0" applyNumberFormat="1" applyFont="1" applyFill="1" applyBorder="1" applyAlignment="1">
      <alignment horizontal="right" vertical="center" wrapText="1"/>
    </xf>
    <xf numFmtId="4" fontId="65" fillId="0" borderId="20" xfId="0" applyNumberFormat="1" applyFont="1" applyFill="1" applyBorder="1" applyAlignment="1">
      <alignment horizontal="right" vertical="center" wrapText="1"/>
    </xf>
    <xf numFmtId="4" fontId="62" fillId="0" borderId="22" xfId="0" applyNumberFormat="1" applyFont="1" applyFill="1" applyBorder="1" applyAlignment="1">
      <alignment horizontal="right" vertical="center" wrapText="1"/>
    </xf>
    <xf numFmtId="4" fontId="65" fillId="0" borderId="22" xfId="0" applyNumberFormat="1" applyFont="1" applyFill="1" applyBorder="1" applyAlignment="1">
      <alignment horizontal="right" vertical="center" wrapText="1"/>
    </xf>
    <xf numFmtId="4" fontId="62" fillId="0" borderId="42" xfId="0" applyNumberFormat="1" applyFont="1" applyFill="1" applyBorder="1" applyAlignment="1">
      <alignment horizontal="right" vertical="center" wrapText="1"/>
    </xf>
    <xf numFmtId="0" fontId="68" fillId="0" borderId="0" xfId="0" applyFont="1" applyFill="1" applyAlignment="1">
      <alignment horizontal="right" vertical="center"/>
    </xf>
    <xf numFmtId="175" fontId="62" fillId="0" borderId="38" xfId="0" applyNumberFormat="1" applyFont="1" applyFill="1" applyBorder="1" applyAlignment="1">
      <alignment horizontal="right" vertical="center"/>
    </xf>
    <xf numFmtId="175" fontId="62" fillId="0" borderId="22" xfId="0" applyNumberFormat="1" applyFont="1" applyFill="1" applyBorder="1" applyAlignment="1">
      <alignment horizontal="right" vertical="center"/>
    </xf>
    <xf numFmtId="10" fontId="62" fillId="28" borderId="0" xfId="0" applyNumberFormat="1" applyFont="1" applyFill="1" applyBorder="1" applyAlignment="1">
      <alignment vertical="center" wrapText="1"/>
    </xf>
    <xf numFmtId="175" fontId="62" fillId="0" borderId="45" xfId="0" applyNumberFormat="1" applyFont="1" applyFill="1" applyBorder="1" applyAlignment="1">
      <alignment horizontal="right" vertical="center" wrapText="1"/>
    </xf>
    <xf numFmtId="0" fontId="62" fillId="0" borderId="0" xfId="0" applyFont="1" applyFill="1" applyAlignment="1">
      <alignment horizontal="left" vertical="center" wrapText="1"/>
    </xf>
    <xf numFmtId="0" fontId="62" fillId="28" borderId="49" xfId="0" applyFont="1" applyFill="1" applyBorder="1" applyAlignment="1">
      <alignment horizontal="left" vertical="center" wrapText="1"/>
    </xf>
    <xf numFmtId="0" fontId="62" fillId="28" borderId="0" xfId="0" applyFont="1" applyFill="1" applyBorder="1" applyAlignment="1">
      <alignment horizontal="left" vertical="center" wrapText="1"/>
    </xf>
    <xf numFmtId="0" fontId="62" fillId="0" borderId="0" xfId="0" applyFont="1" applyFill="1" applyAlignment="1">
      <alignment horizontal="left" vertical="center"/>
    </xf>
    <xf numFmtId="0" fontId="64" fillId="0" borderId="28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0" fontId="64" fillId="0" borderId="17" xfId="0" applyFont="1" applyFill="1" applyBorder="1" applyAlignment="1">
      <alignment horizontal="center" vertical="center" wrapText="1"/>
    </xf>
    <xf numFmtId="0" fontId="64" fillId="0" borderId="28" xfId="0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horizontal="center" vertical="center"/>
    </xf>
    <xf numFmtId="0" fontId="64" fillId="0" borderId="17" xfId="0" applyFont="1" applyFill="1" applyBorder="1" applyAlignment="1">
      <alignment horizontal="center" vertical="center"/>
    </xf>
    <xf numFmtId="175" fontId="62" fillId="28" borderId="49" xfId="0" applyNumberFormat="1" applyFont="1" applyFill="1" applyBorder="1" applyAlignment="1">
      <alignment horizontal="center" vertical="center" wrapText="1"/>
    </xf>
    <xf numFmtId="175" fontId="62" fillId="28" borderId="0" xfId="0" applyNumberFormat="1" applyFont="1" applyFill="1" applyAlignment="1">
      <alignment horizontal="center" vertical="center" wrapText="1"/>
    </xf>
    <xf numFmtId="0" fontId="62" fillId="0" borderId="0" xfId="0" applyFont="1" applyFill="1" applyAlignment="1">
      <alignment horizontal="center" vertical="center" wrapText="1"/>
    </xf>
    <xf numFmtId="0" fontId="62" fillId="28" borderId="49" xfId="0" applyFont="1" applyFill="1" applyBorder="1" applyAlignment="1">
      <alignment horizontal="left" vertical="top" wrapText="1"/>
    </xf>
    <xf numFmtId="0" fontId="62" fillId="28" borderId="0" xfId="0" applyFont="1" applyFill="1" applyBorder="1" applyAlignment="1">
      <alignment horizontal="left" vertical="top" wrapText="1"/>
    </xf>
    <xf numFmtId="0" fontId="77" fillId="0" borderId="28" xfId="0" applyFont="1" applyBorder="1" applyAlignment="1">
      <alignment horizontal="left" vertical="center" wrapText="1"/>
    </xf>
    <xf numFmtId="0" fontId="77" fillId="0" borderId="17" xfId="0" applyFont="1" applyBorder="1" applyAlignment="1">
      <alignment horizontal="left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7" fillId="28" borderId="36" xfId="0" applyFont="1" applyFill="1" applyBorder="1" applyAlignment="1">
      <alignment horizontal="left"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33" xfId="0" applyFont="1" applyFill="1" applyBorder="1" applyAlignment="1">
      <alignment horizontal="left" vertical="center"/>
    </xf>
    <xf numFmtId="0" fontId="77" fillId="28" borderId="12" xfId="0" applyFont="1" applyFill="1" applyBorder="1" applyAlignment="1">
      <alignment horizontal="left" vertical="center"/>
    </xf>
    <xf numFmtId="0" fontId="62" fillId="0" borderId="38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2" fillId="0" borderId="18" xfId="0" applyFont="1" applyFill="1" applyBorder="1" applyAlignment="1">
      <alignment horizontal="center" vertical="center" wrapText="1"/>
    </xf>
    <xf numFmtId="0" fontId="72" fillId="0" borderId="39" xfId="0" applyFont="1" applyFill="1" applyBorder="1" applyAlignment="1">
      <alignment horizontal="center" vertical="center" wrapText="1"/>
    </xf>
    <xf numFmtId="0" fontId="77" fillId="28" borderId="13" xfId="0" applyFont="1" applyFill="1" applyBorder="1" applyAlignment="1">
      <alignment horizontal="center"/>
    </xf>
    <xf numFmtId="0" fontId="77" fillId="28" borderId="17" xfId="0" applyFont="1" applyFill="1" applyBorder="1" applyAlignment="1">
      <alignment horizontal="center"/>
    </xf>
    <xf numFmtId="0" fontId="78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62" fillId="0" borderId="38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left" vertical="center"/>
    </xf>
    <xf numFmtId="0" fontId="68" fillId="0" borderId="0" xfId="0" applyFont="1" applyFill="1" applyAlignment="1">
      <alignment horizontal="right" vertical="center"/>
    </xf>
    <xf numFmtId="0" fontId="77" fillId="28" borderId="34" xfId="0" applyFont="1" applyFill="1" applyBorder="1" applyAlignment="1">
      <alignment horizontal="left" vertical="center"/>
    </xf>
    <xf numFmtId="0" fontId="77" fillId="28" borderId="35" xfId="0" applyFont="1" applyFill="1" applyBorder="1" applyAlignment="1">
      <alignment horizontal="left" vertical="center"/>
    </xf>
    <xf numFmtId="0" fontId="77" fillId="28" borderId="27" xfId="0" applyFont="1" applyFill="1" applyBorder="1" applyAlignment="1">
      <alignment horizontal="center" vertical="center"/>
    </xf>
    <xf numFmtId="0" fontId="77" fillId="0" borderId="27" xfId="0" applyFont="1" applyFill="1" applyBorder="1" applyAlignment="1">
      <alignment horizontal="left" vertical="center" wrapText="1"/>
    </xf>
    <xf numFmtId="0" fontId="77" fillId="0" borderId="28" xfId="0" applyFont="1" applyBorder="1" applyAlignment="1">
      <alignment horizontal="center" vertical="center" wrapText="1"/>
    </xf>
    <xf numFmtId="0" fontId="77" fillId="0" borderId="13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CN340"/>
  <sheetViews>
    <sheetView tabSelected="1" view="pageBreakPreview" topLeftCell="A176" zoomScale="75" zoomScaleNormal="100" zoomScaleSheetLayoutView="75" zoomScalePageLayoutView="75" workbookViewId="0">
      <selection activeCell="A214" sqref="A214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16.140625" style="1" customWidth="1"/>
    <col min="14" max="14" width="14.42578125" style="1" customWidth="1"/>
    <col min="15" max="15" width="15.140625" style="1" customWidth="1"/>
    <col min="16" max="16384" width="9.140625" style="1"/>
  </cols>
  <sheetData>
    <row r="1" spans="1:12" s="5" customFormat="1" ht="46.5" hidden="1" customHeight="1">
      <c r="B1" s="6"/>
      <c r="C1" s="6"/>
      <c r="D1" s="6"/>
      <c r="E1" s="6"/>
      <c r="G1" s="201" t="s">
        <v>205</v>
      </c>
      <c r="H1" s="201"/>
      <c r="I1" s="201"/>
      <c r="J1" s="201"/>
      <c r="K1" s="201"/>
    </row>
    <row r="2" spans="1:12" s="5" customFormat="1" ht="46.5" customHeight="1">
      <c r="B2" s="6"/>
      <c r="C2" s="6"/>
      <c r="D2" s="6"/>
      <c r="E2" s="6"/>
      <c r="G2" s="201" t="s">
        <v>205</v>
      </c>
      <c r="H2" s="201"/>
      <c r="I2" s="201"/>
      <c r="J2" s="201"/>
      <c r="K2" s="201"/>
    </row>
    <row r="3" spans="1:12" s="2" customFormat="1" ht="20.25" customHeight="1">
      <c r="A3" s="43"/>
      <c r="B3" s="44"/>
      <c r="C3" s="44"/>
      <c r="D3" s="44"/>
      <c r="E3" s="44"/>
      <c r="F3" s="43"/>
      <c r="G3" s="45"/>
      <c r="H3" s="45"/>
      <c r="I3" s="45"/>
      <c r="J3" s="45"/>
      <c r="K3" s="45"/>
    </row>
    <row r="4" spans="1:12" s="2" customFormat="1" ht="19.5">
      <c r="A4" s="43"/>
      <c r="B4" s="44"/>
      <c r="C4" s="44"/>
      <c r="D4" s="46"/>
      <c r="E4" s="46"/>
      <c r="F4" s="47"/>
      <c r="G4" s="47" t="s">
        <v>36</v>
      </c>
      <c r="H4" s="47"/>
      <c r="I4" s="47"/>
      <c r="J4" s="47"/>
      <c r="K4" s="43"/>
    </row>
    <row r="5" spans="1:12" s="2" customFormat="1" ht="24" customHeight="1">
      <c r="A5" s="43" t="s">
        <v>30</v>
      </c>
      <c r="B5" s="44"/>
      <c r="C5" s="44"/>
      <c r="D5" s="46"/>
      <c r="E5" s="46"/>
      <c r="F5" s="47"/>
      <c r="G5" s="47"/>
      <c r="H5" s="47"/>
      <c r="I5" s="47"/>
      <c r="J5" s="47"/>
      <c r="K5" s="43"/>
    </row>
    <row r="6" spans="1:12" s="2" customFormat="1" ht="24" customHeight="1">
      <c r="A6" s="43" t="s">
        <v>206</v>
      </c>
      <c r="B6" s="44"/>
      <c r="C6" s="44"/>
      <c r="D6" s="46"/>
      <c r="E6" s="46"/>
      <c r="F6" s="47"/>
      <c r="G6" s="47" t="s">
        <v>37</v>
      </c>
      <c r="H6" s="47"/>
      <c r="I6" s="47"/>
      <c r="J6" s="43" t="s">
        <v>291</v>
      </c>
      <c r="K6" s="43"/>
    </row>
    <row r="7" spans="1:12" s="2" customFormat="1" ht="24" customHeight="1">
      <c r="A7" s="43" t="s">
        <v>39</v>
      </c>
      <c r="B7" s="44"/>
      <c r="C7" s="44"/>
      <c r="D7" s="46"/>
      <c r="E7" s="46"/>
      <c r="F7" s="47"/>
      <c r="G7" s="47"/>
      <c r="H7" s="47"/>
      <c r="I7" s="47"/>
      <c r="J7" s="47"/>
      <c r="K7" s="43"/>
    </row>
    <row r="8" spans="1:12" s="2" customFormat="1" ht="24" customHeight="1" thickBot="1">
      <c r="A8" s="43" t="s">
        <v>292</v>
      </c>
      <c r="B8" s="44"/>
      <c r="C8" s="44"/>
      <c r="D8" s="46"/>
      <c r="E8" s="46"/>
      <c r="F8" s="47"/>
      <c r="G8" s="47"/>
      <c r="H8" s="47"/>
      <c r="I8" s="47"/>
      <c r="J8" s="47"/>
      <c r="K8" s="43"/>
    </row>
    <row r="9" spans="1:12" s="2" customFormat="1" ht="24" customHeight="1">
      <c r="A9" s="43" t="s">
        <v>29</v>
      </c>
      <c r="B9" s="44"/>
      <c r="C9" s="44"/>
      <c r="D9" s="46"/>
      <c r="E9" s="46"/>
      <c r="F9" s="47"/>
      <c r="G9" s="47"/>
      <c r="H9" s="43"/>
      <c r="I9" s="202" t="s">
        <v>20</v>
      </c>
      <c r="J9" s="203"/>
      <c r="K9" s="48"/>
      <c r="L9" s="11" t="s">
        <v>19</v>
      </c>
    </row>
    <row r="10" spans="1:12" s="2" customFormat="1" ht="24" customHeight="1">
      <c r="A10" s="43" t="s">
        <v>30</v>
      </c>
      <c r="B10" s="44"/>
      <c r="C10" s="44"/>
      <c r="D10" s="46"/>
      <c r="E10" s="46"/>
      <c r="F10" s="47"/>
      <c r="G10" s="47"/>
      <c r="H10" s="43"/>
      <c r="I10" s="204" t="s">
        <v>21</v>
      </c>
      <c r="J10" s="205"/>
      <c r="K10" s="49"/>
      <c r="L10" s="11"/>
    </row>
    <row r="11" spans="1:12" s="2" customFormat="1" ht="24" customHeight="1">
      <c r="A11" s="43" t="s">
        <v>38</v>
      </c>
      <c r="B11" s="44"/>
      <c r="C11" s="44"/>
      <c r="D11" s="46"/>
      <c r="E11" s="46"/>
      <c r="F11" s="47"/>
      <c r="G11" s="47"/>
      <c r="H11" s="43"/>
      <c r="I11" s="204" t="s">
        <v>22</v>
      </c>
      <c r="J11" s="205"/>
      <c r="K11" s="49"/>
      <c r="L11" s="11"/>
    </row>
    <row r="12" spans="1:12" s="2" customFormat="1" ht="24" customHeight="1">
      <c r="A12" s="43" t="s">
        <v>39</v>
      </c>
      <c r="B12" s="44"/>
      <c r="C12" s="44"/>
      <c r="D12" s="46"/>
      <c r="E12" s="46"/>
      <c r="F12" s="47"/>
      <c r="G12" s="47"/>
      <c r="H12" s="43"/>
      <c r="I12" s="204" t="s">
        <v>295</v>
      </c>
      <c r="J12" s="205"/>
      <c r="K12" s="49"/>
      <c r="L12" s="11"/>
    </row>
    <row r="13" spans="1:12" s="2" customFormat="1" ht="24" customHeight="1" thickBot="1">
      <c r="A13" s="43" t="s">
        <v>293</v>
      </c>
      <c r="B13" s="44"/>
      <c r="C13" s="44"/>
      <c r="D13" s="46"/>
      <c r="E13" s="46"/>
      <c r="F13" s="47"/>
      <c r="G13" s="47"/>
      <c r="H13" s="43"/>
      <c r="I13" s="219" t="s">
        <v>23</v>
      </c>
      <c r="J13" s="220"/>
      <c r="K13" s="50"/>
      <c r="L13" s="11"/>
    </row>
    <row r="14" spans="1:12" s="2" customFormat="1" ht="19.5">
      <c r="A14" s="43" t="s">
        <v>29</v>
      </c>
      <c r="B14" s="44"/>
      <c r="C14" s="44"/>
      <c r="D14" s="46"/>
      <c r="E14" s="46"/>
      <c r="F14" s="47"/>
      <c r="G14" s="47"/>
      <c r="H14" s="47"/>
      <c r="I14" s="47"/>
      <c r="J14" s="47"/>
      <c r="K14" s="43"/>
    </row>
    <row r="15" spans="1:12" s="2" customFormat="1" ht="18" customHeight="1" thickBot="1">
      <c r="A15" s="43"/>
      <c r="B15" s="222"/>
      <c r="C15" s="222"/>
      <c r="D15" s="222"/>
      <c r="E15" s="222"/>
      <c r="F15" s="222"/>
      <c r="G15" s="47"/>
      <c r="H15" s="47"/>
      <c r="I15" s="221"/>
      <c r="J15" s="221"/>
      <c r="K15" s="43"/>
    </row>
    <row r="16" spans="1:12" s="2" customFormat="1" ht="18" customHeight="1" thickBot="1">
      <c r="A16" s="51" t="s">
        <v>40</v>
      </c>
      <c r="B16" s="52"/>
      <c r="C16" s="188">
        <v>2023</v>
      </c>
      <c r="D16" s="189"/>
      <c r="E16" s="189"/>
      <c r="F16" s="189"/>
      <c r="G16" s="189"/>
      <c r="H16" s="190"/>
      <c r="I16" s="223" t="s">
        <v>15</v>
      </c>
      <c r="J16" s="224"/>
      <c r="K16" s="225"/>
      <c r="L16" s="12"/>
    </row>
    <row r="17" spans="1:12" s="2" customFormat="1" ht="18" customHeight="1" thickBot="1">
      <c r="A17" s="53" t="s">
        <v>41</v>
      </c>
      <c r="B17" s="54"/>
      <c r="C17" s="188" t="s">
        <v>280</v>
      </c>
      <c r="D17" s="189"/>
      <c r="E17" s="189"/>
      <c r="F17" s="189"/>
      <c r="G17" s="189"/>
      <c r="H17" s="190"/>
      <c r="I17" s="199" t="s">
        <v>42</v>
      </c>
      <c r="J17" s="200"/>
      <c r="K17" s="55">
        <v>42352786</v>
      </c>
      <c r="L17" s="12"/>
    </row>
    <row r="18" spans="1:12" s="2" customFormat="1" ht="18" customHeight="1" thickBot="1">
      <c r="A18" s="53" t="s">
        <v>43</v>
      </c>
      <c r="B18" s="54"/>
      <c r="C18" s="188" t="s">
        <v>281</v>
      </c>
      <c r="D18" s="189"/>
      <c r="E18" s="189"/>
      <c r="F18" s="189"/>
      <c r="G18" s="189"/>
      <c r="H18" s="190"/>
      <c r="I18" s="199" t="s">
        <v>11</v>
      </c>
      <c r="J18" s="200"/>
      <c r="K18" s="55">
        <v>150</v>
      </c>
      <c r="L18" s="12"/>
    </row>
    <row r="19" spans="1:12" s="2" customFormat="1" ht="18" customHeight="1" thickBot="1">
      <c r="A19" s="53" t="s">
        <v>6</v>
      </c>
      <c r="B19" s="54"/>
      <c r="C19" s="188" t="s">
        <v>282</v>
      </c>
      <c r="D19" s="189"/>
      <c r="E19" s="189"/>
      <c r="F19" s="189"/>
      <c r="G19" s="189"/>
      <c r="H19" s="190"/>
      <c r="I19" s="199" t="s">
        <v>10</v>
      </c>
      <c r="J19" s="200"/>
      <c r="K19" s="55">
        <v>2610100000</v>
      </c>
      <c r="L19" s="12"/>
    </row>
    <row r="20" spans="1:12" s="2" customFormat="1" ht="18" customHeight="1" thickBot="1">
      <c r="A20" s="53" t="s">
        <v>44</v>
      </c>
      <c r="B20" s="54"/>
      <c r="C20" s="122"/>
      <c r="D20" s="123"/>
      <c r="E20" s="123"/>
      <c r="F20" s="123"/>
      <c r="G20" s="123"/>
      <c r="H20" s="123"/>
      <c r="I20" s="199" t="s">
        <v>4</v>
      </c>
      <c r="J20" s="200"/>
      <c r="K20" s="55"/>
      <c r="L20" s="12"/>
    </row>
    <row r="21" spans="1:12" s="2" customFormat="1" ht="18" customHeight="1" thickBot="1">
      <c r="A21" s="53" t="s">
        <v>45</v>
      </c>
      <c r="B21" s="54"/>
      <c r="C21" s="188" t="s">
        <v>283</v>
      </c>
      <c r="D21" s="189"/>
      <c r="E21" s="189"/>
      <c r="F21" s="189"/>
      <c r="G21" s="189"/>
      <c r="H21" s="190"/>
      <c r="I21" s="199" t="s">
        <v>3</v>
      </c>
      <c r="J21" s="200"/>
      <c r="K21" s="55"/>
      <c r="L21" s="12"/>
    </row>
    <row r="22" spans="1:12" s="2" customFormat="1" ht="18" customHeight="1" thickBot="1">
      <c r="A22" s="53" t="s">
        <v>46</v>
      </c>
      <c r="B22" s="54"/>
      <c r="C22" s="188" t="s">
        <v>284</v>
      </c>
      <c r="D22" s="189"/>
      <c r="E22" s="189"/>
      <c r="F22" s="189"/>
      <c r="G22" s="189"/>
      <c r="H22" s="190"/>
      <c r="I22" s="199" t="s">
        <v>47</v>
      </c>
      <c r="J22" s="200"/>
      <c r="K22" s="124">
        <v>86.1</v>
      </c>
      <c r="L22" s="12"/>
    </row>
    <row r="23" spans="1:12" s="2" customFormat="1" ht="18" customHeight="1" thickBot="1">
      <c r="A23" s="53" t="s">
        <v>48</v>
      </c>
      <c r="B23" s="121"/>
      <c r="C23" s="188" t="s">
        <v>52</v>
      </c>
      <c r="D23" s="189"/>
      <c r="E23" s="189"/>
      <c r="F23" s="189"/>
      <c r="G23" s="189"/>
      <c r="H23" s="190"/>
      <c r="I23" s="56"/>
      <c r="J23" s="57"/>
      <c r="K23" s="55"/>
      <c r="L23" s="13"/>
    </row>
    <row r="24" spans="1:12" s="2" customFormat="1" ht="18" customHeight="1" thickBot="1">
      <c r="A24" s="53" t="s">
        <v>7</v>
      </c>
      <c r="B24" s="54"/>
      <c r="C24" s="188" t="s">
        <v>285</v>
      </c>
      <c r="D24" s="189"/>
      <c r="E24" s="189"/>
      <c r="F24" s="189"/>
      <c r="G24" s="189"/>
      <c r="H24" s="190"/>
      <c r="I24" s="56"/>
      <c r="J24" s="57"/>
      <c r="K24" s="55"/>
      <c r="L24" s="12"/>
    </row>
    <row r="25" spans="1:12" s="2" customFormat="1" ht="18" customHeight="1" thickBot="1">
      <c r="A25" s="64" t="s">
        <v>207</v>
      </c>
      <c r="B25" s="54"/>
      <c r="C25" s="188">
        <v>1121.5</v>
      </c>
      <c r="D25" s="189"/>
      <c r="E25" s="189"/>
      <c r="F25" s="189"/>
      <c r="G25" s="189"/>
      <c r="H25" s="190"/>
      <c r="I25" s="199" t="s">
        <v>12</v>
      </c>
      <c r="J25" s="200"/>
      <c r="K25" s="55"/>
      <c r="L25" s="12"/>
    </row>
    <row r="26" spans="1:12" s="2" customFormat="1" ht="18" customHeight="1" thickBot="1">
      <c r="A26" s="53" t="s">
        <v>49</v>
      </c>
      <c r="B26" s="54"/>
      <c r="C26" s="188" t="s">
        <v>286</v>
      </c>
      <c r="D26" s="189"/>
      <c r="E26" s="189"/>
      <c r="F26" s="189"/>
      <c r="G26" s="189"/>
      <c r="H26" s="190"/>
      <c r="I26" s="199" t="s">
        <v>13</v>
      </c>
      <c r="J26" s="200"/>
      <c r="K26" s="55"/>
      <c r="L26" s="12"/>
    </row>
    <row r="27" spans="1:12" s="2" customFormat="1" ht="18" customHeight="1" thickBot="1">
      <c r="A27" s="53" t="s">
        <v>50</v>
      </c>
      <c r="B27" s="54"/>
      <c r="C27" s="188" t="s">
        <v>287</v>
      </c>
      <c r="D27" s="189"/>
      <c r="E27" s="189"/>
      <c r="F27" s="189"/>
      <c r="G27" s="189"/>
      <c r="H27" s="190"/>
      <c r="I27" s="58"/>
      <c r="J27" s="58"/>
      <c r="K27" s="58"/>
      <c r="L27" s="13"/>
    </row>
    <row r="28" spans="1:12" s="2" customFormat="1" ht="18" customHeight="1" thickBot="1">
      <c r="A28" s="53" t="s">
        <v>51</v>
      </c>
      <c r="B28" s="59"/>
      <c r="C28" s="191" t="s">
        <v>288</v>
      </c>
      <c r="D28" s="192"/>
      <c r="E28" s="192"/>
      <c r="F28" s="192"/>
      <c r="G28" s="192"/>
      <c r="H28" s="193"/>
      <c r="I28" s="43"/>
      <c r="J28" s="43"/>
      <c r="K28" s="43"/>
    </row>
    <row r="29" spans="1:12" s="2" customFormat="1" ht="15" customHeight="1">
      <c r="A29" s="14"/>
      <c r="B29" s="4"/>
      <c r="C29" s="4"/>
      <c r="D29" s="4"/>
      <c r="E29" s="4"/>
    </row>
    <row r="30" spans="1:12" s="2" customFormat="1" ht="23.25" customHeight="1">
      <c r="A30" s="212" t="s">
        <v>296</v>
      </c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</row>
    <row r="31" spans="1:12" s="2" customFormat="1" ht="28.5" customHeight="1" thickBot="1">
      <c r="A31" s="3"/>
      <c r="B31" s="15"/>
      <c r="C31" s="15"/>
      <c r="D31" s="16"/>
      <c r="E31" s="16"/>
      <c r="F31" s="16"/>
      <c r="G31" s="60" t="s">
        <v>85</v>
      </c>
      <c r="H31" s="16"/>
      <c r="I31" s="16"/>
      <c r="J31" s="16"/>
      <c r="K31" s="16"/>
      <c r="L31" s="16" t="s">
        <v>24</v>
      </c>
    </row>
    <row r="32" spans="1:12" s="10" customFormat="1" ht="20.100000000000001" customHeight="1" thickBot="1">
      <c r="A32" s="206" t="s">
        <v>16</v>
      </c>
      <c r="B32" s="208" t="s">
        <v>209</v>
      </c>
      <c r="C32" s="215" t="s">
        <v>210</v>
      </c>
      <c r="D32" s="210" t="s">
        <v>294</v>
      </c>
      <c r="E32" s="210"/>
      <c r="F32" s="210"/>
      <c r="G32" s="211"/>
      <c r="H32" s="210" t="s">
        <v>297</v>
      </c>
      <c r="I32" s="210"/>
      <c r="J32" s="210"/>
      <c r="K32" s="211"/>
      <c r="L32" s="213" t="s">
        <v>14</v>
      </c>
    </row>
    <row r="33" spans="1:13" s="10" customFormat="1" ht="70.5" customHeight="1" thickBot="1">
      <c r="A33" s="207"/>
      <c r="B33" s="209"/>
      <c r="C33" s="216"/>
      <c r="D33" s="61" t="s">
        <v>86</v>
      </c>
      <c r="E33" s="61" t="s">
        <v>87</v>
      </c>
      <c r="F33" s="61" t="s">
        <v>88</v>
      </c>
      <c r="G33" s="61" t="s">
        <v>89</v>
      </c>
      <c r="H33" s="61" t="s">
        <v>86</v>
      </c>
      <c r="I33" s="61" t="s">
        <v>87</v>
      </c>
      <c r="J33" s="61" t="s">
        <v>88</v>
      </c>
      <c r="K33" s="62" t="s">
        <v>279</v>
      </c>
      <c r="L33" s="214"/>
    </row>
    <row r="34" spans="1:13" s="10" customFormat="1" ht="20.100000000000001" customHeight="1" thickBot="1">
      <c r="A34" s="66">
        <v>1</v>
      </c>
      <c r="B34" s="67">
        <v>2</v>
      </c>
      <c r="C34" s="92">
        <v>3</v>
      </c>
      <c r="D34" s="104">
        <v>3</v>
      </c>
      <c r="E34" s="63">
        <v>4</v>
      </c>
      <c r="F34" s="63">
        <v>5</v>
      </c>
      <c r="G34" s="63">
        <v>6</v>
      </c>
      <c r="H34" s="63">
        <v>7</v>
      </c>
      <c r="I34" s="63">
        <v>8</v>
      </c>
      <c r="J34" s="63">
        <v>9</v>
      </c>
      <c r="K34" s="63">
        <v>10</v>
      </c>
      <c r="L34" s="17">
        <v>11</v>
      </c>
    </row>
    <row r="35" spans="1:13" s="18" customFormat="1" ht="22.5" customHeight="1" thickBot="1">
      <c r="A35" s="88" t="s">
        <v>54</v>
      </c>
      <c r="B35" s="89">
        <v>1</v>
      </c>
      <c r="C35" s="117">
        <v>1000</v>
      </c>
      <c r="D35" s="127"/>
      <c r="E35" s="125"/>
      <c r="F35" s="126"/>
      <c r="G35" s="128"/>
      <c r="H35" s="127"/>
      <c r="I35" s="125"/>
      <c r="J35" s="126"/>
      <c r="K35" s="128"/>
      <c r="L35" s="19"/>
    </row>
    <row r="36" spans="1:13" s="20" customFormat="1" ht="19.5" customHeight="1" thickBot="1">
      <c r="A36" s="90" t="s">
        <v>211</v>
      </c>
      <c r="B36" s="91">
        <f>B35+1</f>
        <v>2</v>
      </c>
      <c r="C36" s="117">
        <v>1010</v>
      </c>
      <c r="D36" s="130">
        <f>SUM(D37:D39,D43:D44)</f>
        <v>82636.900000000009</v>
      </c>
      <c r="E36" s="130">
        <f>SUM(E37:E39,E43:E44)</f>
        <v>80881.8</v>
      </c>
      <c r="F36" s="131">
        <f>E36-D36</f>
        <v>-1755.1000000000058</v>
      </c>
      <c r="G36" s="129">
        <f>F36/D36*100%</f>
        <v>-2.1238696030465878E-2</v>
      </c>
      <c r="H36" s="130">
        <f>SUM(H37:H39,H43:H44)</f>
        <v>165273.19999999998</v>
      </c>
      <c r="I36" s="130">
        <f>SUM(I37:I39,I43:I44)</f>
        <v>156854.09999999998</v>
      </c>
      <c r="J36" s="131">
        <f>I36-H36</f>
        <v>-8419.1000000000058</v>
      </c>
      <c r="K36" s="129">
        <f>J36/H36*100%</f>
        <v>-5.0940503360496478E-2</v>
      </c>
      <c r="L36" s="41"/>
    </row>
    <row r="37" spans="1:13" s="21" customFormat="1" ht="18" customHeight="1" thickBot="1">
      <c r="A37" s="65" t="s">
        <v>208</v>
      </c>
      <c r="B37" s="69">
        <f t="shared" ref="B37:B100" si="0">B36+1</f>
        <v>3</v>
      </c>
      <c r="C37" s="105">
        <v>1020</v>
      </c>
      <c r="D37" s="152">
        <v>0</v>
      </c>
      <c r="E37" s="152">
        <v>0</v>
      </c>
      <c r="F37" s="183">
        <f t="shared" ref="F37:F53" si="1">E37-D37</f>
        <v>0</v>
      </c>
      <c r="G37" s="141"/>
      <c r="H37" s="152">
        <v>0</v>
      </c>
      <c r="I37" s="152">
        <v>0</v>
      </c>
      <c r="J37" s="153">
        <f>I37-H37</f>
        <v>0</v>
      </c>
      <c r="K37" s="141"/>
      <c r="L37" s="23"/>
    </row>
    <row r="38" spans="1:13" s="21" customFormat="1" ht="19.5" thickBot="1">
      <c r="A38" s="65" t="s">
        <v>90</v>
      </c>
      <c r="B38" s="70">
        <f t="shared" si="0"/>
        <v>4</v>
      </c>
      <c r="C38" s="105">
        <v>1030</v>
      </c>
      <c r="D38" s="154">
        <v>67877.600000000006</v>
      </c>
      <c r="E38" s="154">
        <v>67877.600000000006</v>
      </c>
      <c r="F38" s="183">
        <f t="shared" si="1"/>
        <v>0</v>
      </c>
      <c r="G38" s="141">
        <f t="shared" ref="G38:G100" si="2">F38/D38*100%</f>
        <v>0</v>
      </c>
      <c r="H38" s="154">
        <f>66958.2+D38</f>
        <v>134835.79999999999</v>
      </c>
      <c r="I38" s="154">
        <f>66958.2+E38</f>
        <v>134835.79999999999</v>
      </c>
      <c r="J38" s="153">
        <f t="shared" ref="J38:J42" si="3">I38-H38</f>
        <v>0</v>
      </c>
      <c r="K38" s="141">
        <f t="shared" ref="K38:K45" si="4">J38/H38*100%</f>
        <v>0</v>
      </c>
      <c r="L38" s="23"/>
    </row>
    <row r="39" spans="1:13" s="21" customFormat="1" ht="19.5" thickBot="1">
      <c r="A39" s="65" t="s">
        <v>130</v>
      </c>
      <c r="B39" s="70">
        <f t="shared" si="0"/>
        <v>5</v>
      </c>
      <c r="C39" s="105">
        <v>1040</v>
      </c>
      <c r="D39" s="154">
        <f>SUM(D40:D42)</f>
        <v>4022.1</v>
      </c>
      <c r="E39" s="154">
        <f>SUM(E40:E42)</f>
        <v>3100.3</v>
      </c>
      <c r="F39" s="183">
        <f t="shared" si="1"/>
        <v>-921.79999999999973</v>
      </c>
      <c r="G39" s="141">
        <f t="shared" si="2"/>
        <v>-0.22918375972750546</v>
      </c>
      <c r="H39" s="154">
        <f>SUM(H40:H42)</f>
        <v>11052.9</v>
      </c>
      <c r="I39" s="154">
        <f>SUM(I40:I42)</f>
        <v>4767.1000000000004</v>
      </c>
      <c r="J39" s="153">
        <f t="shared" si="3"/>
        <v>-6285.7999999999993</v>
      </c>
      <c r="K39" s="141">
        <f t="shared" si="4"/>
        <v>-0.56870142677487356</v>
      </c>
      <c r="L39" s="24"/>
      <c r="M39" s="182"/>
    </row>
    <row r="40" spans="1:13" s="21" customFormat="1" ht="18" customHeight="1" thickBot="1">
      <c r="A40" s="71" t="s">
        <v>131</v>
      </c>
      <c r="B40" s="70">
        <f t="shared" si="0"/>
        <v>6</v>
      </c>
      <c r="C40" s="106" t="s">
        <v>132</v>
      </c>
      <c r="D40" s="155">
        <v>1695.9</v>
      </c>
      <c r="E40" s="155">
        <v>1025</v>
      </c>
      <c r="F40" s="183">
        <f t="shared" si="1"/>
        <v>-670.90000000000009</v>
      </c>
      <c r="G40" s="141">
        <f t="shared" si="2"/>
        <v>-0.39560115572852178</v>
      </c>
      <c r="H40" s="155">
        <f>5933.2+D40</f>
        <v>7629.1</v>
      </c>
      <c r="I40" s="155">
        <f>771.1+E40</f>
        <v>1796.1</v>
      </c>
      <c r="J40" s="153">
        <f t="shared" si="3"/>
        <v>-5833</v>
      </c>
      <c r="K40" s="141">
        <f t="shared" si="4"/>
        <v>-0.7645724921681456</v>
      </c>
      <c r="L40" s="24"/>
    </row>
    <row r="41" spans="1:13" s="21" customFormat="1" ht="18" customHeight="1" thickBot="1">
      <c r="A41" s="71" t="s">
        <v>133</v>
      </c>
      <c r="B41" s="70">
        <f t="shared" si="0"/>
        <v>7</v>
      </c>
      <c r="C41" s="106" t="s">
        <v>134</v>
      </c>
      <c r="D41" s="155">
        <v>0</v>
      </c>
      <c r="E41" s="155">
        <f>E126</f>
        <v>0</v>
      </c>
      <c r="F41" s="183">
        <f t="shared" si="1"/>
        <v>0</v>
      </c>
      <c r="G41" s="141"/>
      <c r="H41" s="155">
        <v>0</v>
      </c>
      <c r="I41" s="155">
        <f>I126</f>
        <v>0</v>
      </c>
      <c r="J41" s="153">
        <f t="shared" si="3"/>
        <v>0</v>
      </c>
      <c r="K41" s="141"/>
      <c r="L41" s="24"/>
    </row>
    <row r="42" spans="1:13" s="21" customFormat="1" ht="18" customHeight="1" thickBot="1">
      <c r="A42" s="71" t="s">
        <v>135</v>
      </c>
      <c r="B42" s="70">
        <f t="shared" si="0"/>
        <v>8</v>
      </c>
      <c r="C42" s="106" t="s">
        <v>136</v>
      </c>
      <c r="D42" s="155">
        <v>2326.1999999999998</v>
      </c>
      <c r="E42" s="155">
        <f>E110+E111+E112+E115</f>
        <v>2075.3000000000002</v>
      </c>
      <c r="F42" s="183">
        <f t="shared" si="1"/>
        <v>-250.89999999999964</v>
      </c>
      <c r="G42" s="141">
        <f t="shared" si="2"/>
        <v>-0.10785830968962241</v>
      </c>
      <c r="H42" s="155">
        <f>1097.6+D42</f>
        <v>3423.7999999999997</v>
      </c>
      <c r="I42" s="155">
        <f>895.7+E42</f>
        <v>2971</v>
      </c>
      <c r="J42" s="153">
        <f t="shared" si="3"/>
        <v>-452.79999999999973</v>
      </c>
      <c r="K42" s="141">
        <f t="shared" si="4"/>
        <v>-0.13225071557918094</v>
      </c>
      <c r="L42" s="24"/>
    </row>
    <row r="43" spans="1:13" s="21" customFormat="1" ht="18" customHeight="1" thickBot="1">
      <c r="A43" s="72" t="s">
        <v>137</v>
      </c>
      <c r="B43" s="70">
        <f t="shared" si="0"/>
        <v>9</v>
      </c>
      <c r="C43" s="105">
        <v>1050</v>
      </c>
      <c r="D43" s="154">
        <v>2680</v>
      </c>
      <c r="E43" s="154">
        <v>1846.7</v>
      </c>
      <c r="F43" s="183">
        <f t="shared" si="1"/>
        <v>-833.3</v>
      </c>
      <c r="G43" s="141">
        <f t="shared" si="2"/>
        <v>-0.31093283582089548</v>
      </c>
      <c r="H43" s="154">
        <f>2569.6+D43</f>
        <v>5249.6</v>
      </c>
      <c r="I43" s="154">
        <f>1269.6+E43</f>
        <v>3116.3</v>
      </c>
      <c r="J43" s="153">
        <f>I43-H43</f>
        <v>-2133.3000000000002</v>
      </c>
      <c r="K43" s="141">
        <f t="shared" si="4"/>
        <v>-0.40637381895763486</v>
      </c>
      <c r="L43" s="24"/>
    </row>
    <row r="44" spans="1:13" s="21" customFormat="1" ht="18" customHeight="1" thickBot="1">
      <c r="A44" s="72" t="s">
        <v>53</v>
      </c>
      <c r="B44" s="70">
        <f t="shared" si="0"/>
        <v>10</v>
      </c>
      <c r="C44" s="105">
        <v>1060</v>
      </c>
      <c r="D44" s="154">
        <f>SUM(D45:D49)</f>
        <v>8057.2000000000007</v>
      </c>
      <c r="E44" s="154">
        <f>SUM(E45:E51)</f>
        <v>8057.2000000000007</v>
      </c>
      <c r="F44" s="183">
        <f t="shared" si="1"/>
        <v>0</v>
      </c>
      <c r="G44" s="141">
        <f t="shared" si="2"/>
        <v>0</v>
      </c>
      <c r="H44" s="154">
        <f>SUM(H45:H49)</f>
        <v>14134.900000000001</v>
      </c>
      <c r="I44" s="154">
        <f>SUM(I45:I51)</f>
        <v>14134.900000000001</v>
      </c>
      <c r="J44" s="153">
        <f t="shared" ref="J44:J53" si="5">I44-H44</f>
        <v>0</v>
      </c>
      <c r="K44" s="141">
        <f t="shared" si="4"/>
        <v>0</v>
      </c>
      <c r="L44" s="24"/>
    </row>
    <row r="45" spans="1:13" s="21" customFormat="1" ht="18" customHeight="1" thickBot="1">
      <c r="A45" s="71" t="s">
        <v>25</v>
      </c>
      <c r="B45" s="70">
        <f t="shared" si="0"/>
        <v>11</v>
      </c>
      <c r="C45" s="106" t="s">
        <v>93</v>
      </c>
      <c r="D45" s="155">
        <v>43</v>
      </c>
      <c r="E45" s="155">
        <v>43</v>
      </c>
      <c r="F45" s="183">
        <f t="shared" si="1"/>
        <v>0</v>
      </c>
      <c r="G45" s="141">
        <f t="shared" si="2"/>
        <v>0</v>
      </c>
      <c r="H45" s="155">
        <f>65.6+D45</f>
        <v>108.6</v>
      </c>
      <c r="I45" s="155">
        <f>65.6+E45</f>
        <v>108.6</v>
      </c>
      <c r="J45" s="153">
        <f t="shared" si="5"/>
        <v>0</v>
      </c>
      <c r="K45" s="141">
        <f t="shared" si="4"/>
        <v>0</v>
      </c>
      <c r="L45" s="42"/>
    </row>
    <row r="46" spans="1:13" s="20" customFormat="1" ht="18" customHeight="1" thickBot="1">
      <c r="A46" s="71" t="s">
        <v>26</v>
      </c>
      <c r="B46" s="70">
        <f t="shared" si="0"/>
        <v>12</v>
      </c>
      <c r="C46" s="106" t="s">
        <v>138</v>
      </c>
      <c r="D46" s="155"/>
      <c r="E46" s="155"/>
      <c r="F46" s="183">
        <f t="shared" si="1"/>
        <v>0</v>
      </c>
      <c r="G46" s="141"/>
      <c r="H46" s="155"/>
      <c r="I46" s="155"/>
      <c r="J46" s="153">
        <f t="shared" si="5"/>
        <v>0</v>
      </c>
      <c r="K46" s="141"/>
      <c r="L46" s="26"/>
    </row>
    <row r="47" spans="1:13" s="21" customFormat="1" ht="18" customHeight="1" thickBot="1">
      <c r="A47" s="71" t="s">
        <v>212</v>
      </c>
      <c r="B47" s="70">
        <f t="shared" si="0"/>
        <v>13</v>
      </c>
      <c r="C47" s="106" t="s">
        <v>139</v>
      </c>
      <c r="D47" s="155">
        <v>7057.8</v>
      </c>
      <c r="E47" s="155">
        <v>7057.8</v>
      </c>
      <c r="F47" s="183">
        <f t="shared" si="1"/>
        <v>0</v>
      </c>
      <c r="G47" s="141">
        <f t="shared" si="2"/>
        <v>0</v>
      </c>
      <c r="H47" s="155">
        <f>5130.8+D47</f>
        <v>12188.6</v>
      </c>
      <c r="I47" s="155">
        <f>5130.8+E47</f>
        <v>12188.6</v>
      </c>
      <c r="J47" s="153">
        <f t="shared" si="5"/>
        <v>0</v>
      </c>
      <c r="K47" s="141">
        <f t="shared" ref="K47:K49" si="6">J47/H47*100%</f>
        <v>0</v>
      </c>
      <c r="L47" s="22"/>
    </row>
    <row r="48" spans="1:13" s="21" customFormat="1" ht="18" customHeight="1" thickBot="1">
      <c r="A48" s="73" t="s">
        <v>91</v>
      </c>
      <c r="B48" s="70">
        <f t="shared" si="0"/>
        <v>14</v>
      </c>
      <c r="C48" s="106" t="s">
        <v>140</v>
      </c>
      <c r="D48" s="155">
        <v>950.1</v>
      </c>
      <c r="E48" s="155">
        <v>950.1</v>
      </c>
      <c r="F48" s="183">
        <f t="shared" si="1"/>
        <v>0</v>
      </c>
      <c r="G48" s="141">
        <f t="shared" si="2"/>
        <v>0</v>
      </c>
      <c r="H48" s="155">
        <f>879+D48</f>
        <v>1829.1</v>
      </c>
      <c r="I48" s="155">
        <f>879+E48</f>
        <v>1829.1</v>
      </c>
      <c r="J48" s="153">
        <f t="shared" si="5"/>
        <v>0</v>
      </c>
      <c r="K48" s="141">
        <f t="shared" si="6"/>
        <v>0</v>
      </c>
      <c r="L48" s="23"/>
    </row>
    <row r="49" spans="1:12" s="21" customFormat="1" ht="18" customHeight="1" thickBot="1">
      <c r="A49" s="74" t="s">
        <v>141</v>
      </c>
      <c r="B49" s="70">
        <f t="shared" si="0"/>
        <v>15</v>
      </c>
      <c r="C49" s="107" t="s">
        <v>142</v>
      </c>
      <c r="D49" s="155">
        <v>6.3</v>
      </c>
      <c r="E49" s="155">
        <v>6.3</v>
      </c>
      <c r="F49" s="183">
        <f t="shared" si="1"/>
        <v>0</v>
      </c>
      <c r="G49" s="141">
        <f t="shared" si="2"/>
        <v>0</v>
      </c>
      <c r="H49" s="155">
        <f>2.3+D49</f>
        <v>8.6</v>
      </c>
      <c r="I49" s="155">
        <f>2.3+E49</f>
        <v>8.6</v>
      </c>
      <c r="J49" s="153">
        <f t="shared" si="5"/>
        <v>0</v>
      </c>
      <c r="K49" s="141">
        <f t="shared" si="6"/>
        <v>0</v>
      </c>
      <c r="L49" s="24"/>
    </row>
    <row r="50" spans="1:12" s="21" customFormat="1" ht="36" customHeight="1" thickBot="1">
      <c r="A50" s="75" t="s">
        <v>213</v>
      </c>
      <c r="B50" s="70">
        <f t="shared" si="0"/>
        <v>16</v>
      </c>
      <c r="C50" s="108" t="s">
        <v>214</v>
      </c>
      <c r="D50" s="155"/>
      <c r="E50" s="155"/>
      <c r="F50" s="183">
        <f t="shared" si="1"/>
        <v>0</v>
      </c>
      <c r="G50" s="141"/>
      <c r="H50" s="155"/>
      <c r="I50" s="155"/>
      <c r="J50" s="153">
        <f t="shared" si="5"/>
        <v>0</v>
      </c>
      <c r="K50" s="141"/>
      <c r="L50" s="24"/>
    </row>
    <row r="51" spans="1:12" s="21" customFormat="1" ht="42" customHeight="1" thickBot="1">
      <c r="A51" s="71" t="s">
        <v>144</v>
      </c>
      <c r="B51" s="76">
        <f t="shared" si="0"/>
        <v>17</v>
      </c>
      <c r="C51" s="106" t="s">
        <v>143</v>
      </c>
      <c r="D51" s="155"/>
      <c r="E51" s="155"/>
      <c r="F51" s="183">
        <f t="shared" si="1"/>
        <v>0</v>
      </c>
      <c r="G51" s="141"/>
      <c r="H51" s="155"/>
      <c r="I51" s="155"/>
      <c r="J51" s="153">
        <f t="shared" si="5"/>
        <v>0</v>
      </c>
      <c r="K51" s="141"/>
      <c r="L51" s="24"/>
    </row>
    <row r="52" spans="1:12" s="21" customFormat="1" ht="18" customHeight="1" thickBot="1">
      <c r="A52" s="72" t="s">
        <v>215</v>
      </c>
      <c r="B52" s="70">
        <v>18</v>
      </c>
      <c r="C52" s="105">
        <v>1070</v>
      </c>
      <c r="D52" s="156">
        <v>191775.5</v>
      </c>
      <c r="E52" s="156">
        <v>191775.5</v>
      </c>
      <c r="F52" s="183">
        <f t="shared" si="1"/>
        <v>0</v>
      </c>
      <c r="G52" s="141">
        <f t="shared" si="2"/>
        <v>0</v>
      </c>
      <c r="H52" s="156">
        <v>174032.8</v>
      </c>
      <c r="I52" s="156">
        <v>174032.8</v>
      </c>
      <c r="J52" s="153">
        <f t="shared" si="5"/>
        <v>0</v>
      </c>
      <c r="K52" s="141">
        <f t="shared" ref="K52:K54" si="7">J52/H52*100%</f>
        <v>0</v>
      </c>
      <c r="L52" s="24"/>
    </row>
    <row r="53" spans="1:12" s="21" customFormat="1" ht="18" customHeight="1" thickBot="1">
      <c r="A53" s="65" t="s">
        <v>216</v>
      </c>
      <c r="B53" s="77">
        <v>19</v>
      </c>
      <c r="C53" s="109">
        <v>1080</v>
      </c>
      <c r="D53" s="157">
        <v>16841</v>
      </c>
      <c r="E53" s="157">
        <v>16872</v>
      </c>
      <c r="F53" s="183">
        <f t="shared" si="1"/>
        <v>31</v>
      </c>
      <c r="G53" s="141">
        <f t="shared" si="2"/>
        <v>1.8407457989430556E-3</v>
      </c>
      <c r="H53" s="157">
        <v>11338.5</v>
      </c>
      <c r="I53" s="157">
        <v>11338.5</v>
      </c>
      <c r="J53" s="153">
        <f t="shared" si="5"/>
        <v>0</v>
      </c>
      <c r="K53" s="141">
        <f t="shared" si="7"/>
        <v>0</v>
      </c>
      <c r="L53" s="24"/>
    </row>
    <row r="54" spans="1:12" s="21" customFormat="1" ht="26.25" customHeight="1" thickBot="1">
      <c r="A54" s="90" t="s">
        <v>92</v>
      </c>
      <c r="B54" s="91">
        <v>20</v>
      </c>
      <c r="C54" s="117">
        <v>1100</v>
      </c>
      <c r="D54" s="130">
        <f>D55+D70+D97+D108</f>
        <v>66390.900000000009</v>
      </c>
      <c r="E54" s="130">
        <f>E55+E70+E97+E108</f>
        <v>64295.600000000006</v>
      </c>
      <c r="F54" s="130">
        <f>E54-D54</f>
        <v>-2095.3000000000029</v>
      </c>
      <c r="G54" s="129">
        <f t="shared" si="2"/>
        <v>-3.1560048139127543E-2</v>
      </c>
      <c r="H54" s="130">
        <f>H55+H70+H97+H108</f>
        <v>125782</v>
      </c>
      <c r="I54" s="130">
        <f>I55+I70+I97+I108</f>
        <v>116991.7</v>
      </c>
      <c r="J54" s="130">
        <f>I54-H54</f>
        <v>-8790.3000000000029</v>
      </c>
      <c r="K54" s="129">
        <f t="shared" si="7"/>
        <v>-6.988519820006045E-2</v>
      </c>
      <c r="L54" s="24"/>
    </row>
    <row r="55" spans="1:12" s="21" customFormat="1" ht="26.25" customHeight="1" thickBot="1">
      <c r="A55" s="103" t="s">
        <v>208</v>
      </c>
      <c r="B55" s="91">
        <f t="shared" si="0"/>
        <v>21</v>
      </c>
      <c r="C55" s="118">
        <v>1110</v>
      </c>
      <c r="D55" s="132">
        <f>SUM(D56:D66)</f>
        <v>0</v>
      </c>
      <c r="E55" s="132">
        <f>SUM(E56:E66)</f>
        <v>0</v>
      </c>
      <c r="F55" s="130">
        <f>E55-D55</f>
        <v>0</v>
      </c>
      <c r="G55" s="129"/>
      <c r="H55" s="132">
        <f>SUM(H56:H66)</f>
        <v>0</v>
      </c>
      <c r="I55" s="132">
        <f>SUM(I56:I66)</f>
        <v>0</v>
      </c>
      <c r="J55" s="130">
        <f>I55-H55</f>
        <v>0</v>
      </c>
      <c r="K55" s="129"/>
      <c r="L55" s="24"/>
    </row>
    <row r="56" spans="1:12" s="21" customFormat="1" ht="19.5" customHeight="1" thickBot="1">
      <c r="A56" s="65" t="s">
        <v>55</v>
      </c>
      <c r="B56" s="69">
        <f t="shared" si="0"/>
        <v>22</v>
      </c>
      <c r="C56" s="105" t="s">
        <v>108</v>
      </c>
      <c r="D56" s="152">
        <v>0</v>
      </c>
      <c r="E56" s="152">
        <v>0</v>
      </c>
      <c r="F56" s="158">
        <f>E56-D56</f>
        <v>0</v>
      </c>
      <c r="G56" s="141"/>
      <c r="H56" s="152">
        <v>0</v>
      </c>
      <c r="I56" s="152">
        <v>0</v>
      </c>
      <c r="J56" s="158">
        <f>I56-H56</f>
        <v>0</v>
      </c>
      <c r="K56" s="141"/>
      <c r="L56" s="24"/>
    </row>
    <row r="57" spans="1:12" s="21" customFormat="1" ht="19.5" customHeight="1" thickBot="1">
      <c r="A57" s="72" t="s">
        <v>56</v>
      </c>
      <c r="B57" s="70">
        <f t="shared" si="0"/>
        <v>23</v>
      </c>
      <c r="C57" s="105" t="s">
        <v>118</v>
      </c>
      <c r="D57" s="154">
        <v>0</v>
      </c>
      <c r="E57" s="154">
        <v>0</v>
      </c>
      <c r="F57" s="158">
        <f t="shared" ref="F57:F69" si="8">E57-D57</f>
        <v>0</v>
      </c>
      <c r="G57" s="141"/>
      <c r="H57" s="154">
        <v>0</v>
      </c>
      <c r="I57" s="154">
        <v>0</v>
      </c>
      <c r="J57" s="158">
        <f t="shared" ref="J57:J69" si="9">I57-H57</f>
        <v>0</v>
      </c>
      <c r="K57" s="141"/>
      <c r="L57" s="24"/>
    </row>
    <row r="58" spans="1:12" s="21" customFormat="1" ht="19.5" customHeight="1" thickBot="1">
      <c r="A58" s="72" t="s">
        <v>145</v>
      </c>
      <c r="B58" s="70">
        <f t="shared" si="0"/>
        <v>24</v>
      </c>
      <c r="C58" s="105" t="s">
        <v>149</v>
      </c>
      <c r="D58" s="154"/>
      <c r="E58" s="154"/>
      <c r="F58" s="158">
        <f t="shared" si="8"/>
        <v>0</v>
      </c>
      <c r="G58" s="141"/>
      <c r="H58" s="154"/>
      <c r="I58" s="154"/>
      <c r="J58" s="158">
        <f t="shared" si="9"/>
        <v>0</v>
      </c>
      <c r="K58" s="141"/>
      <c r="L58" s="24"/>
    </row>
    <row r="59" spans="1:12" s="21" customFormat="1" ht="19.5" customHeight="1" thickBot="1">
      <c r="A59" s="72" t="s">
        <v>57</v>
      </c>
      <c r="B59" s="70">
        <f t="shared" si="0"/>
        <v>25</v>
      </c>
      <c r="C59" s="105" t="s">
        <v>150</v>
      </c>
      <c r="D59" s="154"/>
      <c r="E59" s="154"/>
      <c r="F59" s="158">
        <f t="shared" si="8"/>
        <v>0</v>
      </c>
      <c r="G59" s="141"/>
      <c r="H59" s="154"/>
      <c r="I59" s="154"/>
      <c r="J59" s="158">
        <f t="shared" si="9"/>
        <v>0</v>
      </c>
      <c r="K59" s="141"/>
      <c r="L59" s="24"/>
    </row>
    <row r="60" spans="1:12" s="21" customFormat="1" ht="19.5" customHeight="1" thickBot="1">
      <c r="A60" s="72" t="s">
        <v>58</v>
      </c>
      <c r="B60" s="70">
        <f t="shared" si="0"/>
        <v>26</v>
      </c>
      <c r="C60" s="105" t="s">
        <v>151</v>
      </c>
      <c r="D60" s="154"/>
      <c r="E60" s="154"/>
      <c r="F60" s="158">
        <f t="shared" si="8"/>
        <v>0</v>
      </c>
      <c r="G60" s="141"/>
      <c r="H60" s="154"/>
      <c r="I60" s="154"/>
      <c r="J60" s="158">
        <f t="shared" si="9"/>
        <v>0</v>
      </c>
      <c r="K60" s="141"/>
      <c r="L60" s="24"/>
    </row>
    <row r="61" spans="1:12" s="21" customFormat="1" ht="19.5" customHeight="1" thickBot="1">
      <c r="A61" s="72" t="s">
        <v>146</v>
      </c>
      <c r="B61" s="70">
        <f t="shared" si="0"/>
        <v>27</v>
      </c>
      <c r="C61" s="105" t="s">
        <v>152</v>
      </c>
      <c r="D61" s="154"/>
      <c r="E61" s="154"/>
      <c r="F61" s="158">
        <f t="shared" si="8"/>
        <v>0</v>
      </c>
      <c r="G61" s="141"/>
      <c r="H61" s="154"/>
      <c r="I61" s="154"/>
      <c r="J61" s="158">
        <f t="shared" si="9"/>
        <v>0</v>
      </c>
      <c r="K61" s="141"/>
      <c r="L61" s="24"/>
    </row>
    <row r="62" spans="1:12" s="21" customFormat="1" ht="19.5" customHeight="1" thickBot="1">
      <c r="A62" s="72" t="s">
        <v>59</v>
      </c>
      <c r="B62" s="70">
        <f t="shared" si="0"/>
        <v>28</v>
      </c>
      <c r="C62" s="105" t="s">
        <v>153</v>
      </c>
      <c r="D62" s="154"/>
      <c r="E62" s="154"/>
      <c r="F62" s="158">
        <f t="shared" si="8"/>
        <v>0</v>
      </c>
      <c r="G62" s="141"/>
      <c r="H62" s="154"/>
      <c r="I62" s="154"/>
      <c r="J62" s="158">
        <f t="shared" si="9"/>
        <v>0</v>
      </c>
      <c r="K62" s="141"/>
      <c r="L62" s="24"/>
    </row>
    <row r="63" spans="1:12" s="21" customFormat="1" ht="19.5" customHeight="1" thickBot="1">
      <c r="A63" s="72" t="s">
        <v>119</v>
      </c>
      <c r="B63" s="70">
        <f t="shared" si="0"/>
        <v>29</v>
      </c>
      <c r="C63" s="105" t="s">
        <v>154</v>
      </c>
      <c r="D63" s="154"/>
      <c r="E63" s="154"/>
      <c r="F63" s="158">
        <f t="shared" si="8"/>
        <v>0</v>
      </c>
      <c r="G63" s="141"/>
      <c r="H63" s="154"/>
      <c r="I63" s="154"/>
      <c r="J63" s="158">
        <f t="shared" si="9"/>
        <v>0</v>
      </c>
      <c r="K63" s="141"/>
      <c r="L63" s="24"/>
    </row>
    <row r="64" spans="1:12" s="21" customFormat="1" ht="19.5" customHeight="1" thickBot="1">
      <c r="A64" s="72" t="s">
        <v>120</v>
      </c>
      <c r="B64" s="70">
        <f t="shared" si="0"/>
        <v>30</v>
      </c>
      <c r="C64" s="105" t="s">
        <v>155</v>
      </c>
      <c r="D64" s="154"/>
      <c r="E64" s="154"/>
      <c r="F64" s="158">
        <f t="shared" si="8"/>
        <v>0</v>
      </c>
      <c r="G64" s="141"/>
      <c r="H64" s="154"/>
      <c r="I64" s="154"/>
      <c r="J64" s="158">
        <f t="shared" si="9"/>
        <v>0</v>
      </c>
      <c r="K64" s="141"/>
      <c r="L64" s="24"/>
    </row>
    <row r="65" spans="1:12" s="21" customFormat="1" ht="19.5" customHeight="1" thickBot="1">
      <c r="A65" s="72" t="s">
        <v>147</v>
      </c>
      <c r="B65" s="70">
        <f t="shared" si="0"/>
        <v>31</v>
      </c>
      <c r="C65" s="105" t="s">
        <v>156</v>
      </c>
      <c r="D65" s="154">
        <v>0</v>
      </c>
      <c r="E65" s="154">
        <v>0</v>
      </c>
      <c r="F65" s="158">
        <f t="shared" si="8"/>
        <v>0</v>
      </c>
      <c r="G65" s="141"/>
      <c r="H65" s="154">
        <v>0</v>
      </c>
      <c r="I65" s="154">
        <v>0</v>
      </c>
      <c r="J65" s="158">
        <f t="shared" si="9"/>
        <v>0</v>
      </c>
      <c r="K65" s="141"/>
      <c r="L65" s="24"/>
    </row>
    <row r="66" spans="1:12" s="21" customFormat="1" ht="19.5" customHeight="1" thickBot="1">
      <c r="A66" s="72" t="s">
        <v>217</v>
      </c>
      <c r="B66" s="70">
        <v>32</v>
      </c>
      <c r="C66" s="105" t="s">
        <v>219</v>
      </c>
      <c r="D66" s="154">
        <f>SUM(D67:D69)</f>
        <v>0</v>
      </c>
      <c r="E66" s="154">
        <f>SUM(E67:E69)</f>
        <v>0</v>
      </c>
      <c r="F66" s="158">
        <f t="shared" si="8"/>
        <v>0</v>
      </c>
      <c r="G66" s="141"/>
      <c r="H66" s="154">
        <f>SUM(H67:H69)</f>
        <v>0</v>
      </c>
      <c r="I66" s="154">
        <f>SUM(I67:I69)</f>
        <v>0</v>
      </c>
      <c r="J66" s="158">
        <f t="shared" si="9"/>
        <v>0</v>
      </c>
      <c r="K66" s="141"/>
      <c r="L66" s="24"/>
    </row>
    <row r="67" spans="1:12" s="21" customFormat="1" ht="19.5" customHeight="1" thickBot="1">
      <c r="A67" s="80" t="s">
        <v>114</v>
      </c>
      <c r="B67" s="70">
        <v>33</v>
      </c>
      <c r="C67" s="110" t="s">
        <v>240</v>
      </c>
      <c r="D67" s="154"/>
      <c r="E67" s="154"/>
      <c r="F67" s="158">
        <f t="shared" si="8"/>
        <v>0</v>
      </c>
      <c r="G67" s="141"/>
      <c r="H67" s="154"/>
      <c r="I67" s="154"/>
      <c r="J67" s="158">
        <f t="shared" si="9"/>
        <v>0</v>
      </c>
      <c r="K67" s="141"/>
      <c r="L67" s="24"/>
    </row>
    <row r="68" spans="1:12" s="21" customFormat="1" ht="19.5" customHeight="1" thickBot="1">
      <c r="A68" s="75" t="s">
        <v>115</v>
      </c>
      <c r="B68" s="70">
        <v>34</v>
      </c>
      <c r="C68" s="111" t="s">
        <v>241</v>
      </c>
      <c r="D68" s="159"/>
      <c r="E68" s="159"/>
      <c r="F68" s="158">
        <f t="shared" si="8"/>
        <v>0</v>
      </c>
      <c r="G68" s="141"/>
      <c r="H68" s="159"/>
      <c r="I68" s="159"/>
      <c r="J68" s="158">
        <f t="shared" si="9"/>
        <v>0</v>
      </c>
      <c r="K68" s="141"/>
      <c r="L68" s="24"/>
    </row>
    <row r="69" spans="1:12" s="21" customFormat="1" ht="19.5" customHeight="1" thickBot="1">
      <c r="A69" s="75" t="s">
        <v>116</v>
      </c>
      <c r="B69" s="77">
        <v>35</v>
      </c>
      <c r="C69" s="111" t="s">
        <v>242</v>
      </c>
      <c r="D69" s="160"/>
      <c r="E69" s="160"/>
      <c r="F69" s="158">
        <f t="shared" si="8"/>
        <v>0</v>
      </c>
      <c r="G69" s="141"/>
      <c r="H69" s="160"/>
      <c r="I69" s="160"/>
      <c r="J69" s="158">
        <f t="shared" si="9"/>
        <v>0</v>
      </c>
      <c r="K69" s="141"/>
      <c r="L69" s="24"/>
    </row>
    <row r="70" spans="1:12" s="21" customFormat="1" ht="33" customHeight="1" thickBot="1">
      <c r="A70" s="103" t="s">
        <v>218</v>
      </c>
      <c r="B70" s="91">
        <v>36</v>
      </c>
      <c r="C70" s="118">
        <v>1120</v>
      </c>
      <c r="D70" s="130">
        <f>SUM(D71:D73,D79:D81,D92:D96)</f>
        <v>58766.9</v>
      </c>
      <c r="E70" s="133">
        <f>SUM(E71:E73,E79:E81,E92:E96)</f>
        <v>58766.9</v>
      </c>
      <c r="F70" s="133">
        <f>E70-D70</f>
        <v>0</v>
      </c>
      <c r="G70" s="129">
        <f t="shared" si="2"/>
        <v>0</v>
      </c>
      <c r="H70" s="130">
        <f>SUM(H71:H73,H79:H81,H92:H96)</f>
        <v>107982.39999999999</v>
      </c>
      <c r="I70" s="133">
        <f>SUM(I71:I73,I79:I81,I92:I96)</f>
        <v>107982.39999999999</v>
      </c>
      <c r="J70" s="133">
        <f>I70-H70</f>
        <v>0</v>
      </c>
      <c r="K70" s="129">
        <f t="shared" ref="K70:K101" si="10">J70/H70*100%</f>
        <v>0</v>
      </c>
      <c r="L70" s="24"/>
    </row>
    <row r="71" spans="1:12" s="21" customFormat="1" ht="18" customHeight="1" thickBot="1">
      <c r="A71" s="65" t="s">
        <v>55</v>
      </c>
      <c r="B71" s="69">
        <f t="shared" si="0"/>
        <v>37</v>
      </c>
      <c r="C71" s="105" t="s">
        <v>220</v>
      </c>
      <c r="D71" s="161">
        <v>37834.9</v>
      </c>
      <c r="E71" s="161">
        <v>37834.9</v>
      </c>
      <c r="F71" s="148">
        <f>E71-D71</f>
        <v>0</v>
      </c>
      <c r="G71" s="143">
        <f t="shared" si="2"/>
        <v>0</v>
      </c>
      <c r="H71" s="161">
        <f>35479.1+D71</f>
        <v>73314</v>
      </c>
      <c r="I71" s="161">
        <f>35479.1+E71</f>
        <v>73314</v>
      </c>
      <c r="J71" s="158">
        <f>I71-H71</f>
        <v>0</v>
      </c>
      <c r="K71" s="141">
        <f t="shared" si="10"/>
        <v>0</v>
      </c>
      <c r="L71" s="24"/>
    </row>
    <row r="72" spans="1:12" s="21" customFormat="1" ht="18" customHeight="1" thickBot="1">
      <c r="A72" s="72" t="s">
        <v>56</v>
      </c>
      <c r="B72" s="70">
        <f t="shared" si="0"/>
        <v>38</v>
      </c>
      <c r="C72" s="105" t="s">
        <v>221</v>
      </c>
      <c r="D72" s="154">
        <v>8153.1</v>
      </c>
      <c r="E72" s="154">
        <v>8153.1</v>
      </c>
      <c r="F72" s="148">
        <f t="shared" ref="F72:F96" si="11">E72-D72</f>
        <v>0</v>
      </c>
      <c r="G72" s="143">
        <f t="shared" si="2"/>
        <v>0</v>
      </c>
      <c r="H72" s="154">
        <f>7635+D72</f>
        <v>15788.1</v>
      </c>
      <c r="I72" s="154">
        <f>7635+E72</f>
        <v>15788.1</v>
      </c>
      <c r="J72" s="158">
        <f t="shared" ref="J72:J96" si="12">I72-H72</f>
        <v>0</v>
      </c>
      <c r="K72" s="141">
        <f t="shared" si="10"/>
        <v>0</v>
      </c>
      <c r="L72" s="24"/>
    </row>
    <row r="73" spans="1:12" s="21" customFormat="1" ht="18" customHeight="1" thickBot="1">
      <c r="A73" s="72" t="s">
        <v>145</v>
      </c>
      <c r="B73" s="70">
        <f t="shared" si="0"/>
        <v>39</v>
      </c>
      <c r="C73" s="105" t="s">
        <v>222</v>
      </c>
      <c r="D73" s="154">
        <f>SUM(D74:D78)</f>
        <v>4653.8999999999996</v>
      </c>
      <c r="E73" s="154">
        <f>SUM(E74:E78)</f>
        <v>4653.8999999999996</v>
      </c>
      <c r="F73" s="148">
        <f t="shared" si="11"/>
        <v>0</v>
      </c>
      <c r="G73" s="143">
        <f t="shared" si="2"/>
        <v>0</v>
      </c>
      <c r="H73" s="154">
        <f>SUM(H74:H78)</f>
        <v>6757.5</v>
      </c>
      <c r="I73" s="154">
        <f>SUM(I74:I78)</f>
        <v>6757.5</v>
      </c>
      <c r="J73" s="158">
        <f t="shared" si="12"/>
        <v>0</v>
      </c>
      <c r="K73" s="141">
        <f t="shared" si="10"/>
        <v>0</v>
      </c>
      <c r="L73" s="24"/>
    </row>
    <row r="74" spans="1:12" s="21" customFormat="1" ht="18" customHeight="1" thickBot="1">
      <c r="A74" s="75" t="s">
        <v>94</v>
      </c>
      <c r="B74" s="70">
        <f t="shared" si="0"/>
        <v>40</v>
      </c>
      <c r="C74" s="110" t="s">
        <v>243</v>
      </c>
      <c r="D74" s="159">
        <v>775.6</v>
      </c>
      <c r="E74" s="159">
        <v>775.6</v>
      </c>
      <c r="F74" s="148">
        <f t="shared" si="11"/>
        <v>0</v>
      </c>
      <c r="G74" s="143">
        <f t="shared" si="2"/>
        <v>0</v>
      </c>
      <c r="H74" s="159">
        <f>543.6+D74</f>
        <v>1319.2</v>
      </c>
      <c r="I74" s="159">
        <f>543.6+E74</f>
        <v>1319.2</v>
      </c>
      <c r="J74" s="158">
        <f t="shared" si="12"/>
        <v>0</v>
      </c>
      <c r="K74" s="141">
        <f t="shared" si="10"/>
        <v>0</v>
      </c>
      <c r="L74" s="24"/>
    </row>
    <row r="75" spans="1:12" s="21" customFormat="1" ht="18" customHeight="1" thickBot="1">
      <c r="A75" s="75" t="s">
        <v>95</v>
      </c>
      <c r="B75" s="70">
        <f t="shared" si="0"/>
        <v>41</v>
      </c>
      <c r="C75" s="110" t="s">
        <v>244</v>
      </c>
      <c r="D75" s="159">
        <v>833.4</v>
      </c>
      <c r="E75" s="159">
        <v>833.4</v>
      </c>
      <c r="F75" s="148">
        <f t="shared" si="11"/>
        <v>0</v>
      </c>
      <c r="G75" s="143">
        <f t="shared" si="2"/>
        <v>0</v>
      </c>
      <c r="H75" s="159">
        <f>1445+D75</f>
        <v>2278.4</v>
      </c>
      <c r="I75" s="159">
        <f>1445+E75</f>
        <v>2278.4</v>
      </c>
      <c r="J75" s="158">
        <f t="shared" si="12"/>
        <v>0</v>
      </c>
      <c r="K75" s="141">
        <f t="shared" si="10"/>
        <v>0</v>
      </c>
      <c r="L75" s="24"/>
    </row>
    <row r="76" spans="1:12" s="21" customFormat="1" ht="18" customHeight="1" thickBot="1">
      <c r="A76" s="75" t="s">
        <v>96</v>
      </c>
      <c r="B76" s="70">
        <f t="shared" si="0"/>
        <v>42</v>
      </c>
      <c r="C76" s="110" t="s">
        <v>245</v>
      </c>
      <c r="D76" s="159">
        <v>0</v>
      </c>
      <c r="E76" s="159">
        <v>0</v>
      </c>
      <c r="F76" s="148">
        <f t="shared" si="11"/>
        <v>0</v>
      </c>
      <c r="G76" s="143"/>
      <c r="H76" s="159">
        <f>75+D76</f>
        <v>75</v>
      </c>
      <c r="I76" s="159">
        <f>75+E76</f>
        <v>75</v>
      </c>
      <c r="J76" s="158">
        <f t="shared" si="12"/>
        <v>0</v>
      </c>
      <c r="K76" s="141">
        <f t="shared" si="10"/>
        <v>0</v>
      </c>
      <c r="L76" s="24"/>
    </row>
    <row r="77" spans="1:12" s="21" customFormat="1" ht="18" customHeight="1" thickBot="1">
      <c r="A77" s="75" t="s">
        <v>97</v>
      </c>
      <c r="B77" s="70">
        <f t="shared" si="0"/>
        <v>43</v>
      </c>
      <c r="C77" s="110" t="s">
        <v>246</v>
      </c>
      <c r="D77" s="159">
        <v>14.5</v>
      </c>
      <c r="E77" s="159">
        <v>14.5</v>
      </c>
      <c r="F77" s="148">
        <f t="shared" si="11"/>
        <v>0</v>
      </c>
      <c r="G77" s="143">
        <f t="shared" si="2"/>
        <v>0</v>
      </c>
      <c r="H77" s="159">
        <f>40+D77</f>
        <v>54.5</v>
      </c>
      <c r="I77" s="159">
        <f>40+E77</f>
        <v>54.5</v>
      </c>
      <c r="J77" s="158">
        <f t="shared" si="12"/>
        <v>0</v>
      </c>
      <c r="K77" s="141">
        <f t="shared" si="10"/>
        <v>0</v>
      </c>
      <c r="L77" s="24"/>
    </row>
    <row r="78" spans="1:12" s="21" customFormat="1" ht="18" customHeight="1" thickBot="1">
      <c r="A78" s="75" t="s">
        <v>98</v>
      </c>
      <c r="B78" s="70">
        <f t="shared" si="0"/>
        <v>44</v>
      </c>
      <c r="C78" s="110" t="s">
        <v>247</v>
      </c>
      <c r="D78" s="159">
        <v>3030.4</v>
      </c>
      <c r="E78" s="159">
        <v>3030.4</v>
      </c>
      <c r="F78" s="148">
        <f t="shared" si="11"/>
        <v>0</v>
      </c>
      <c r="G78" s="143"/>
      <c r="H78" s="159">
        <f>0+D78</f>
        <v>3030.4</v>
      </c>
      <c r="I78" s="159">
        <f>0+E78</f>
        <v>3030.4</v>
      </c>
      <c r="J78" s="158">
        <f t="shared" si="12"/>
        <v>0</v>
      </c>
      <c r="K78" s="141"/>
      <c r="L78" s="24"/>
    </row>
    <row r="79" spans="1:12" s="21" customFormat="1" ht="18" customHeight="1" thickBot="1">
      <c r="A79" s="72" t="s">
        <v>57</v>
      </c>
      <c r="B79" s="70">
        <f t="shared" si="0"/>
        <v>45</v>
      </c>
      <c r="C79" s="105" t="s">
        <v>223</v>
      </c>
      <c r="D79" s="154">
        <v>369.7</v>
      </c>
      <c r="E79" s="154">
        <v>369.7</v>
      </c>
      <c r="F79" s="148">
        <f t="shared" si="11"/>
        <v>0</v>
      </c>
      <c r="G79" s="143">
        <f t="shared" si="2"/>
        <v>0</v>
      </c>
      <c r="H79" s="154">
        <f>100+D79</f>
        <v>469.7</v>
      </c>
      <c r="I79" s="154">
        <f>100+E79</f>
        <v>469.7</v>
      </c>
      <c r="J79" s="158">
        <f t="shared" si="12"/>
        <v>0</v>
      </c>
      <c r="K79" s="141">
        <f t="shared" si="10"/>
        <v>0</v>
      </c>
      <c r="L79" s="24"/>
    </row>
    <row r="80" spans="1:12" s="21" customFormat="1" ht="18" customHeight="1" thickBot="1">
      <c r="A80" s="72" t="s">
        <v>58</v>
      </c>
      <c r="B80" s="70">
        <f t="shared" si="0"/>
        <v>46</v>
      </c>
      <c r="C80" s="105" t="s">
        <v>224</v>
      </c>
      <c r="D80" s="154">
        <v>0</v>
      </c>
      <c r="E80" s="154">
        <v>0</v>
      </c>
      <c r="F80" s="148">
        <f t="shared" si="11"/>
        <v>0</v>
      </c>
      <c r="G80" s="143"/>
      <c r="H80" s="154">
        <v>0</v>
      </c>
      <c r="I80" s="154">
        <v>0</v>
      </c>
      <c r="J80" s="158">
        <f t="shared" si="12"/>
        <v>0</v>
      </c>
      <c r="K80" s="141"/>
      <c r="L80" s="24"/>
    </row>
    <row r="81" spans="1:12" s="21" customFormat="1" ht="23.25" customHeight="1" thickBot="1">
      <c r="A81" s="72" t="s">
        <v>146</v>
      </c>
      <c r="B81" s="70">
        <f t="shared" si="0"/>
        <v>47</v>
      </c>
      <c r="C81" s="105" t="s">
        <v>225</v>
      </c>
      <c r="D81" s="154">
        <f>SUM(D82:D92)</f>
        <v>857.9</v>
      </c>
      <c r="E81" s="154">
        <f>SUM(E82:E92)</f>
        <v>857.9</v>
      </c>
      <c r="F81" s="148">
        <f t="shared" si="11"/>
        <v>0</v>
      </c>
      <c r="G81" s="143">
        <f t="shared" si="2"/>
        <v>0</v>
      </c>
      <c r="H81" s="154">
        <f>SUM(H82:H92)</f>
        <v>1822.5</v>
      </c>
      <c r="I81" s="154">
        <f>SUM(I82:I92)</f>
        <v>1822.5</v>
      </c>
      <c r="J81" s="158">
        <f t="shared" si="12"/>
        <v>0</v>
      </c>
      <c r="K81" s="141">
        <f t="shared" si="10"/>
        <v>0</v>
      </c>
      <c r="L81" s="24"/>
    </row>
    <row r="82" spans="1:12" s="21" customFormat="1" ht="18" customHeight="1" thickBot="1">
      <c r="A82" s="81" t="s">
        <v>99</v>
      </c>
      <c r="B82" s="70">
        <f t="shared" si="0"/>
        <v>48</v>
      </c>
      <c r="C82" s="110" t="s">
        <v>248</v>
      </c>
      <c r="D82" s="159">
        <v>0</v>
      </c>
      <c r="E82" s="159">
        <v>0</v>
      </c>
      <c r="F82" s="148">
        <f t="shared" si="11"/>
        <v>0</v>
      </c>
      <c r="G82" s="143"/>
      <c r="H82" s="159">
        <f>0.8+D82</f>
        <v>0.8</v>
      </c>
      <c r="I82" s="159">
        <f>0.8+E82</f>
        <v>0.8</v>
      </c>
      <c r="J82" s="158">
        <f t="shared" si="12"/>
        <v>0</v>
      </c>
      <c r="K82" s="141">
        <f t="shared" si="10"/>
        <v>0</v>
      </c>
      <c r="L82" s="24"/>
    </row>
    <row r="83" spans="1:12" s="21" customFormat="1" ht="18" customHeight="1" thickBot="1">
      <c r="A83" s="81" t="s">
        <v>100</v>
      </c>
      <c r="B83" s="70">
        <f t="shared" si="0"/>
        <v>49</v>
      </c>
      <c r="C83" s="110" t="s">
        <v>249</v>
      </c>
      <c r="D83" s="159">
        <v>0</v>
      </c>
      <c r="E83" s="159">
        <v>0</v>
      </c>
      <c r="F83" s="148">
        <f t="shared" si="11"/>
        <v>0</v>
      </c>
      <c r="G83" s="143"/>
      <c r="H83" s="159">
        <v>0</v>
      </c>
      <c r="I83" s="159">
        <v>0</v>
      </c>
      <c r="J83" s="158">
        <f t="shared" si="12"/>
        <v>0</v>
      </c>
      <c r="K83" s="141"/>
      <c r="L83" s="24"/>
    </row>
    <row r="84" spans="1:12" s="21" customFormat="1" ht="18" customHeight="1" thickBot="1">
      <c r="A84" s="81" t="s">
        <v>101</v>
      </c>
      <c r="B84" s="70">
        <f t="shared" si="0"/>
        <v>50</v>
      </c>
      <c r="C84" s="110" t="s">
        <v>250</v>
      </c>
      <c r="D84" s="159">
        <v>0.3</v>
      </c>
      <c r="E84" s="159">
        <v>0.3</v>
      </c>
      <c r="F84" s="148">
        <f t="shared" si="11"/>
        <v>0</v>
      </c>
      <c r="G84" s="143">
        <f t="shared" si="2"/>
        <v>0</v>
      </c>
      <c r="H84" s="159">
        <f>177.4+D84</f>
        <v>177.70000000000002</v>
      </c>
      <c r="I84" s="159">
        <f>177.4+E84</f>
        <v>177.70000000000002</v>
      </c>
      <c r="J84" s="158">
        <f t="shared" si="12"/>
        <v>0</v>
      </c>
      <c r="K84" s="141">
        <f t="shared" si="10"/>
        <v>0</v>
      </c>
      <c r="L84" s="25"/>
    </row>
    <row r="85" spans="1:12" s="21" customFormat="1" ht="18" customHeight="1" thickBot="1">
      <c r="A85" s="81" t="s">
        <v>102</v>
      </c>
      <c r="B85" s="70">
        <f t="shared" si="0"/>
        <v>51</v>
      </c>
      <c r="C85" s="110" t="s">
        <v>251</v>
      </c>
      <c r="D85" s="159">
        <v>626.1</v>
      </c>
      <c r="E85" s="159">
        <v>626.1</v>
      </c>
      <c r="F85" s="148">
        <f t="shared" si="11"/>
        <v>0</v>
      </c>
      <c r="G85" s="143">
        <f t="shared" si="2"/>
        <v>0</v>
      </c>
      <c r="H85" s="159">
        <f>436+D85</f>
        <v>1062.0999999999999</v>
      </c>
      <c r="I85" s="159">
        <f>436+E85</f>
        <v>1062.0999999999999</v>
      </c>
      <c r="J85" s="158">
        <f t="shared" si="12"/>
        <v>0</v>
      </c>
      <c r="K85" s="141">
        <f t="shared" si="10"/>
        <v>0</v>
      </c>
      <c r="L85" s="22"/>
    </row>
    <row r="86" spans="1:12" s="21" customFormat="1" ht="18" customHeight="1" thickBot="1">
      <c r="A86" s="81" t="s">
        <v>103</v>
      </c>
      <c r="B86" s="70">
        <f t="shared" si="0"/>
        <v>52</v>
      </c>
      <c r="C86" s="110" t="s">
        <v>252</v>
      </c>
      <c r="D86" s="159">
        <v>0</v>
      </c>
      <c r="E86" s="159">
        <v>0</v>
      </c>
      <c r="F86" s="148">
        <f t="shared" si="11"/>
        <v>0</v>
      </c>
      <c r="G86" s="143"/>
      <c r="H86" s="159">
        <f>16.1+D86</f>
        <v>16.100000000000001</v>
      </c>
      <c r="I86" s="159">
        <v>16.100000000000001</v>
      </c>
      <c r="J86" s="158">
        <f t="shared" si="12"/>
        <v>0</v>
      </c>
      <c r="K86" s="141">
        <f t="shared" si="10"/>
        <v>0</v>
      </c>
      <c r="L86" s="23"/>
    </row>
    <row r="87" spans="1:12" s="21" customFormat="1" ht="32.25" customHeight="1" thickBot="1">
      <c r="A87" s="81" t="s">
        <v>104</v>
      </c>
      <c r="B87" s="70">
        <f t="shared" si="0"/>
        <v>53</v>
      </c>
      <c r="C87" s="110" t="s">
        <v>253</v>
      </c>
      <c r="D87" s="163">
        <v>35.6</v>
      </c>
      <c r="E87" s="163">
        <v>35.6</v>
      </c>
      <c r="F87" s="148">
        <f t="shared" si="11"/>
        <v>0</v>
      </c>
      <c r="G87" s="143">
        <f t="shared" si="2"/>
        <v>0</v>
      </c>
      <c r="H87" s="163">
        <f>104.8+D87</f>
        <v>140.4</v>
      </c>
      <c r="I87" s="163">
        <f>104.8+E87</f>
        <v>140.4</v>
      </c>
      <c r="J87" s="158">
        <f t="shared" si="12"/>
        <v>0</v>
      </c>
      <c r="K87" s="141">
        <f t="shared" si="10"/>
        <v>0</v>
      </c>
      <c r="L87" s="24"/>
    </row>
    <row r="88" spans="1:12" s="21" customFormat="1" ht="18" customHeight="1" thickBot="1">
      <c r="A88" s="81" t="s">
        <v>105</v>
      </c>
      <c r="B88" s="70">
        <f t="shared" si="0"/>
        <v>54</v>
      </c>
      <c r="C88" s="110" t="s">
        <v>254</v>
      </c>
      <c r="D88" s="159">
        <v>0</v>
      </c>
      <c r="E88" s="159">
        <v>0</v>
      </c>
      <c r="F88" s="148">
        <f t="shared" si="11"/>
        <v>0</v>
      </c>
      <c r="G88" s="143"/>
      <c r="H88" s="159">
        <v>0</v>
      </c>
      <c r="I88" s="159">
        <v>0</v>
      </c>
      <c r="J88" s="158">
        <f t="shared" si="12"/>
        <v>0</v>
      </c>
      <c r="K88" s="141"/>
      <c r="L88" s="24"/>
    </row>
    <row r="89" spans="1:12" s="21" customFormat="1" ht="18" customHeight="1" thickBot="1">
      <c r="A89" s="81" t="s">
        <v>106</v>
      </c>
      <c r="B89" s="70">
        <f t="shared" si="0"/>
        <v>55</v>
      </c>
      <c r="C89" s="110" t="s">
        <v>255</v>
      </c>
      <c r="D89" s="159">
        <v>0</v>
      </c>
      <c r="E89" s="159">
        <v>0</v>
      </c>
      <c r="F89" s="148">
        <f t="shared" si="11"/>
        <v>0</v>
      </c>
      <c r="G89" s="143"/>
      <c r="H89" s="159">
        <v>0</v>
      </c>
      <c r="I89" s="159">
        <v>0</v>
      </c>
      <c r="J89" s="158">
        <f t="shared" si="12"/>
        <v>0</v>
      </c>
      <c r="K89" s="141"/>
      <c r="L89" s="24"/>
    </row>
    <row r="90" spans="1:12" s="21" customFormat="1" ht="18" customHeight="1" thickBot="1">
      <c r="A90" s="81" t="s">
        <v>107</v>
      </c>
      <c r="B90" s="70">
        <f t="shared" si="0"/>
        <v>56</v>
      </c>
      <c r="C90" s="110" t="s">
        <v>256</v>
      </c>
      <c r="D90" s="159">
        <v>62</v>
      </c>
      <c r="E90" s="159">
        <v>62</v>
      </c>
      <c r="F90" s="148">
        <f t="shared" si="11"/>
        <v>0</v>
      </c>
      <c r="G90" s="143">
        <f t="shared" si="2"/>
        <v>0</v>
      </c>
      <c r="H90" s="159">
        <f>35.8+D90</f>
        <v>97.8</v>
      </c>
      <c r="I90" s="159">
        <f>35.8+E90</f>
        <v>97.8</v>
      </c>
      <c r="J90" s="158">
        <f t="shared" si="12"/>
        <v>0</v>
      </c>
      <c r="K90" s="141">
        <f t="shared" si="10"/>
        <v>0</v>
      </c>
      <c r="L90" s="24"/>
    </row>
    <row r="91" spans="1:12" s="21" customFormat="1" ht="18" customHeight="1" thickBot="1">
      <c r="A91" s="81" t="s">
        <v>98</v>
      </c>
      <c r="B91" s="70">
        <f t="shared" si="0"/>
        <v>57</v>
      </c>
      <c r="C91" s="110" t="s">
        <v>257</v>
      </c>
      <c r="D91" s="159">
        <v>133.9</v>
      </c>
      <c r="E91" s="159">
        <v>133.9</v>
      </c>
      <c r="F91" s="148">
        <f t="shared" si="11"/>
        <v>0</v>
      </c>
      <c r="G91" s="143">
        <f t="shared" si="2"/>
        <v>0</v>
      </c>
      <c r="H91" s="159">
        <f>193.7+D91</f>
        <v>327.60000000000002</v>
      </c>
      <c r="I91" s="159">
        <f>193.7+E91</f>
        <v>327.60000000000002</v>
      </c>
      <c r="J91" s="158">
        <f t="shared" si="12"/>
        <v>0</v>
      </c>
      <c r="K91" s="141">
        <f t="shared" si="10"/>
        <v>0</v>
      </c>
      <c r="L91" s="24"/>
    </row>
    <row r="92" spans="1:12" s="21" customFormat="1" ht="18" customHeight="1" thickBot="1">
      <c r="A92" s="72" t="s">
        <v>59</v>
      </c>
      <c r="B92" s="70">
        <f t="shared" si="0"/>
        <v>58</v>
      </c>
      <c r="C92" s="105" t="s">
        <v>226</v>
      </c>
      <c r="D92" s="154">
        <v>0</v>
      </c>
      <c r="E92" s="154">
        <v>0</v>
      </c>
      <c r="F92" s="148">
        <f t="shared" si="11"/>
        <v>0</v>
      </c>
      <c r="G92" s="143"/>
      <c r="H92" s="154">
        <v>0</v>
      </c>
      <c r="I92" s="154">
        <v>0</v>
      </c>
      <c r="J92" s="158">
        <f t="shared" si="12"/>
        <v>0</v>
      </c>
      <c r="K92" s="141"/>
      <c r="L92" s="24"/>
    </row>
    <row r="93" spans="1:12" s="21" customFormat="1" ht="18" customHeight="1" thickBot="1">
      <c r="A93" s="72" t="s">
        <v>119</v>
      </c>
      <c r="B93" s="70">
        <f t="shared" si="0"/>
        <v>59</v>
      </c>
      <c r="C93" s="105" t="s">
        <v>227</v>
      </c>
      <c r="D93" s="154">
        <v>0</v>
      </c>
      <c r="E93" s="154">
        <v>0</v>
      </c>
      <c r="F93" s="148">
        <f t="shared" si="11"/>
        <v>0</v>
      </c>
      <c r="G93" s="143"/>
      <c r="H93" s="154">
        <v>0</v>
      </c>
      <c r="I93" s="154">
        <v>0</v>
      </c>
      <c r="J93" s="158">
        <f t="shared" si="12"/>
        <v>0</v>
      </c>
      <c r="K93" s="141"/>
      <c r="L93" s="24"/>
    </row>
    <row r="94" spans="1:12" s="21" customFormat="1" ht="18" customHeight="1" thickBot="1">
      <c r="A94" s="72" t="s">
        <v>120</v>
      </c>
      <c r="B94" s="70">
        <f t="shared" si="0"/>
        <v>60</v>
      </c>
      <c r="C94" s="105" t="s">
        <v>228</v>
      </c>
      <c r="D94" s="154">
        <v>0</v>
      </c>
      <c r="E94" s="154">
        <v>0</v>
      </c>
      <c r="F94" s="148">
        <f t="shared" si="11"/>
        <v>0</v>
      </c>
      <c r="G94" s="143"/>
      <c r="H94" s="154">
        <v>0</v>
      </c>
      <c r="I94" s="154">
        <v>0</v>
      </c>
      <c r="J94" s="158">
        <f t="shared" si="12"/>
        <v>0</v>
      </c>
      <c r="K94" s="141"/>
      <c r="L94" s="24"/>
    </row>
    <row r="95" spans="1:12" s="21" customFormat="1" ht="18" customHeight="1" thickBot="1">
      <c r="A95" s="72" t="s">
        <v>147</v>
      </c>
      <c r="B95" s="70">
        <f t="shared" si="0"/>
        <v>61</v>
      </c>
      <c r="C95" s="105" t="s">
        <v>229</v>
      </c>
      <c r="D95" s="154">
        <v>0</v>
      </c>
      <c r="E95" s="154">
        <v>0</v>
      </c>
      <c r="F95" s="148">
        <f t="shared" si="11"/>
        <v>0</v>
      </c>
      <c r="G95" s="143"/>
      <c r="H95" s="154">
        <v>0</v>
      </c>
      <c r="I95" s="154">
        <v>0</v>
      </c>
      <c r="J95" s="158">
        <f t="shared" si="12"/>
        <v>0</v>
      </c>
      <c r="K95" s="141"/>
      <c r="L95" s="24"/>
    </row>
    <row r="96" spans="1:12" s="21" customFormat="1" ht="18" customHeight="1" thickBot="1">
      <c r="A96" s="72" t="s">
        <v>148</v>
      </c>
      <c r="B96" s="70">
        <f t="shared" si="0"/>
        <v>62</v>
      </c>
      <c r="C96" s="105" t="s">
        <v>258</v>
      </c>
      <c r="D96" s="164">
        <v>6897.4</v>
      </c>
      <c r="E96" s="164">
        <v>6897.4</v>
      </c>
      <c r="F96" s="148">
        <f t="shared" si="11"/>
        <v>0</v>
      </c>
      <c r="G96" s="143">
        <f t="shared" si="2"/>
        <v>0</v>
      </c>
      <c r="H96" s="164">
        <f>2933.2+D96</f>
        <v>9830.5999999999985</v>
      </c>
      <c r="I96" s="164">
        <f>2933.2+E96</f>
        <v>9830.5999999999985</v>
      </c>
      <c r="J96" s="158">
        <f t="shared" si="12"/>
        <v>0</v>
      </c>
      <c r="K96" s="141">
        <f t="shared" si="10"/>
        <v>0</v>
      </c>
      <c r="L96" s="24"/>
    </row>
    <row r="97" spans="1:18" s="21" customFormat="1" ht="18" customHeight="1" thickBot="1">
      <c r="A97" s="103" t="s">
        <v>117</v>
      </c>
      <c r="B97" s="91">
        <f>B96+1</f>
        <v>63</v>
      </c>
      <c r="C97" s="118">
        <v>1130</v>
      </c>
      <c r="D97" s="130">
        <f>SUM(D98:D107)</f>
        <v>921.89999999999986</v>
      </c>
      <c r="E97" s="133">
        <f>SUM(E98:E107)</f>
        <v>921.89999999999986</v>
      </c>
      <c r="F97" s="133">
        <f>E97-D97</f>
        <v>0</v>
      </c>
      <c r="G97" s="129">
        <f t="shared" si="2"/>
        <v>0</v>
      </c>
      <c r="H97" s="130">
        <f>SUM(H98:H107)</f>
        <v>1497.1</v>
      </c>
      <c r="I97" s="133">
        <f>SUM(I98:I107)</f>
        <v>1497.1</v>
      </c>
      <c r="J97" s="133">
        <f>I97-H97</f>
        <v>0</v>
      </c>
      <c r="K97" s="129">
        <f t="shared" si="10"/>
        <v>0</v>
      </c>
      <c r="L97" s="24"/>
      <c r="M97" s="185"/>
      <c r="N97" s="186"/>
      <c r="O97" s="186"/>
      <c r="P97" s="186"/>
      <c r="Q97" s="186"/>
      <c r="R97" s="186"/>
    </row>
    <row r="98" spans="1:18" s="21" customFormat="1" ht="18" customHeight="1" thickBot="1">
      <c r="A98" s="65" t="s">
        <v>55</v>
      </c>
      <c r="B98" s="69">
        <f t="shared" si="0"/>
        <v>64</v>
      </c>
      <c r="C98" s="105" t="s">
        <v>259</v>
      </c>
      <c r="D98" s="152">
        <v>141.1</v>
      </c>
      <c r="E98" s="152">
        <v>141.1</v>
      </c>
      <c r="F98" s="158">
        <f>E98-D98</f>
        <v>0</v>
      </c>
      <c r="G98" s="141">
        <f t="shared" si="2"/>
        <v>0</v>
      </c>
      <c r="H98" s="152">
        <f>25.1+D98</f>
        <v>166.2</v>
      </c>
      <c r="I98" s="142">
        <f>25.1+E98</f>
        <v>166.2</v>
      </c>
      <c r="J98" s="158">
        <f>I98-H98</f>
        <v>0</v>
      </c>
      <c r="K98" s="141">
        <f t="shared" si="10"/>
        <v>0</v>
      </c>
      <c r="L98" s="24"/>
      <c r="M98" s="197"/>
      <c r="N98" s="198"/>
      <c r="O98" s="198"/>
    </row>
    <row r="99" spans="1:18" s="21" customFormat="1" ht="18" customHeight="1" thickBot="1">
      <c r="A99" s="72" t="s">
        <v>56</v>
      </c>
      <c r="B99" s="70">
        <f t="shared" si="0"/>
        <v>65</v>
      </c>
      <c r="C99" s="105" t="s">
        <v>260</v>
      </c>
      <c r="D99" s="154">
        <v>33.299999999999997</v>
      </c>
      <c r="E99" s="154">
        <v>33.299999999999997</v>
      </c>
      <c r="F99" s="158">
        <f t="shared" ref="F99:F107" si="13">E99-D99</f>
        <v>0</v>
      </c>
      <c r="G99" s="141">
        <f t="shared" si="2"/>
        <v>0</v>
      </c>
      <c r="H99" s="154">
        <f>8.8+D99</f>
        <v>42.099999999999994</v>
      </c>
      <c r="I99" s="165">
        <f>8.8+E99</f>
        <v>42.099999999999994</v>
      </c>
      <c r="J99" s="158">
        <f t="shared" ref="J99:J107" si="14">I99-H99</f>
        <v>0</v>
      </c>
      <c r="K99" s="141">
        <f t="shared" si="10"/>
        <v>0</v>
      </c>
      <c r="L99" s="24"/>
      <c r="M99" s="197"/>
      <c r="N99" s="198"/>
      <c r="O99" s="198"/>
    </row>
    <row r="100" spans="1:18" s="21" customFormat="1" ht="18" customHeight="1" thickBot="1">
      <c r="A100" s="72" t="s">
        <v>145</v>
      </c>
      <c r="B100" s="70">
        <f t="shared" si="0"/>
        <v>66</v>
      </c>
      <c r="C100" s="105" t="s">
        <v>261</v>
      </c>
      <c r="D100" s="154">
        <v>137.69999999999999</v>
      </c>
      <c r="E100" s="154">
        <v>137.69999999999999</v>
      </c>
      <c r="F100" s="158">
        <f t="shared" si="13"/>
        <v>0</v>
      </c>
      <c r="G100" s="141">
        <f t="shared" si="2"/>
        <v>0</v>
      </c>
      <c r="H100" s="154">
        <f>76.8+D100</f>
        <v>214.5</v>
      </c>
      <c r="I100" s="165">
        <f>76.8+E100</f>
        <v>214.5</v>
      </c>
      <c r="J100" s="158">
        <f t="shared" si="14"/>
        <v>0</v>
      </c>
      <c r="K100" s="141">
        <f t="shared" si="10"/>
        <v>0</v>
      </c>
      <c r="L100" s="24"/>
      <c r="M100" s="197"/>
      <c r="N100" s="198"/>
      <c r="O100" s="198"/>
    </row>
    <row r="101" spans="1:18" s="21" customFormat="1" ht="18" customHeight="1" thickBot="1">
      <c r="A101" s="72" t="s">
        <v>57</v>
      </c>
      <c r="B101" s="70">
        <f t="shared" ref="B101:B107" si="15">B100+1</f>
        <v>67</v>
      </c>
      <c r="C101" s="105" t="s">
        <v>262</v>
      </c>
      <c r="D101" s="154">
        <v>0</v>
      </c>
      <c r="E101" s="154">
        <v>0</v>
      </c>
      <c r="F101" s="158">
        <f t="shared" si="13"/>
        <v>0</v>
      </c>
      <c r="G101" s="141"/>
      <c r="H101" s="154">
        <f>23.1+D101</f>
        <v>23.1</v>
      </c>
      <c r="I101" s="165">
        <v>23.1</v>
      </c>
      <c r="J101" s="158">
        <f t="shared" si="14"/>
        <v>0</v>
      </c>
      <c r="K101" s="141">
        <f t="shared" si="10"/>
        <v>0</v>
      </c>
      <c r="L101" s="24"/>
      <c r="M101" s="197"/>
      <c r="N101" s="198"/>
      <c r="O101" s="198"/>
    </row>
    <row r="102" spans="1:18" s="21" customFormat="1" ht="19.5" thickBot="1">
      <c r="A102" s="72" t="s">
        <v>58</v>
      </c>
      <c r="B102" s="70">
        <f t="shared" si="15"/>
        <v>68</v>
      </c>
      <c r="C102" s="105" t="s">
        <v>263</v>
      </c>
      <c r="D102" s="154">
        <v>0</v>
      </c>
      <c r="E102" s="154">
        <v>0</v>
      </c>
      <c r="F102" s="158">
        <f t="shared" si="13"/>
        <v>0</v>
      </c>
      <c r="G102" s="141"/>
      <c r="H102" s="154">
        <v>0</v>
      </c>
      <c r="I102" s="165">
        <v>0</v>
      </c>
      <c r="J102" s="158">
        <f t="shared" si="14"/>
        <v>0</v>
      </c>
      <c r="K102" s="141"/>
      <c r="L102" s="24"/>
      <c r="M102" s="197"/>
      <c r="N102" s="198"/>
      <c r="O102" s="198"/>
    </row>
    <row r="103" spans="1:18" s="21" customFormat="1" ht="20.25" customHeight="1" thickBot="1">
      <c r="A103" s="72" t="s">
        <v>146</v>
      </c>
      <c r="B103" s="70">
        <f t="shared" si="15"/>
        <v>69</v>
      </c>
      <c r="C103" s="105" t="s">
        <v>264</v>
      </c>
      <c r="D103" s="154">
        <v>525.5</v>
      </c>
      <c r="E103" s="154">
        <v>525.5</v>
      </c>
      <c r="F103" s="158">
        <f t="shared" si="13"/>
        <v>0</v>
      </c>
      <c r="G103" s="141">
        <f t="shared" ref="G103:G154" si="16">F103/D103*100%</f>
        <v>0</v>
      </c>
      <c r="H103" s="154">
        <f>305.4+D103</f>
        <v>830.9</v>
      </c>
      <c r="I103" s="165">
        <f>305.4+E103</f>
        <v>830.9</v>
      </c>
      <c r="J103" s="158">
        <f t="shared" si="14"/>
        <v>0</v>
      </c>
      <c r="K103" s="141">
        <f t="shared" ref="K103" si="17">J103/H103*100%</f>
        <v>0</v>
      </c>
      <c r="L103" s="24"/>
      <c r="M103" s="197"/>
      <c r="N103" s="198"/>
      <c r="O103" s="198"/>
    </row>
    <row r="104" spans="1:18" s="21" customFormat="1" ht="18" customHeight="1" thickBot="1">
      <c r="A104" s="72" t="s">
        <v>59</v>
      </c>
      <c r="B104" s="70">
        <f t="shared" si="15"/>
        <v>70</v>
      </c>
      <c r="C104" s="105" t="s">
        <v>265</v>
      </c>
      <c r="D104" s="154">
        <v>0</v>
      </c>
      <c r="E104" s="154">
        <v>0</v>
      </c>
      <c r="F104" s="158">
        <f t="shared" si="13"/>
        <v>0</v>
      </c>
      <c r="G104" s="141"/>
      <c r="H104" s="154">
        <v>0</v>
      </c>
      <c r="I104" s="165">
        <v>0</v>
      </c>
      <c r="J104" s="158">
        <f t="shared" si="14"/>
        <v>0</v>
      </c>
      <c r="K104" s="141"/>
      <c r="L104" s="24"/>
      <c r="M104" s="197"/>
      <c r="N104" s="198"/>
      <c r="O104" s="198"/>
    </row>
    <row r="105" spans="1:18" s="21" customFormat="1" ht="18" customHeight="1" thickBot="1">
      <c r="A105" s="72" t="s">
        <v>119</v>
      </c>
      <c r="B105" s="70">
        <f t="shared" si="15"/>
        <v>71</v>
      </c>
      <c r="C105" s="105" t="s">
        <v>266</v>
      </c>
      <c r="D105" s="154">
        <v>58.9</v>
      </c>
      <c r="E105" s="154">
        <v>58.9</v>
      </c>
      <c r="F105" s="158">
        <f t="shared" si="13"/>
        <v>0</v>
      </c>
      <c r="G105" s="141">
        <f t="shared" si="16"/>
        <v>0</v>
      </c>
      <c r="H105" s="154">
        <f>46.7+D105</f>
        <v>105.6</v>
      </c>
      <c r="I105" s="165">
        <f>46.7+E105</f>
        <v>105.6</v>
      </c>
      <c r="J105" s="158">
        <f t="shared" si="14"/>
        <v>0</v>
      </c>
      <c r="K105" s="141">
        <f t="shared" ref="K105" si="18">J105/H105*100%</f>
        <v>0</v>
      </c>
      <c r="L105" s="24"/>
      <c r="M105" s="197"/>
      <c r="N105" s="198"/>
      <c r="O105" s="198"/>
    </row>
    <row r="106" spans="1:18" s="21" customFormat="1" ht="18" customHeight="1" thickBot="1">
      <c r="A106" s="72" t="s">
        <v>120</v>
      </c>
      <c r="B106" s="70">
        <f t="shared" si="15"/>
        <v>72</v>
      </c>
      <c r="C106" s="105" t="s">
        <v>267</v>
      </c>
      <c r="D106" s="154">
        <v>0</v>
      </c>
      <c r="E106" s="154">
        <v>0</v>
      </c>
      <c r="F106" s="158">
        <f t="shared" si="13"/>
        <v>0</v>
      </c>
      <c r="G106" s="141"/>
      <c r="H106" s="154">
        <v>0</v>
      </c>
      <c r="I106" s="165">
        <v>0</v>
      </c>
      <c r="J106" s="158">
        <f t="shared" si="14"/>
        <v>0</v>
      </c>
      <c r="K106" s="141"/>
      <c r="L106" s="24"/>
      <c r="M106" s="197"/>
      <c r="N106" s="198"/>
      <c r="O106" s="198"/>
    </row>
    <row r="107" spans="1:18" s="21" customFormat="1" ht="21" customHeight="1" thickBot="1">
      <c r="A107" s="72" t="s">
        <v>147</v>
      </c>
      <c r="B107" s="77">
        <f t="shared" si="15"/>
        <v>73</v>
      </c>
      <c r="C107" s="105" t="s">
        <v>268</v>
      </c>
      <c r="D107" s="166">
        <v>25.4</v>
      </c>
      <c r="E107" s="166">
        <v>25.4</v>
      </c>
      <c r="F107" s="158">
        <f t="shared" si="13"/>
        <v>0</v>
      </c>
      <c r="G107" s="141">
        <f t="shared" si="16"/>
        <v>0</v>
      </c>
      <c r="H107" s="166">
        <f>89.3+D107</f>
        <v>114.69999999999999</v>
      </c>
      <c r="I107" s="167">
        <f>89.3+E107</f>
        <v>114.69999999999999</v>
      </c>
      <c r="J107" s="158">
        <f t="shared" si="14"/>
        <v>0</v>
      </c>
      <c r="K107" s="141">
        <f t="shared" ref="K107:K118" si="19">J107/H107*100%</f>
        <v>0</v>
      </c>
      <c r="L107" s="24"/>
    </row>
    <row r="108" spans="1:18" s="21" customFormat="1" ht="17.25" customHeight="1" thickBot="1">
      <c r="A108" s="103" t="s">
        <v>157</v>
      </c>
      <c r="B108" s="91">
        <f>B107+1</f>
        <v>74</v>
      </c>
      <c r="C108" s="118">
        <v>1140</v>
      </c>
      <c r="D108" s="130">
        <f>D120+D126+D109</f>
        <v>6702.1</v>
      </c>
      <c r="E108" s="130">
        <f>E120+E126+E109</f>
        <v>4606.8</v>
      </c>
      <c r="F108" s="133">
        <f>E108-D108</f>
        <v>-2095.3000000000002</v>
      </c>
      <c r="G108" s="129">
        <f t="shared" si="16"/>
        <v>-0.31263335372495188</v>
      </c>
      <c r="H108" s="130">
        <f>H120+H126+H109</f>
        <v>16302.5</v>
      </c>
      <c r="I108" s="130">
        <f>I120+I126+I109</f>
        <v>7512.2000000000007</v>
      </c>
      <c r="J108" s="133">
        <f>I108-H108</f>
        <v>-8790.2999999999993</v>
      </c>
      <c r="K108" s="129">
        <f t="shared" si="19"/>
        <v>-0.53919950927771809</v>
      </c>
      <c r="L108" s="24"/>
    </row>
    <row r="109" spans="1:18" s="21" customFormat="1" ht="18" customHeight="1" thickBot="1">
      <c r="A109" s="103" t="s">
        <v>158</v>
      </c>
      <c r="B109" s="91">
        <f>B108+1</f>
        <v>75</v>
      </c>
      <c r="C109" s="118">
        <v>1150</v>
      </c>
      <c r="D109" s="130">
        <f>SUM(D110:D119)</f>
        <v>5006.2</v>
      </c>
      <c r="E109" s="130">
        <f>SUM(E110:E119)</f>
        <v>3550.8</v>
      </c>
      <c r="F109" s="133">
        <f>E109-D109</f>
        <v>-1455.3999999999996</v>
      </c>
      <c r="G109" s="129">
        <f t="shared" si="16"/>
        <v>-0.29071950781031514</v>
      </c>
      <c r="H109" s="130">
        <f>SUM(H110:H119)</f>
        <v>8673.4</v>
      </c>
      <c r="I109" s="130">
        <f>SUM(I110:I119)</f>
        <v>5716.1</v>
      </c>
      <c r="J109" s="133">
        <f>I109-H109</f>
        <v>-2957.2999999999993</v>
      </c>
      <c r="K109" s="129">
        <f t="shared" si="19"/>
        <v>-0.34096202181382151</v>
      </c>
      <c r="L109" s="24"/>
    </row>
    <row r="110" spans="1:18" s="21" customFormat="1" ht="18" customHeight="1" thickBot="1">
      <c r="A110" s="65" t="s">
        <v>55</v>
      </c>
      <c r="B110" s="69">
        <f>B109+1</f>
        <v>76</v>
      </c>
      <c r="C110" s="105" t="s">
        <v>113</v>
      </c>
      <c r="D110" s="152">
        <v>1826</v>
      </c>
      <c r="E110" s="142">
        <v>1827</v>
      </c>
      <c r="F110" s="158">
        <f>E110-D110</f>
        <v>1</v>
      </c>
      <c r="G110" s="141">
        <f t="shared" si="16"/>
        <v>5.4764512595837896E-4</v>
      </c>
      <c r="H110" s="152">
        <f>736+D110</f>
        <v>2562</v>
      </c>
      <c r="I110" s="142">
        <f>734.9+E110</f>
        <v>2561.9</v>
      </c>
      <c r="J110" s="158">
        <f>I110-H110</f>
        <v>-9.9999999999909051E-2</v>
      </c>
      <c r="K110" s="141">
        <f t="shared" si="19"/>
        <v>-3.9032006245085498E-5</v>
      </c>
      <c r="L110" s="24"/>
      <c r="M110" s="185"/>
      <c r="N110" s="186"/>
      <c r="O110" s="186"/>
      <c r="P110" s="186"/>
      <c r="Q110" s="186"/>
    </row>
    <row r="111" spans="1:18" s="21" customFormat="1" ht="18" customHeight="1" thickBot="1">
      <c r="A111" s="72" t="s">
        <v>56</v>
      </c>
      <c r="B111" s="70">
        <f t="shared" ref="B111:B174" si="20">B110+1</f>
        <v>77</v>
      </c>
      <c r="C111" s="105" t="s">
        <v>161</v>
      </c>
      <c r="D111" s="154">
        <v>400.2</v>
      </c>
      <c r="E111" s="165">
        <v>148.80000000000001</v>
      </c>
      <c r="F111" s="158">
        <f t="shared" ref="F111:F119" si="21">E111-D111</f>
        <v>-251.39999999999998</v>
      </c>
      <c r="G111" s="141">
        <f t="shared" si="16"/>
        <v>-0.6281859070464767</v>
      </c>
      <c r="H111" s="154">
        <f>161.6+D111</f>
        <v>561.79999999999995</v>
      </c>
      <c r="I111" s="165">
        <f>160.8+E111</f>
        <v>309.60000000000002</v>
      </c>
      <c r="J111" s="158">
        <f t="shared" ref="J111:J119" si="22">I111-H111</f>
        <v>-252.19999999999993</v>
      </c>
      <c r="K111" s="141">
        <f t="shared" si="19"/>
        <v>-0.44891420434318252</v>
      </c>
      <c r="L111" s="24"/>
      <c r="M111" s="185"/>
      <c r="N111" s="186"/>
      <c r="O111" s="186"/>
      <c r="P111" s="186"/>
      <c r="Q111" s="186"/>
      <c r="R111" s="186"/>
    </row>
    <row r="112" spans="1:18" s="21" customFormat="1" ht="18" customHeight="1" thickBot="1">
      <c r="A112" s="72" t="s">
        <v>145</v>
      </c>
      <c r="B112" s="70">
        <f t="shared" si="20"/>
        <v>78</v>
      </c>
      <c r="C112" s="105" t="s">
        <v>162</v>
      </c>
      <c r="D112" s="154">
        <v>100</v>
      </c>
      <c r="E112" s="165">
        <v>99.5</v>
      </c>
      <c r="F112" s="158">
        <f t="shared" si="21"/>
        <v>-0.5</v>
      </c>
      <c r="G112" s="141">
        <f t="shared" si="16"/>
        <v>-5.0000000000000001E-3</v>
      </c>
      <c r="H112" s="154">
        <f>0+D112</f>
        <v>100</v>
      </c>
      <c r="I112" s="165">
        <f>0+E112</f>
        <v>99.5</v>
      </c>
      <c r="J112" s="158">
        <f t="shared" si="22"/>
        <v>-0.5</v>
      </c>
      <c r="K112" s="141">
        <f t="shared" si="19"/>
        <v>-5.0000000000000001E-3</v>
      </c>
      <c r="L112" s="24"/>
    </row>
    <row r="113" spans="1:12" s="21" customFormat="1" ht="18" customHeight="1" thickBot="1">
      <c r="A113" s="72" t="s">
        <v>57</v>
      </c>
      <c r="B113" s="70">
        <f t="shared" si="20"/>
        <v>79</v>
      </c>
      <c r="C113" s="105" t="s">
        <v>231</v>
      </c>
      <c r="D113" s="154">
        <v>380</v>
      </c>
      <c r="E113" s="165">
        <v>0</v>
      </c>
      <c r="F113" s="158">
        <f t="shared" si="21"/>
        <v>-380</v>
      </c>
      <c r="G113" s="141">
        <f t="shared" si="16"/>
        <v>-1</v>
      </c>
      <c r="H113" s="154">
        <f>275.6+D113</f>
        <v>655.6</v>
      </c>
      <c r="I113" s="165">
        <v>0</v>
      </c>
      <c r="J113" s="158">
        <f t="shared" si="22"/>
        <v>-655.6</v>
      </c>
      <c r="K113" s="141">
        <f t="shared" si="19"/>
        <v>-1</v>
      </c>
      <c r="L113" s="24"/>
    </row>
    <row r="114" spans="1:12" s="21" customFormat="1" ht="18" customHeight="1" thickBot="1">
      <c r="A114" s="72" t="s">
        <v>58</v>
      </c>
      <c r="B114" s="70">
        <f t="shared" si="20"/>
        <v>80</v>
      </c>
      <c r="C114" s="105" t="s">
        <v>232</v>
      </c>
      <c r="D114" s="154">
        <v>0</v>
      </c>
      <c r="E114" s="165">
        <v>0</v>
      </c>
      <c r="F114" s="158">
        <f t="shared" si="21"/>
        <v>0</v>
      </c>
      <c r="G114" s="141"/>
      <c r="H114" s="154">
        <v>0</v>
      </c>
      <c r="I114" s="165">
        <v>0</v>
      </c>
      <c r="J114" s="158">
        <f t="shared" si="22"/>
        <v>0</v>
      </c>
      <c r="K114" s="141"/>
      <c r="L114" s="24"/>
    </row>
    <row r="115" spans="1:12" s="21" customFormat="1" ht="18" customHeight="1" thickBot="1">
      <c r="A115" s="72" t="s">
        <v>146</v>
      </c>
      <c r="B115" s="70">
        <f t="shared" si="20"/>
        <v>81</v>
      </c>
      <c r="C115" s="105" t="s">
        <v>269</v>
      </c>
      <c r="D115" s="154">
        <v>0</v>
      </c>
      <c r="E115" s="165">
        <v>0</v>
      </c>
      <c r="F115" s="158">
        <f t="shared" si="21"/>
        <v>0</v>
      </c>
      <c r="G115" s="141"/>
      <c r="H115" s="154">
        <v>200</v>
      </c>
      <c r="I115" s="165">
        <v>0</v>
      </c>
      <c r="J115" s="158">
        <f t="shared" si="22"/>
        <v>-200</v>
      </c>
      <c r="K115" s="141">
        <f t="shared" si="19"/>
        <v>-1</v>
      </c>
      <c r="L115" s="24"/>
    </row>
    <row r="116" spans="1:12" s="21" customFormat="1" ht="18" customHeight="1" thickBot="1">
      <c r="A116" s="72" t="s">
        <v>59</v>
      </c>
      <c r="B116" s="70">
        <f t="shared" si="20"/>
        <v>82</v>
      </c>
      <c r="C116" s="105" t="s">
        <v>270</v>
      </c>
      <c r="D116" s="154">
        <v>0</v>
      </c>
      <c r="E116" s="165">
        <v>0</v>
      </c>
      <c r="F116" s="158">
        <f t="shared" si="21"/>
        <v>0</v>
      </c>
      <c r="G116" s="141"/>
      <c r="H116" s="154">
        <v>0</v>
      </c>
      <c r="I116" s="165">
        <v>0</v>
      </c>
      <c r="J116" s="158">
        <f t="shared" si="22"/>
        <v>0</v>
      </c>
      <c r="K116" s="141"/>
      <c r="L116" s="24"/>
    </row>
    <row r="117" spans="1:12" s="21" customFormat="1" ht="18" customHeight="1" thickBot="1">
      <c r="A117" s="72" t="s">
        <v>119</v>
      </c>
      <c r="B117" s="70">
        <f t="shared" si="20"/>
        <v>83</v>
      </c>
      <c r="C117" s="105" t="s">
        <v>271</v>
      </c>
      <c r="D117" s="154">
        <v>0</v>
      </c>
      <c r="E117" s="165">
        <v>0</v>
      </c>
      <c r="F117" s="158">
        <f t="shared" si="21"/>
        <v>0</v>
      </c>
      <c r="G117" s="141"/>
      <c r="H117" s="154">
        <v>0</v>
      </c>
      <c r="I117" s="165">
        <v>0</v>
      </c>
      <c r="J117" s="158">
        <f t="shared" si="22"/>
        <v>0</v>
      </c>
      <c r="K117" s="141"/>
      <c r="L117" s="24"/>
    </row>
    <row r="118" spans="1:12" s="21" customFormat="1" ht="18" customHeight="1" thickBot="1">
      <c r="A118" s="72" t="s">
        <v>120</v>
      </c>
      <c r="B118" s="70">
        <f t="shared" si="20"/>
        <v>84</v>
      </c>
      <c r="C118" s="105" t="s">
        <v>272</v>
      </c>
      <c r="D118" s="154">
        <v>2300</v>
      </c>
      <c r="E118" s="165">
        <v>1475.5</v>
      </c>
      <c r="F118" s="158">
        <f t="shared" si="21"/>
        <v>-824.5</v>
      </c>
      <c r="G118" s="141">
        <f t="shared" si="16"/>
        <v>-0.35847826086956519</v>
      </c>
      <c r="H118" s="154">
        <f>2294+D118</f>
        <v>4594</v>
      </c>
      <c r="I118" s="165">
        <f>1269.6+E118</f>
        <v>2745.1</v>
      </c>
      <c r="J118" s="158">
        <f t="shared" si="22"/>
        <v>-1848.9</v>
      </c>
      <c r="K118" s="141">
        <f t="shared" si="19"/>
        <v>-0.40245973008271663</v>
      </c>
      <c r="L118" s="24"/>
    </row>
    <row r="119" spans="1:12" s="21" customFormat="1" ht="18" customHeight="1" thickBot="1">
      <c r="A119" s="82" t="s">
        <v>147</v>
      </c>
      <c r="B119" s="76">
        <f t="shared" si="20"/>
        <v>85</v>
      </c>
      <c r="C119" s="112" t="s">
        <v>273</v>
      </c>
      <c r="D119" s="166">
        <v>0</v>
      </c>
      <c r="E119" s="167">
        <v>0</v>
      </c>
      <c r="F119" s="158">
        <f t="shared" si="21"/>
        <v>0</v>
      </c>
      <c r="G119" s="141"/>
      <c r="H119" s="166">
        <v>0</v>
      </c>
      <c r="I119" s="167">
        <v>0</v>
      </c>
      <c r="J119" s="158">
        <f t="shared" si="22"/>
        <v>0</v>
      </c>
      <c r="K119" s="141"/>
      <c r="L119" s="24"/>
    </row>
    <row r="120" spans="1:12" s="21" customFormat="1" ht="18" customHeight="1" thickBot="1">
      <c r="A120" s="103" t="s">
        <v>230</v>
      </c>
      <c r="B120" s="91">
        <f t="shared" si="20"/>
        <v>86</v>
      </c>
      <c r="C120" s="118">
        <v>1160</v>
      </c>
      <c r="D120" s="130">
        <f>SUM(D121:D125)</f>
        <v>1695.9</v>
      </c>
      <c r="E120" s="130">
        <f>SUM(E121:E125)</f>
        <v>1056</v>
      </c>
      <c r="F120" s="133">
        <f>E120-D120</f>
        <v>-639.90000000000009</v>
      </c>
      <c r="G120" s="129">
        <f t="shared" si="16"/>
        <v>-0.37732177604811606</v>
      </c>
      <c r="H120" s="130">
        <f>SUM(H121:H125)</f>
        <v>7629.0999999999995</v>
      </c>
      <c r="I120" s="130">
        <f>SUM(I121:I125)</f>
        <v>1796.1</v>
      </c>
      <c r="J120" s="133">
        <f>I120-H120</f>
        <v>-5833</v>
      </c>
      <c r="K120" s="129">
        <f t="shared" ref="K120:K134" si="23">J120/H120*100%</f>
        <v>-0.76457249216814571</v>
      </c>
      <c r="L120" s="24"/>
    </row>
    <row r="121" spans="1:12" s="21" customFormat="1" ht="21.75" customHeight="1" thickBot="1">
      <c r="A121" s="80" t="s">
        <v>109</v>
      </c>
      <c r="B121" s="83">
        <f t="shared" si="20"/>
        <v>87</v>
      </c>
      <c r="C121" s="110" t="s">
        <v>233</v>
      </c>
      <c r="D121" s="168">
        <v>368.9</v>
      </c>
      <c r="E121" s="162">
        <v>0</v>
      </c>
      <c r="F121" s="158">
        <f>E121-D121</f>
        <v>-368.9</v>
      </c>
      <c r="G121" s="141">
        <f t="shared" si="16"/>
        <v>-1</v>
      </c>
      <c r="H121" s="168">
        <f>4573.2+D121</f>
        <v>4942.0999999999995</v>
      </c>
      <c r="I121" s="162">
        <v>0</v>
      </c>
      <c r="J121" s="158">
        <f>I121-H121</f>
        <v>-4942.0999999999995</v>
      </c>
      <c r="K121" s="141">
        <f t="shared" si="23"/>
        <v>-1</v>
      </c>
      <c r="L121" s="24"/>
    </row>
    <row r="122" spans="1:12" s="21" customFormat="1" ht="21.75" customHeight="1" thickBot="1">
      <c r="A122" s="75" t="s">
        <v>110</v>
      </c>
      <c r="B122" s="70">
        <f t="shared" si="20"/>
        <v>88</v>
      </c>
      <c r="C122" s="110" t="s">
        <v>234</v>
      </c>
      <c r="D122" s="159">
        <v>124.5</v>
      </c>
      <c r="E122" s="169">
        <v>99.5</v>
      </c>
      <c r="F122" s="158">
        <f t="shared" ref="F122:F125" si="24">E122-D122</f>
        <v>-25</v>
      </c>
      <c r="G122" s="141">
        <f t="shared" si="16"/>
        <v>-0.20080321285140562</v>
      </c>
      <c r="H122" s="159">
        <f>122.7+D122</f>
        <v>247.2</v>
      </c>
      <c r="I122" s="169">
        <f>67.7+E122</f>
        <v>167.2</v>
      </c>
      <c r="J122" s="158">
        <f t="shared" ref="J122:J125" si="25">I122-H122</f>
        <v>-80</v>
      </c>
      <c r="K122" s="141">
        <f t="shared" si="23"/>
        <v>-0.3236245954692557</v>
      </c>
      <c r="L122" s="24"/>
    </row>
    <row r="123" spans="1:12" s="21" customFormat="1" ht="20.25" customHeight="1" thickBot="1">
      <c r="A123" s="75" t="s">
        <v>111</v>
      </c>
      <c r="B123" s="70">
        <f t="shared" si="20"/>
        <v>89</v>
      </c>
      <c r="C123" s="110" t="s">
        <v>235</v>
      </c>
      <c r="D123" s="159">
        <v>827.6</v>
      </c>
      <c r="E123" s="169">
        <v>785.8</v>
      </c>
      <c r="F123" s="158">
        <f t="shared" si="24"/>
        <v>-41.800000000000068</v>
      </c>
      <c r="G123" s="141">
        <f t="shared" si="16"/>
        <v>-5.0507491541807718E-2</v>
      </c>
      <c r="H123" s="159">
        <f>971+D123</f>
        <v>1798.6</v>
      </c>
      <c r="I123" s="169">
        <f>454.7+E123</f>
        <v>1240.5</v>
      </c>
      <c r="J123" s="158">
        <f t="shared" si="25"/>
        <v>-558.09999999999991</v>
      </c>
      <c r="K123" s="141">
        <f t="shared" si="23"/>
        <v>-0.31029689758701207</v>
      </c>
      <c r="L123" s="25"/>
    </row>
    <row r="124" spans="1:12" s="21" customFormat="1" ht="26.25" customHeight="1" thickBot="1">
      <c r="A124" s="75" t="s">
        <v>112</v>
      </c>
      <c r="B124" s="70">
        <f t="shared" si="20"/>
        <v>90</v>
      </c>
      <c r="C124" s="110" t="s">
        <v>274</v>
      </c>
      <c r="D124" s="159">
        <v>324.89999999999998</v>
      </c>
      <c r="E124" s="169">
        <v>127.9</v>
      </c>
      <c r="F124" s="158">
        <f t="shared" si="24"/>
        <v>-196.99999999999997</v>
      </c>
      <c r="G124" s="141">
        <f t="shared" si="16"/>
        <v>-0.60634041243459524</v>
      </c>
      <c r="H124" s="159">
        <f>216.3+D124</f>
        <v>541.20000000000005</v>
      </c>
      <c r="I124" s="169">
        <f>191+E124</f>
        <v>318.89999999999998</v>
      </c>
      <c r="J124" s="158">
        <f t="shared" si="25"/>
        <v>-222.30000000000007</v>
      </c>
      <c r="K124" s="141">
        <f t="shared" si="23"/>
        <v>-0.41075388026607546</v>
      </c>
      <c r="L124" s="22"/>
    </row>
    <row r="125" spans="1:12" s="21" customFormat="1" ht="24.75" customHeight="1" thickBot="1">
      <c r="A125" s="84" t="s">
        <v>159</v>
      </c>
      <c r="B125" s="76">
        <f t="shared" si="20"/>
        <v>91</v>
      </c>
      <c r="C125" s="113" t="s">
        <v>275</v>
      </c>
      <c r="D125" s="160">
        <v>50</v>
      </c>
      <c r="E125" s="170">
        <v>42.8</v>
      </c>
      <c r="F125" s="158">
        <f t="shared" si="24"/>
        <v>-7.2000000000000028</v>
      </c>
      <c r="G125" s="141">
        <f t="shared" si="16"/>
        <v>-0.14400000000000004</v>
      </c>
      <c r="H125" s="160">
        <f>50+D125</f>
        <v>100</v>
      </c>
      <c r="I125" s="170">
        <f>26.7+E125</f>
        <v>69.5</v>
      </c>
      <c r="J125" s="158">
        <f t="shared" si="25"/>
        <v>-30.5</v>
      </c>
      <c r="K125" s="141">
        <f t="shared" si="23"/>
        <v>-0.30499999999999999</v>
      </c>
      <c r="L125" s="22"/>
    </row>
    <row r="126" spans="1:12" s="21" customFormat="1" ht="18" customHeight="1" thickBot="1">
      <c r="A126" s="103" t="s">
        <v>160</v>
      </c>
      <c r="B126" s="91">
        <f t="shared" si="20"/>
        <v>92</v>
      </c>
      <c r="C126" s="118">
        <v>1170</v>
      </c>
      <c r="D126" s="130">
        <f>SUM(D127:D129)</f>
        <v>0</v>
      </c>
      <c r="E126" s="133">
        <f>SUM(E127:E129)</f>
        <v>0</v>
      </c>
      <c r="F126" s="133">
        <f>E126-D126</f>
        <v>0</v>
      </c>
      <c r="G126" s="129"/>
      <c r="H126" s="130">
        <f>SUM(H127:H129)</f>
        <v>0</v>
      </c>
      <c r="I126" s="133">
        <f>SUM(I127:I129)</f>
        <v>0</v>
      </c>
      <c r="J126" s="133">
        <f>I126-H126</f>
        <v>0</v>
      </c>
      <c r="K126" s="129"/>
      <c r="L126" s="23"/>
    </row>
    <row r="127" spans="1:12" s="21" customFormat="1" ht="21" customHeight="1" thickBot="1">
      <c r="A127" s="80" t="s">
        <v>114</v>
      </c>
      <c r="B127" s="69">
        <f t="shared" si="20"/>
        <v>93</v>
      </c>
      <c r="C127" s="110" t="s">
        <v>276</v>
      </c>
      <c r="D127" s="168"/>
      <c r="E127" s="162"/>
      <c r="F127" s="158">
        <f>E127-D127</f>
        <v>0</v>
      </c>
      <c r="G127" s="141"/>
      <c r="H127" s="168"/>
      <c r="I127" s="162"/>
      <c r="J127" s="158">
        <f>I127-H127</f>
        <v>0</v>
      </c>
      <c r="K127" s="141"/>
      <c r="L127" s="25"/>
    </row>
    <row r="128" spans="1:12" s="21" customFormat="1" ht="20.25" customHeight="1" thickBot="1">
      <c r="A128" s="75" t="s">
        <v>115</v>
      </c>
      <c r="B128" s="70">
        <f t="shared" si="20"/>
        <v>94</v>
      </c>
      <c r="C128" s="111" t="s">
        <v>277</v>
      </c>
      <c r="D128" s="159"/>
      <c r="E128" s="169"/>
      <c r="F128" s="158">
        <f t="shared" ref="F128:F131" si="26">E128-D128</f>
        <v>0</v>
      </c>
      <c r="G128" s="141"/>
      <c r="H128" s="159"/>
      <c r="I128" s="169"/>
      <c r="J128" s="158">
        <f t="shared" ref="J128:J131" si="27">I128-H128</f>
        <v>0</v>
      </c>
      <c r="K128" s="141"/>
      <c r="L128" s="26"/>
    </row>
    <row r="129" spans="1:14" s="21" customFormat="1" ht="21.75" customHeight="1" thickBot="1">
      <c r="A129" s="84" t="s">
        <v>116</v>
      </c>
      <c r="B129" s="76">
        <f t="shared" si="20"/>
        <v>95</v>
      </c>
      <c r="C129" s="114" t="s">
        <v>278</v>
      </c>
      <c r="D129" s="160"/>
      <c r="E129" s="170"/>
      <c r="F129" s="158">
        <f t="shared" si="26"/>
        <v>0</v>
      </c>
      <c r="G129" s="141"/>
      <c r="H129" s="160"/>
      <c r="I129" s="170"/>
      <c r="J129" s="158">
        <f t="shared" si="27"/>
        <v>0</v>
      </c>
      <c r="K129" s="141"/>
      <c r="L129" s="28"/>
    </row>
    <row r="130" spans="1:14" s="21" customFormat="1" ht="21" thickBot="1">
      <c r="A130" s="85" t="s">
        <v>236</v>
      </c>
      <c r="B130" s="68">
        <f t="shared" si="20"/>
        <v>96</v>
      </c>
      <c r="C130" s="115">
        <v>1180</v>
      </c>
      <c r="D130" s="156">
        <v>200886.2</v>
      </c>
      <c r="E130" s="171">
        <f>E52+E38-E70</f>
        <v>200886.2</v>
      </c>
      <c r="F130" s="158">
        <f t="shared" si="26"/>
        <v>0</v>
      </c>
      <c r="G130" s="141">
        <f t="shared" si="16"/>
        <v>0</v>
      </c>
      <c r="H130" s="156">
        <f>H52+H38-H70</f>
        <v>200886.19999999998</v>
      </c>
      <c r="I130" s="171">
        <f>I52+I38-I70</f>
        <v>200886.19999999998</v>
      </c>
      <c r="J130" s="158">
        <f t="shared" si="27"/>
        <v>0</v>
      </c>
      <c r="K130" s="141">
        <f t="shared" si="23"/>
        <v>0</v>
      </c>
      <c r="L130" s="28"/>
    </row>
    <row r="131" spans="1:14" s="21" customFormat="1" ht="21.75" thickBot="1">
      <c r="A131" s="65" t="s">
        <v>237</v>
      </c>
      <c r="B131" s="86">
        <f t="shared" si="20"/>
        <v>97</v>
      </c>
      <c r="C131" s="116">
        <v>1190</v>
      </c>
      <c r="D131" s="157">
        <v>23976.3</v>
      </c>
      <c r="E131" s="172">
        <f>E53+E39+E43+E44-E97-E108</f>
        <v>24347.5</v>
      </c>
      <c r="F131" s="158">
        <f t="shared" si="26"/>
        <v>371.20000000000073</v>
      </c>
      <c r="G131" s="141">
        <f t="shared" si="16"/>
        <v>1.5481955097325306E-2</v>
      </c>
      <c r="H131" s="157">
        <f>H53+H39+H43+H44-H97-H108</f>
        <v>23976.300000000003</v>
      </c>
      <c r="I131" s="172">
        <f>I53+I39+I43+I44-I97-I108</f>
        <v>24347.500000000004</v>
      </c>
      <c r="J131" s="158">
        <f t="shared" si="27"/>
        <v>371.20000000000073</v>
      </c>
      <c r="K131" s="141">
        <f t="shared" si="23"/>
        <v>1.5481955097325304E-2</v>
      </c>
      <c r="L131" s="27">
        <f t="shared" ref="L131" si="28">SUM(L128-L129-L130)</f>
        <v>0</v>
      </c>
      <c r="N131" s="140"/>
    </row>
    <row r="132" spans="1:14" s="20" customFormat="1" ht="41.25" thickBot="1">
      <c r="A132" s="90" t="s">
        <v>163</v>
      </c>
      <c r="B132" s="91">
        <f t="shared" si="20"/>
        <v>98</v>
      </c>
      <c r="C132" s="117">
        <v>1200</v>
      </c>
      <c r="D132" s="130">
        <v>16246</v>
      </c>
      <c r="E132" s="133">
        <v>16586.2</v>
      </c>
      <c r="F132" s="133">
        <f>E132-D132</f>
        <v>340.20000000000073</v>
      </c>
      <c r="G132" s="129">
        <f t="shared" si="16"/>
        <v>2.0940539209651651E-2</v>
      </c>
      <c r="H132" s="130">
        <f>23245.2+D132</f>
        <v>39491.199999999997</v>
      </c>
      <c r="I132" s="133">
        <f>23276.2+E132</f>
        <v>39862.400000000001</v>
      </c>
      <c r="J132" s="133">
        <f>I132-H132</f>
        <v>371.20000000000437</v>
      </c>
      <c r="K132" s="129">
        <f t="shared" si="23"/>
        <v>9.3995624341626591E-3</v>
      </c>
      <c r="L132" s="26"/>
    </row>
    <row r="133" spans="1:14" s="21" customFormat="1" ht="21" thickBot="1">
      <c r="A133" s="90" t="s">
        <v>5</v>
      </c>
      <c r="B133" s="91">
        <f t="shared" si="20"/>
        <v>99</v>
      </c>
      <c r="C133" s="117">
        <v>1210</v>
      </c>
      <c r="D133" s="134">
        <f>D36</f>
        <v>82636.900000000009</v>
      </c>
      <c r="E133" s="134">
        <f>E36</f>
        <v>80881.8</v>
      </c>
      <c r="F133" s="133">
        <f t="shared" ref="F133:F136" si="29">E133-D133</f>
        <v>-1755.1000000000058</v>
      </c>
      <c r="G133" s="129">
        <f t="shared" si="16"/>
        <v>-2.1238696030465878E-2</v>
      </c>
      <c r="H133" s="134">
        <f>H36</f>
        <v>165273.19999999998</v>
      </c>
      <c r="I133" s="134">
        <f>I36</f>
        <v>156854.09999999998</v>
      </c>
      <c r="J133" s="133">
        <f t="shared" ref="J133:J136" si="30">I133-H133</f>
        <v>-8419.1000000000058</v>
      </c>
      <c r="K133" s="129">
        <f t="shared" si="23"/>
        <v>-5.0940503360496478E-2</v>
      </c>
      <c r="L133" s="24"/>
      <c r="M133" s="140"/>
    </row>
    <row r="134" spans="1:14" s="21" customFormat="1" ht="18" customHeight="1" thickBot="1">
      <c r="A134" s="119" t="s">
        <v>60</v>
      </c>
      <c r="B134" s="91">
        <f t="shared" si="20"/>
        <v>100</v>
      </c>
      <c r="C134" s="120">
        <v>1220</v>
      </c>
      <c r="D134" s="130">
        <f>D54+D132</f>
        <v>82636.900000000009</v>
      </c>
      <c r="E134" s="130">
        <f>E54+E132</f>
        <v>80881.8</v>
      </c>
      <c r="F134" s="133">
        <f t="shared" si="29"/>
        <v>-1755.1000000000058</v>
      </c>
      <c r="G134" s="129">
        <f t="shared" si="16"/>
        <v>-2.1238696030465878E-2</v>
      </c>
      <c r="H134" s="130">
        <f>H54+H132</f>
        <v>165273.20000000001</v>
      </c>
      <c r="I134" s="130">
        <f>I54+I132</f>
        <v>156854.1</v>
      </c>
      <c r="J134" s="133">
        <f t="shared" si="30"/>
        <v>-8419.1000000000058</v>
      </c>
      <c r="K134" s="129">
        <f t="shared" si="23"/>
        <v>-5.0940503360496471E-2</v>
      </c>
      <c r="L134" s="24"/>
      <c r="M134" s="140"/>
    </row>
    <row r="135" spans="1:14" s="21" customFormat="1" ht="18" customHeight="1" thickBot="1">
      <c r="A135" s="119" t="s">
        <v>61</v>
      </c>
      <c r="B135" s="91">
        <f t="shared" si="20"/>
        <v>101</v>
      </c>
      <c r="C135" s="120">
        <v>1230</v>
      </c>
      <c r="D135" s="134">
        <f>D133-D134</f>
        <v>0</v>
      </c>
      <c r="E135" s="135">
        <f>E133-E134</f>
        <v>0</v>
      </c>
      <c r="F135" s="133">
        <f t="shared" si="29"/>
        <v>0</v>
      </c>
      <c r="G135" s="129"/>
      <c r="H135" s="134">
        <f>H133-H134</f>
        <v>0</v>
      </c>
      <c r="I135" s="135">
        <f>I133-I134</f>
        <v>0</v>
      </c>
      <c r="J135" s="133">
        <f t="shared" si="30"/>
        <v>0</v>
      </c>
      <c r="K135" s="129"/>
      <c r="L135" s="24"/>
    </row>
    <row r="136" spans="1:14" s="21" customFormat="1" ht="18" customHeight="1" thickBot="1">
      <c r="A136" s="90" t="s">
        <v>62</v>
      </c>
      <c r="B136" s="91">
        <f t="shared" si="20"/>
        <v>102</v>
      </c>
      <c r="C136" s="93">
        <v>2000</v>
      </c>
      <c r="D136" s="130">
        <f>SUM(D137:D140)</f>
        <v>16348</v>
      </c>
      <c r="E136" s="133">
        <f>SUM(E137:E140)</f>
        <v>16096.785</v>
      </c>
      <c r="F136" s="133">
        <f t="shared" si="29"/>
        <v>-251.21500000000015</v>
      </c>
      <c r="G136" s="129">
        <f t="shared" si="16"/>
        <v>-1.5366711524345494E-2</v>
      </c>
      <c r="H136" s="130">
        <f>SUM(H137:H140)</f>
        <v>31220.2</v>
      </c>
      <c r="I136" s="133">
        <f>SUM(I137:I140)</f>
        <v>30968.0095</v>
      </c>
      <c r="J136" s="133">
        <f t="shared" si="30"/>
        <v>-252.19050000000061</v>
      </c>
      <c r="K136" s="129">
        <f t="shared" ref="K136:K150" si="31">J136/H136*100%</f>
        <v>-8.0777989891160397E-3</v>
      </c>
      <c r="L136" s="25"/>
    </row>
    <row r="137" spans="1:14" s="20" customFormat="1" ht="38.25" customHeight="1" thickBot="1">
      <c r="A137" s="72" t="s">
        <v>63</v>
      </c>
      <c r="B137" s="69">
        <f t="shared" si="20"/>
        <v>103</v>
      </c>
      <c r="C137" s="97">
        <v>2010</v>
      </c>
      <c r="D137" s="152">
        <v>8586.6</v>
      </c>
      <c r="E137" s="152">
        <f>SUM(E57,E72,E99,E111)</f>
        <v>8335.2000000000007</v>
      </c>
      <c r="F137" s="148">
        <f>E137-D137</f>
        <v>-251.39999999999964</v>
      </c>
      <c r="G137" s="141">
        <f t="shared" si="16"/>
        <v>-2.9278177625602638E-2</v>
      </c>
      <c r="H137" s="152">
        <f>7805.4+D137</f>
        <v>16392</v>
      </c>
      <c r="I137" s="152">
        <f>SUM(I57,I72,I99,I111)</f>
        <v>16139.800000000001</v>
      </c>
      <c r="J137" s="148">
        <f>I137-H137</f>
        <v>-252.19999999999891</v>
      </c>
      <c r="K137" s="141">
        <f t="shared" si="31"/>
        <v>-1.5385553928745663E-2</v>
      </c>
      <c r="L137" s="29"/>
      <c r="M137" s="147"/>
    </row>
    <row r="138" spans="1:14" s="21" customFormat="1" ht="18" customHeight="1" thickBot="1">
      <c r="A138" s="72" t="s">
        <v>64</v>
      </c>
      <c r="B138" s="70">
        <f t="shared" si="20"/>
        <v>104</v>
      </c>
      <c r="C138" s="97">
        <v>2020</v>
      </c>
      <c r="D138" s="154">
        <v>7761.4</v>
      </c>
      <c r="E138" s="154">
        <f>E184*19.5%</f>
        <v>7761.585</v>
      </c>
      <c r="F138" s="148">
        <f t="shared" ref="F138:F140" si="32">E138-D138</f>
        <v>0.18500000000040018</v>
      </c>
      <c r="G138" s="141">
        <f t="shared" si="16"/>
        <v>2.383590589331824E-5</v>
      </c>
      <c r="H138" s="154">
        <f>7066.8+D138</f>
        <v>14828.2</v>
      </c>
      <c r="I138" s="154">
        <f>I184*19.5%</f>
        <v>14828.209500000001</v>
      </c>
      <c r="J138" s="148">
        <f t="shared" ref="J138:J140" si="33">I138-H138</f>
        <v>9.5000000001164153E-3</v>
      </c>
      <c r="K138" s="141">
        <f t="shared" si="31"/>
        <v>6.4067115362056178E-7</v>
      </c>
      <c r="L138" s="23"/>
    </row>
    <row r="139" spans="1:14" s="21" customFormat="1" ht="33.75" customHeight="1" thickBot="1">
      <c r="A139" s="72" t="s">
        <v>65</v>
      </c>
      <c r="B139" s="70">
        <f t="shared" si="20"/>
        <v>105</v>
      </c>
      <c r="C139" s="97">
        <v>2030</v>
      </c>
      <c r="D139" s="154"/>
      <c r="E139" s="165"/>
      <c r="F139" s="148">
        <f t="shared" si="32"/>
        <v>0</v>
      </c>
      <c r="G139" s="141"/>
      <c r="H139" s="154"/>
      <c r="I139" s="165"/>
      <c r="J139" s="148">
        <f t="shared" si="33"/>
        <v>0</v>
      </c>
      <c r="K139" s="141"/>
      <c r="L139" s="24"/>
    </row>
    <row r="140" spans="1:14" s="21" customFormat="1" ht="18" customHeight="1" thickBot="1">
      <c r="A140" s="82" t="s">
        <v>28</v>
      </c>
      <c r="B140" s="77">
        <f t="shared" si="20"/>
        <v>106</v>
      </c>
      <c r="C140" s="98">
        <v>2040</v>
      </c>
      <c r="D140" s="166"/>
      <c r="E140" s="167"/>
      <c r="F140" s="148">
        <f t="shared" si="32"/>
        <v>0</v>
      </c>
      <c r="G140" s="141"/>
      <c r="H140" s="166"/>
      <c r="I140" s="167"/>
      <c r="J140" s="148">
        <f t="shared" si="33"/>
        <v>0</v>
      </c>
      <c r="K140" s="141"/>
      <c r="L140" s="24"/>
    </row>
    <row r="141" spans="1:14" s="21" customFormat="1" ht="21.75" customHeight="1" thickBot="1">
      <c r="A141" s="90" t="s">
        <v>83</v>
      </c>
      <c r="B141" s="91">
        <f t="shared" si="20"/>
        <v>107</v>
      </c>
      <c r="C141" s="93">
        <v>3000</v>
      </c>
      <c r="D141" s="130">
        <f>SUM(D142:D144,D151)</f>
        <v>6897.4</v>
      </c>
      <c r="E141" s="133">
        <f>SUM(E142:E144,E151)</f>
        <v>6897.4</v>
      </c>
      <c r="F141" s="133">
        <f>E141-D141</f>
        <v>0</v>
      </c>
      <c r="G141" s="129">
        <f t="shared" si="16"/>
        <v>0</v>
      </c>
      <c r="H141" s="130">
        <f>SUM(H142:H144,H151)</f>
        <v>9830.5999999999985</v>
      </c>
      <c r="I141" s="133">
        <f>SUM(I142:I144,I151)</f>
        <v>9830.5999999999985</v>
      </c>
      <c r="J141" s="133">
        <f>I141-H141</f>
        <v>0</v>
      </c>
      <c r="K141" s="129">
        <f t="shared" si="31"/>
        <v>0</v>
      </c>
      <c r="L141" s="24"/>
    </row>
    <row r="142" spans="1:14" s="21" customFormat="1" ht="21" customHeight="1" thickBot="1">
      <c r="A142" s="65" t="s">
        <v>31</v>
      </c>
      <c r="B142" s="69">
        <f t="shared" si="20"/>
        <v>108</v>
      </c>
      <c r="C142" s="94">
        <v>3010</v>
      </c>
      <c r="D142" s="152"/>
      <c r="E142" s="152"/>
      <c r="F142" s="148">
        <f>E142-D142</f>
        <v>0</v>
      </c>
      <c r="G142" s="141"/>
      <c r="H142" s="152"/>
      <c r="I142" s="142"/>
      <c r="J142" s="148">
        <f>I142-H142</f>
        <v>0</v>
      </c>
      <c r="K142" s="141"/>
      <c r="L142" s="24"/>
    </row>
    <row r="143" spans="1:14" s="21" customFormat="1" ht="35.25" customHeight="1" thickBot="1">
      <c r="A143" s="72" t="s">
        <v>27</v>
      </c>
      <c r="B143" s="70">
        <f t="shared" si="20"/>
        <v>109</v>
      </c>
      <c r="C143" s="97">
        <v>3020</v>
      </c>
      <c r="D143" s="154"/>
      <c r="E143" s="154"/>
      <c r="F143" s="148">
        <f t="shared" ref="F143:F151" si="34">E143-D143</f>
        <v>0</v>
      </c>
      <c r="G143" s="141"/>
      <c r="H143" s="154"/>
      <c r="I143" s="165"/>
      <c r="J143" s="148">
        <f t="shared" ref="J143:J151" si="35">I143-H143</f>
        <v>0</v>
      </c>
      <c r="K143" s="141"/>
      <c r="L143" s="24"/>
    </row>
    <row r="144" spans="1:14" s="21" customFormat="1" ht="21" customHeight="1" thickBot="1">
      <c r="A144" s="72" t="s">
        <v>84</v>
      </c>
      <c r="B144" s="70">
        <f t="shared" si="20"/>
        <v>110</v>
      </c>
      <c r="C144" s="97">
        <v>3030</v>
      </c>
      <c r="D144" s="154">
        <v>6897.4</v>
      </c>
      <c r="E144" s="154">
        <v>6897.4</v>
      </c>
      <c r="F144" s="148">
        <f t="shared" si="34"/>
        <v>0</v>
      </c>
      <c r="G144" s="141">
        <f t="shared" si="16"/>
        <v>0</v>
      </c>
      <c r="H144" s="154">
        <f>2933.2+D144</f>
        <v>9830.5999999999985</v>
      </c>
      <c r="I144" s="165">
        <f>2933.2+E144</f>
        <v>9830.5999999999985</v>
      </c>
      <c r="J144" s="148">
        <f t="shared" si="35"/>
        <v>0</v>
      </c>
      <c r="K144" s="141">
        <f t="shared" si="31"/>
        <v>0</v>
      </c>
      <c r="L144" s="24"/>
    </row>
    <row r="145" spans="1:12" s="21" customFormat="1" ht="21" customHeight="1" thickBot="1">
      <c r="A145" s="72" t="s">
        <v>0</v>
      </c>
      <c r="B145" s="70">
        <f t="shared" si="20"/>
        <v>111</v>
      </c>
      <c r="C145" s="97" t="s">
        <v>164</v>
      </c>
      <c r="D145" s="154"/>
      <c r="E145" s="154"/>
      <c r="F145" s="148">
        <f t="shared" si="34"/>
        <v>0</v>
      </c>
      <c r="G145" s="141"/>
      <c r="H145" s="154"/>
      <c r="I145" s="165"/>
      <c r="J145" s="148">
        <f t="shared" si="35"/>
        <v>0</v>
      </c>
      <c r="K145" s="141"/>
      <c r="L145" s="24"/>
    </row>
    <row r="146" spans="1:12" s="21" customFormat="1" ht="21" customHeight="1" thickBot="1">
      <c r="A146" s="72" t="s">
        <v>1</v>
      </c>
      <c r="B146" s="70">
        <f t="shared" si="20"/>
        <v>112</v>
      </c>
      <c r="C146" s="97" t="s">
        <v>165</v>
      </c>
      <c r="D146" s="154">
        <v>792.4</v>
      </c>
      <c r="E146" s="154">
        <v>792.4</v>
      </c>
      <c r="F146" s="148">
        <f t="shared" si="34"/>
        <v>0</v>
      </c>
      <c r="G146" s="141">
        <f t="shared" si="16"/>
        <v>0</v>
      </c>
      <c r="H146" s="154">
        <f>99.8+D146</f>
        <v>892.19999999999993</v>
      </c>
      <c r="I146" s="165">
        <f>99.8+E146</f>
        <v>892.19999999999993</v>
      </c>
      <c r="J146" s="148">
        <f t="shared" si="35"/>
        <v>0</v>
      </c>
      <c r="K146" s="141">
        <f t="shared" si="31"/>
        <v>0</v>
      </c>
      <c r="L146" s="24"/>
    </row>
    <row r="147" spans="1:12" s="31" customFormat="1" ht="21" customHeight="1" thickBot="1">
      <c r="A147" s="72" t="s">
        <v>8</v>
      </c>
      <c r="B147" s="70">
        <f t="shared" si="20"/>
        <v>113</v>
      </c>
      <c r="C147" s="97" t="s">
        <v>166</v>
      </c>
      <c r="D147" s="154"/>
      <c r="E147" s="154"/>
      <c r="F147" s="148">
        <f t="shared" si="34"/>
        <v>0</v>
      </c>
      <c r="G147" s="141"/>
      <c r="H147" s="154"/>
      <c r="I147" s="173"/>
      <c r="J147" s="148">
        <f t="shared" si="35"/>
        <v>0</v>
      </c>
      <c r="K147" s="141"/>
      <c r="L147" s="30"/>
    </row>
    <row r="148" spans="1:12" s="20" customFormat="1" ht="21" customHeight="1" thickBot="1">
      <c r="A148" s="72" t="s">
        <v>2</v>
      </c>
      <c r="B148" s="70">
        <f t="shared" si="20"/>
        <v>114</v>
      </c>
      <c r="C148" s="97" t="s">
        <v>167</v>
      </c>
      <c r="D148" s="154"/>
      <c r="E148" s="154"/>
      <c r="F148" s="148">
        <f t="shared" si="34"/>
        <v>0</v>
      </c>
      <c r="G148" s="141"/>
      <c r="H148" s="154"/>
      <c r="I148" s="165"/>
      <c r="J148" s="148">
        <f t="shared" si="35"/>
        <v>0</v>
      </c>
      <c r="K148" s="141"/>
      <c r="L148" s="26"/>
    </row>
    <row r="149" spans="1:12" s="20" customFormat="1" ht="32.25" customHeight="1" thickBot="1">
      <c r="A149" s="72" t="s">
        <v>9</v>
      </c>
      <c r="B149" s="70">
        <f t="shared" si="20"/>
        <v>115</v>
      </c>
      <c r="C149" s="97" t="s">
        <v>168</v>
      </c>
      <c r="D149" s="154"/>
      <c r="E149" s="154"/>
      <c r="F149" s="148">
        <f t="shared" si="34"/>
        <v>0</v>
      </c>
      <c r="G149" s="141"/>
      <c r="H149" s="154"/>
      <c r="I149" s="165"/>
      <c r="J149" s="148">
        <f t="shared" si="35"/>
        <v>0</v>
      </c>
      <c r="K149" s="141"/>
      <c r="L149" s="26"/>
    </row>
    <row r="150" spans="1:12" s="21" customFormat="1" ht="18" customHeight="1" thickBot="1">
      <c r="A150" s="72" t="s">
        <v>17</v>
      </c>
      <c r="B150" s="70">
        <f t="shared" si="20"/>
        <v>116</v>
      </c>
      <c r="C150" s="97" t="s">
        <v>169</v>
      </c>
      <c r="D150" s="154">
        <v>6105</v>
      </c>
      <c r="E150" s="154">
        <v>6105</v>
      </c>
      <c r="F150" s="148">
        <f t="shared" si="34"/>
        <v>0</v>
      </c>
      <c r="G150" s="141">
        <f t="shared" si="16"/>
        <v>0</v>
      </c>
      <c r="H150" s="154">
        <f>2833.4+D150</f>
        <v>8938.4</v>
      </c>
      <c r="I150" s="165">
        <f>2833.4+E150</f>
        <v>8938.4</v>
      </c>
      <c r="J150" s="148">
        <f t="shared" si="35"/>
        <v>0</v>
      </c>
      <c r="K150" s="141">
        <f t="shared" si="31"/>
        <v>0</v>
      </c>
      <c r="L150" s="24"/>
    </row>
    <row r="151" spans="1:12" s="21" customFormat="1" ht="18" customHeight="1" thickBot="1">
      <c r="A151" s="82" t="s">
        <v>121</v>
      </c>
      <c r="B151" s="77">
        <f t="shared" si="20"/>
        <v>117</v>
      </c>
      <c r="C151" s="98">
        <v>3040</v>
      </c>
      <c r="D151" s="166"/>
      <c r="E151" s="166"/>
      <c r="F151" s="148">
        <f t="shared" si="34"/>
        <v>0</v>
      </c>
      <c r="G151" s="141"/>
      <c r="H151" s="166"/>
      <c r="I151" s="167"/>
      <c r="J151" s="148">
        <f t="shared" si="35"/>
        <v>0</v>
      </c>
      <c r="K151" s="141"/>
      <c r="L151" s="24"/>
    </row>
    <row r="152" spans="1:12" s="21" customFormat="1" ht="18" customHeight="1" thickBot="1">
      <c r="A152" s="78" t="s">
        <v>122</v>
      </c>
      <c r="B152" s="79">
        <f t="shared" si="20"/>
        <v>118</v>
      </c>
      <c r="C152" s="95">
        <v>4000</v>
      </c>
      <c r="D152" s="149">
        <v>77025</v>
      </c>
      <c r="E152" s="149">
        <v>77025</v>
      </c>
      <c r="F152" s="150">
        <f>E152-D152</f>
        <v>0</v>
      </c>
      <c r="G152" s="151">
        <f t="shared" si="16"/>
        <v>0</v>
      </c>
      <c r="H152" s="149">
        <v>77025</v>
      </c>
      <c r="I152" s="149">
        <v>77025</v>
      </c>
      <c r="J152" s="150">
        <f>I152-H152</f>
        <v>0</v>
      </c>
      <c r="K152" s="151">
        <f t="shared" ref="K152:K154" si="36">J152/H152*100%</f>
        <v>0</v>
      </c>
      <c r="L152" s="24"/>
    </row>
    <row r="153" spans="1:12" s="21" customFormat="1" ht="18" customHeight="1" thickBot="1">
      <c r="A153" s="78" t="s">
        <v>123</v>
      </c>
      <c r="B153" s="79">
        <f t="shared" si="20"/>
        <v>119</v>
      </c>
      <c r="C153" s="95">
        <v>5000</v>
      </c>
      <c r="D153" s="149">
        <f>SUM(D158:D159,D163,D154)</f>
        <v>7057.8</v>
      </c>
      <c r="E153" s="150">
        <f>E158+E159+E163+E154</f>
        <v>7057.8</v>
      </c>
      <c r="F153" s="150">
        <f>E153-D153</f>
        <v>0</v>
      </c>
      <c r="G153" s="151">
        <f t="shared" si="16"/>
        <v>0</v>
      </c>
      <c r="H153" s="149">
        <f>SUM(H158:H159,H163,H154)</f>
        <v>12188.6</v>
      </c>
      <c r="I153" s="150">
        <f>I158+I159+I163+I154</f>
        <v>12188.6</v>
      </c>
      <c r="J153" s="150">
        <f>I153-H153</f>
        <v>0</v>
      </c>
      <c r="K153" s="151">
        <f t="shared" si="36"/>
        <v>0</v>
      </c>
      <c r="L153" s="24"/>
    </row>
    <row r="154" spans="1:12" s="21" customFormat="1" ht="18.75" customHeight="1" thickBot="1">
      <c r="A154" s="72" t="s">
        <v>32</v>
      </c>
      <c r="B154" s="69">
        <f t="shared" si="20"/>
        <v>120</v>
      </c>
      <c r="C154" s="97">
        <v>5010</v>
      </c>
      <c r="D154" s="152">
        <f>SUM(D155:D157)</f>
        <v>7057.8</v>
      </c>
      <c r="E154" s="152">
        <f>SUM(E155:E157)</f>
        <v>7057.8</v>
      </c>
      <c r="F154" s="148">
        <f>E154-D154</f>
        <v>0</v>
      </c>
      <c r="G154" s="141">
        <f t="shared" si="16"/>
        <v>0</v>
      </c>
      <c r="H154" s="152">
        <f>SUM(H155:H157)</f>
        <v>12188.6</v>
      </c>
      <c r="I154" s="142">
        <f>SUM(I155:I157)</f>
        <v>12188.6</v>
      </c>
      <c r="J154" s="148">
        <f>I154-H154</f>
        <v>0</v>
      </c>
      <c r="K154" s="141">
        <f t="shared" si="36"/>
        <v>0</v>
      </c>
      <c r="L154" s="24"/>
    </row>
    <row r="155" spans="1:12" s="21" customFormat="1" ht="18.75" customHeight="1" thickBot="1">
      <c r="A155" s="72" t="s">
        <v>66</v>
      </c>
      <c r="B155" s="70">
        <f t="shared" si="20"/>
        <v>121</v>
      </c>
      <c r="C155" s="97" t="s">
        <v>170</v>
      </c>
      <c r="D155" s="154"/>
      <c r="E155" s="154"/>
      <c r="F155" s="148">
        <f t="shared" ref="F155:F163" si="37">E155-D155</f>
        <v>0</v>
      </c>
      <c r="G155" s="141"/>
      <c r="H155" s="154"/>
      <c r="I155" s="165"/>
      <c r="J155" s="148">
        <f t="shared" ref="J155:J163" si="38">I155-H155</f>
        <v>0</v>
      </c>
      <c r="K155" s="141"/>
      <c r="L155" s="24"/>
    </row>
    <row r="156" spans="1:12" s="21" customFormat="1" ht="18.75" customHeight="1" thickBot="1">
      <c r="A156" s="72" t="s">
        <v>33</v>
      </c>
      <c r="B156" s="70">
        <f t="shared" si="20"/>
        <v>122</v>
      </c>
      <c r="C156" s="97" t="s">
        <v>171</v>
      </c>
      <c r="D156" s="154"/>
      <c r="E156" s="154"/>
      <c r="F156" s="148">
        <f t="shared" si="37"/>
        <v>0</v>
      </c>
      <c r="G156" s="141"/>
      <c r="H156" s="154"/>
      <c r="I156" s="165"/>
      <c r="J156" s="148">
        <f t="shared" si="38"/>
        <v>0</v>
      </c>
      <c r="K156" s="141"/>
      <c r="L156" s="24"/>
    </row>
    <row r="157" spans="1:12" s="21" customFormat="1" ht="18.75" customHeight="1" thickBot="1">
      <c r="A157" s="72" t="s">
        <v>34</v>
      </c>
      <c r="B157" s="70">
        <f t="shared" si="20"/>
        <v>123</v>
      </c>
      <c r="C157" s="97" t="s">
        <v>172</v>
      </c>
      <c r="D157" s="154">
        <v>7057.8</v>
      </c>
      <c r="E157" s="154">
        <v>7057.8</v>
      </c>
      <c r="F157" s="148">
        <f t="shared" si="37"/>
        <v>0</v>
      </c>
      <c r="G157" s="141"/>
      <c r="H157" s="154">
        <f>5130.8+D157</f>
        <v>12188.6</v>
      </c>
      <c r="I157" s="165">
        <f>5130.8+E157</f>
        <v>12188.6</v>
      </c>
      <c r="J157" s="148">
        <f t="shared" si="38"/>
        <v>0</v>
      </c>
      <c r="K157" s="141">
        <f t="shared" ref="K157" si="39">J157/H157*100%</f>
        <v>0</v>
      </c>
      <c r="L157" s="24"/>
    </row>
    <row r="158" spans="1:12" s="21" customFormat="1" ht="18.75" customHeight="1" thickBot="1">
      <c r="A158" s="72" t="s">
        <v>67</v>
      </c>
      <c r="B158" s="70">
        <f t="shared" si="20"/>
        <v>124</v>
      </c>
      <c r="C158" s="97">
        <v>5020</v>
      </c>
      <c r="D158" s="154"/>
      <c r="E158" s="154"/>
      <c r="F158" s="148">
        <f t="shared" si="37"/>
        <v>0</v>
      </c>
      <c r="G158" s="141"/>
      <c r="H158" s="154"/>
      <c r="I158" s="165"/>
      <c r="J158" s="148">
        <f t="shared" si="38"/>
        <v>0</v>
      </c>
      <c r="K158" s="141"/>
      <c r="L158" s="24"/>
    </row>
    <row r="159" spans="1:12" s="21" customFormat="1" ht="18.75" customHeight="1" thickBot="1">
      <c r="A159" s="72" t="s">
        <v>35</v>
      </c>
      <c r="B159" s="70">
        <f t="shared" si="20"/>
        <v>125</v>
      </c>
      <c r="C159" s="97">
        <v>5030</v>
      </c>
      <c r="D159" s="154">
        <f>SUM(D160:D162)</f>
        <v>0</v>
      </c>
      <c r="E159" s="154">
        <f>SUM(E160:E162)</f>
        <v>0</v>
      </c>
      <c r="F159" s="148">
        <f t="shared" si="37"/>
        <v>0</v>
      </c>
      <c r="G159" s="141"/>
      <c r="H159" s="154">
        <f>SUM(H160:H162)</f>
        <v>0</v>
      </c>
      <c r="I159" s="165">
        <f>SUM(I160:I162)</f>
        <v>0</v>
      </c>
      <c r="J159" s="148">
        <f t="shared" si="38"/>
        <v>0</v>
      </c>
      <c r="K159" s="141"/>
      <c r="L159" s="24"/>
    </row>
    <row r="160" spans="1:12" s="21" customFormat="1" ht="18.75" customHeight="1" thickBot="1">
      <c r="A160" s="72" t="s">
        <v>66</v>
      </c>
      <c r="B160" s="70">
        <f t="shared" si="20"/>
        <v>126</v>
      </c>
      <c r="C160" s="97" t="s">
        <v>173</v>
      </c>
      <c r="D160" s="154"/>
      <c r="E160" s="154"/>
      <c r="F160" s="148">
        <f t="shared" si="37"/>
        <v>0</v>
      </c>
      <c r="G160" s="141"/>
      <c r="H160" s="154"/>
      <c r="I160" s="165"/>
      <c r="J160" s="148">
        <f t="shared" si="38"/>
        <v>0</v>
      </c>
      <c r="K160" s="141"/>
      <c r="L160" s="26"/>
    </row>
    <row r="161" spans="1:14" s="21" customFormat="1" ht="18.75" customHeight="1" thickBot="1">
      <c r="A161" s="72" t="s">
        <v>33</v>
      </c>
      <c r="B161" s="70">
        <f t="shared" si="20"/>
        <v>127</v>
      </c>
      <c r="C161" s="97" t="s">
        <v>174</v>
      </c>
      <c r="D161" s="154"/>
      <c r="E161" s="154"/>
      <c r="F161" s="148">
        <f t="shared" si="37"/>
        <v>0</v>
      </c>
      <c r="G161" s="141"/>
      <c r="H161" s="154"/>
      <c r="I161" s="165"/>
      <c r="J161" s="148">
        <f t="shared" si="38"/>
        <v>0</v>
      </c>
      <c r="K161" s="141"/>
      <c r="L161" s="24"/>
    </row>
    <row r="162" spans="1:14" s="32" customFormat="1" ht="18.75" customHeight="1" thickBot="1">
      <c r="A162" s="72" t="s">
        <v>34</v>
      </c>
      <c r="B162" s="70">
        <f t="shared" si="20"/>
        <v>128</v>
      </c>
      <c r="C162" s="97" t="s">
        <v>175</v>
      </c>
      <c r="D162" s="154"/>
      <c r="E162" s="154"/>
      <c r="F162" s="148">
        <f t="shared" si="37"/>
        <v>0</v>
      </c>
      <c r="G162" s="141"/>
      <c r="H162" s="154"/>
      <c r="I162" s="165"/>
      <c r="J162" s="148">
        <f t="shared" si="38"/>
        <v>0</v>
      </c>
      <c r="K162" s="141"/>
      <c r="L162" s="24"/>
    </row>
    <row r="163" spans="1:14" s="32" customFormat="1" ht="18.75" customHeight="1" thickBot="1">
      <c r="A163" s="72" t="s">
        <v>176</v>
      </c>
      <c r="B163" s="77">
        <f t="shared" si="20"/>
        <v>129</v>
      </c>
      <c r="C163" s="97">
        <v>5040</v>
      </c>
      <c r="D163" s="166"/>
      <c r="E163" s="166"/>
      <c r="F163" s="148">
        <f t="shared" si="37"/>
        <v>0</v>
      </c>
      <c r="G163" s="141"/>
      <c r="H163" s="166"/>
      <c r="I163" s="167"/>
      <c r="J163" s="148">
        <f t="shared" si="38"/>
        <v>0</v>
      </c>
      <c r="K163" s="141"/>
      <c r="L163" s="24"/>
    </row>
    <row r="164" spans="1:14" s="32" customFormat="1" ht="21" thickBot="1">
      <c r="A164" s="90" t="s">
        <v>124</v>
      </c>
      <c r="B164" s="91">
        <f t="shared" si="20"/>
        <v>130</v>
      </c>
      <c r="C164" s="93">
        <v>6000</v>
      </c>
      <c r="D164" s="130"/>
      <c r="E164" s="133"/>
      <c r="F164" s="133">
        <f>E164-D164</f>
        <v>0</v>
      </c>
      <c r="G164" s="129"/>
      <c r="H164" s="130"/>
      <c r="I164" s="133"/>
      <c r="J164" s="133">
        <f>I164-H164</f>
        <v>0</v>
      </c>
      <c r="K164" s="129"/>
      <c r="L164" s="25"/>
    </row>
    <row r="165" spans="1:14" s="32" customFormat="1" ht="23.25" customHeight="1" thickBot="1">
      <c r="A165" s="72" t="s">
        <v>68</v>
      </c>
      <c r="B165" s="69">
        <f t="shared" si="20"/>
        <v>131</v>
      </c>
      <c r="C165" s="97">
        <v>6010</v>
      </c>
      <c r="D165" s="152"/>
      <c r="E165" s="142"/>
      <c r="F165" s="148">
        <f>E165-D165</f>
        <v>0</v>
      </c>
      <c r="G165" s="141"/>
      <c r="H165" s="152"/>
      <c r="I165" s="142"/>
      <c r="J165" s="148">
        <f>I165-H165</f>
        <v>0</v>
      </c>
      <c r="K165" s="141"/>
      <c r="L165" s="26"/>
    </row>
    <row r="166" spans="1:14" s="32" customFormat="1" ht="23.25" customHeight="1" thickBot="1">
      <c r="A166" s="72" t="s">
        <v>69</v>
      </c>
      <c r="B166" s="70">
        <f t="shared" si="20"/>
        <v>132</v>
      </c>
      <c r="C166" s="97">
        <v>6020</v>
      </c>
      <c r="D166" s="154"/>
      <c r="E166" s="154">
        <f>E141/53558.2</f>
        <v>0.12878326754819991</v>
      </c>
      <c r="F166" s="148">
        <f t="shared" ref="F166:F168" si="40">E166-D166</f>
        <v>0.12878326754819991</v>
      </c>
      <c r="G166" s="141"/>
      <c r="H166" s="154"/>
      <c r="I166" s="154">
        <f>I141/53558.2</f>
        <v>0.18354985791158029</v>
      </c>
      <c r="J166" s="148">
        <f t="shared" ref="J166:J168" si="41">I166-H166</f>
        <v>0.18354985791158029</v>
      </c>
      <c r="K166" s="141"/>
      <c r="L166" s="23"/>
    </row>
    <row r="167" spans="1:14" s="32" customFormat="1" ht="38.25" customHeight="1" thickBot="1">
      <c r="A167" s="72" t="s">
        <v>125</v>
      </c>
      <c r="B167" s="70">
        <f t="shared" si="20"/>
        <v>133</v>
      </c>
      <c r="C167" s="97">
        <v>6030</v>
      </c>
      <c r="D167" s="154"/>
      <c r="E167" s="165"/>
      <c r="F167" s="148">
        <f t="shared" si="40"/>
        <v>0</v>
      </c>
      <c r="G167" s="141"/>
      <c r="H167" s="154"/>
      <c r="I167" s="165"/>
      <c r="J167" s="148">
        <f t="shared" si="41"/>
        <v>0</v>
      </c>
      <c r="K167" s="141"/>
      <c r="L167" s="24"/>
    </row>
    <row r="168" spans="1:14" s="32" customFormat="1" ht="23.25" customHeight="1" thickBot="1">
      <c r="A168" s="82" t="s">
        <v>70</v>
      </c>
      <c r="B168" s="77">
        <f t="shared" si="20"/>
        <v>134</v>
      </c>
      <c r="C168" s="98">
        <v>6040</v>
      </c>
      <c r="D168" s="166"/>
      <c r="E168" s="166">
        <f>53558.2/E152</f>
        <v>0.69533528075300222</v>
      </c>
      <c r="F168" s="148">
        <f t="shared" si="40"/>
        <v>0.69533528075300222</v>
      </c>
      <c r="G168" s="141"/>
      <c r="H168" s="166"/>
      <c r="I168" s="166">
        <f>53558.2/I152</f>
        <v>0.69533528075300222</v>
      </c>
      <c r="J168" s="148">
        <f t="shared" si="41"/>
        <v>0.69533528075300222</v>
      </c>
      <c r="K168" s="141"/>
      <c r="L168" s="24"/>
    </row>
    <row r="169" spans="1:14" s="32" customFormat="1" ht="18" customHeight="1" thickBot="1">
      <c r="A169" s="90" t="s">
        <v>126</v>
      </c>
      <c r="B169" s="91">
        <f t="shared" si="20"/>
        <v>135</v>
      </c>
      <c r="C169" s="93">
        <v>7000</v>
      </c>
      <c r="D169" s="130"/>
      <c r="E169" s="133"/>
      <c r="F169" s="133">
        <f>E169-D169</f>
        <v>0</v>
      </c>
      <c r="G169" s="129"/>
      <c r="H169" s="130"/>
      <c r="I169" s="133"/>
      <c r="J169" s="133">
        <f>I169-H169</f>
        <v>0</v>
      </c>
      <c r="K169" s="129"/>
      <c r="L169" s="24"/>
    </row>
    <row r="170" spans="1:14" s="32" customFormat="1" ht="18" customHeight="1" thickBot="1">
      <c r="A170" s="65" t="s">
        <v>71</v>
      </c>
      <c r="B170" s="69">
        <f t="shared" si="20"/>
        <v>136</v>
      </c>
      <c r="C170" s="94">
        <v>7010</v>
      </c>
      <c r="D170" s="152">
        <v>129558.6</v>
      </c>
      <c r="E170" s="152">
        <v>129558.6</v>
      </c>
      <c r="F170" s="148">
        <f>E170-D170</f>
        <v>0</v>
      </c>
      <c r="G170" s="141">
        <f t="shared" ref="G170:G172" si="42">F170/D170*100%</f>
        <v>0</v>
      </c>
      <c r="H170" s="152">
        <v>129558.6</v>
      </c>
      <c r="I170" s="152">
        <v>129558.6</v>
      </c>
      <c r="J170" s="148">
        <f>I170-H170</f>
        <v>0</v>
      </c>
      <c r="K170" s="141">
        <f t="shared" ref="K170:K172" si="43">J170/H170*100%</f>
        <v>0</v>
      </c>
      <c r="L170" s="25"/>
    </row>
    <row r="171" spans="1:14" s="21" customFormat="1" ht="21" customHeight="1" thickBot="1">
      <c r="A171" s="72" t="s">
        <v>72</v>
      </c>
      <c r="B171" s="70">
        <f t="shared" si="20"/>
        <v>137</v>
      </c>
      <c r="C171" s="97">
        <v>7020</v>
      </c>
      <c r="D171" s="154">
        <v>10921.1</v>
      </c>
      <c r="E171" s="154">
        <v>10921.1</v>
      </c>
      <c r="F171" s="148">
        <f t="shared" ref="F171:F174" si="44">E171-D171</f>
        <v>0</v>
      </c>
      <c r="G171" s="141">
        <f t="shared" si="42"/>
        <v>0</v>
      </c>
      <c r="H171" s="154">
        <v>10921.1</v>
      </c>
      <c r="I171" s="154">
        <v>10921.1</v>
      </c>
      <c r="J171" s="148">
        <f t="shared" ref="J171:J174" si="45">I171-H171</f>
        <v>0</v>
      </c>
      <c r="K171" s="141">
        <f t="shared" si="43"/>
        <v>0</v>
      </c>
      <c r="L171" s="26"/>
    </row>
    <row r="172" spans="1:14" s="21" customFormat="1" ht="19.5" thickBot="1">
      <c r="A172" s="72" t="s">
        <v>73</v>
      </c>
      <c r="B172" s="70">
        <f t="shared" si="20"/>
        <v>138</v>
      </c>
      <c r="C172" s="97">
        <v>7030</v>
      </c>
      <c r="D172" s="154">
        <f>SUM(D170:D171)</f>
        <v>140479.70000000001</v>
      </c>
      <c r="E172" s="154">
        <f>SUM(E170:E171)</f>
        <v>140479.70000000001</v>
      </c>
      <c r="F172" s="148">
        <f t="shared" si="44"/>
        <v>0</v>
      </c>
      <c r="G172" s="141">
        <f t="shared" si="42"/>
        <v>0</v>
      </c>
      <c r="H172" s="154">
        <f>SUM(H170:H171)</f>
        <v>140479.70000000001</v>
      </c>
      <c r="I172" s="154">
        <f>SUM(I170:I171)</f>
        <v>140479.70000000001</v>
      </c>
      <c r="J172" s="148">
        <f t="shared" si="45"/>
        <v>0</v>
      </c>
      <c r="K172" s="141">
        <f t="shared" si="43"/>
        <v>0</v>
      </c>
      <c r="L172" s="23"/>
    </row>
    <row r="173" spans="1:14" s="32" customFormat="1" ht="18" customHeight="1" thickBot="1">
      <c r="A173" s="72" t="s">
        <v>74</v>
      </c>
      <c r="B173" s="70">
        <f t="shared" si="20"/>
        <v>139</v>
      </c>
      <c r="C173" s="97">
        <v>7040</v>
      </c>
      <c r="D173" s="154"/>
      <c r="E173" s="154"/>
      <c r="F173" s="148">
        <f t="shared" si="44"/>
        <v>0</v>
      </c>
      <c r="G173" s="141"/>
      <c r="H173" s="154"/>
      <c r="I173" s="154"/>
      <c r="J173" s="148">
        <f t="shared" si="45"/>
        <v>0</v>
      </c>
      <c r="K173" s="141"/>
      <c r="L173" s="24"/>
    </row>
    <row r="174" spans="1:14" s="32" customFormat="1" ht="18" customHeight="1" thickBot="1">
      <c r="A174" s="82" t="s">
        <v>75</v>
      </c>
      <c r="B174" s="77">
        <f t="shared" si="20"/>
        <v>140</v>
      </c>
      <c r="C174" s="98">
        <v>7050</v>
      </c>
      <c r="D174" s="166"/>
      <c r="E174" s="166"/>
      <c r="F174" s="148">
        <f t="shared" si="44"/>
        <v>0</v>
      </c>
      <c r="G174" s="141"/>
      <c r="H174" s="166"/>
      <c r="I174" s="166"/>
      <c r="J174" s="148">
        <f t="shared" si="45"/>
        <v>0</v>
      </c>
      <c r="K174" s="141"/>
      <c r="L174" s="24"/>
    </row>
    <row r="175" spans="1:14" s="32" customFormat="1" ht="27.75" customHeight="1" thickBot="1">
      <c r="A175" s="90" t="s">
        <v>127</v>
      </c>
      <c r="B175" s="91">
        <f t="shared" ref="B175:B207" si="46">B174+1</f>
        <v>141</v>
      </c>
      <c r="C175" s="93">
        <v>8000</v>
      </c>
      <c r="D175" s="130"/>
      <c r="E175" s="133"/>
      <c r="F175" s="138">
        <f>E175-D175</f>
        <v>0</v>
      </c>
      <c r="G175" s="129"/>
      <c r="H175" s="130"/>
      <c r="I175" s="133"/>
      <c r="J175" s="138">
        <f>I175-H175</f>
        <v>0</v>
      </c>
      <c r="K175" s="129"/>
      <c r="L175" s="24"/>
      <c r="M175" s="139"/>
      <c r="N175" s="139"/>
    </row>
    <row r="176" spans="1:14" s="32" customFormat="1" ht="18" customHeight="1" thickBot="1">
      <c r="A176" s="65" t="s">
        <v>238</v>
      </c>
      <c r="B176" s="69">
        <f t="shared" si="46"/>
        <v>142</v>
      </c>
      <c r="C176" s="94">
        <v>8010</v>
      </c>
      <c r="D176" s="174">
        <f>SUM(D177:D183)</f>
        <v>1121.5</v>
      </c>
      <c r="E176" s="174">
        <f>SUM(E177:E183)</f>
        <v>920</v>
      </c>
      <c r="F176" s="148">
        <f>E176-D176</f>
        <v>-201.5</v>
      </c>
      <c r="G176" s="141">
        <f t="shared" ref="G176:G199" si="47">F176/D176*100%</f>
        <v>-0.17967008470798038</v>
      </c>
      <c r="H176" s="174">
        <f>SUM(H177:H183)</f>
        <v>1121.5</v>
      </c>
      <c r="I176" s="175">
        <f>SUM(I177:I183)</f>
        <v>918</v>
      </c>
      <c r="J176" s="148">
        <f>I176-H176</f>
        <v>-203.5</v>
      </c>
      <c r="K176" s="141">
        <f t="shared" ref="K176:K199" si="48">J176/H176*100%</f>
        <v>-0.18145341061078912</v>
      </c>
      <c r="L176" s="24"/>
      <c r="M176" s="194"/>
      <c r="N176" s="195"/>
    </row>
    <row r="177" spans="1:92" s="32" customFormat="1" ht="18" customHeight="1" thickBot="1">
      <c r="A177" s="72" t="s">
        <v>18</v>
      </c>
      <c r="B177" s="70">
        <f t="shared" si="46"/>
        <v>143</v>
      </c>
      <c r="C177" s="97" t="s">
        <v>177</v>
      </c>
      <c r="D177" s="176">
        <v>1</v>
      </c>
      <c r="E177" s="176">
        <v>1</v>
      </c>
      <c r="F177" s="148">
        <f t="shared" ref="F177:F207" si="49">E177-D177</f>
        <v>0</v>
      </c>
      <c r="G177" s="141">
        <f t="shared" si="47"/>
        <v>0</v>
      </c>
      <c r="H177" s="176">
        <v>1</v>
      </c>
      <c r="I177" s="177">
        <v>1</v>
      </c>
      <c r="J177" s="148">
        <f t="shared" ref="J177:J207" si="50">I177-H177</f>
        <v>0</v>
      </c>
      <c r="K177" s="141">
        <f t="shared" si="48"/>
        <v>0</v>
      </c>
      <c r="L177" s="24"/>
    </row>
    <row r="178" spans="1:92" s="32" customFormat="1" ht="18" customHeight="1" thickBot="1">
      <c r="A178" s="72" t="s">
        <v>128</v>
      </c>
      <c r="B178" s="70">
        <f t="shared" si="46"/>
        <v>144</v>
      </c>
      <c r="C178" s="97" t="s">
        <v>178</v>
      </c>
      <c r="D178" s="176">
        <v>4</v>
      </c>
      <c r="E178" s="176">
        <v>2</v>
      </c>
      <c r="F178" s="148">
        <f t="shared" si="49"/>
        <v>-2</v>
      </c>
      <c r="G178" s="141">
        <f t="shared" si="47"/>
        <v>-0.5</v>
      </c>
      <c r="H178" s="176">
        <v>4</v>
      </c>
      <c r="I178" s="177">
        <v>2</v>
      </c>
      <c r="J178" s="148">
        <f t="shared" si="50"/>
        <v>-2</v>
      </c>
      <c r="K178" s="141">
        <f t="shared" si="48"/>
        <v>-0.5</v>
      </c>
      <c r="L178" s="24"/>
    </row>
    <row r="179" spans="1:92" s="32" customFormat="1" ht="18" customHeight="1" thickBot="1">
      <c r="A179" s="72" t="s">
        <v>76</v>
      </c>
      <c r="B179" s="70">
        <f t="shared" si="46"/>
        <v>145</v>
      </c>
      <c r="C179" s="97" t="s">
        <v>179</v>
      </c>
      <c r="D179" s="176">
        <v>363.75</v>
      </c>
      <c r="E179" s="176">
        <v>319</v>
      </c>
      <c r="F179" s="148">
        <f t="shared" si="49"/>
        <v>-44.75</v>
      </c>
      <c r="G179" s="141">
        <f t="shared" si="47"/>
        <v>-0.12302405498281786</v>
      </c>
      <c r="H179" s="176">
        <v>360.5</v>
      </c>
      <c r="I179" s="177">
        <v>318</v>
      </c>
      <c r="J179" s="148">
        <f t="shared" si="50"/>
        <v>-42.5</v>
      </c>
      <c r="K179" s="141">
        <f t="shared" si="48"/>
        <v>-0.11789181692094314</v>
      </c>
      <c r="L179" s="25"/>
    </row>
    <row r="180" spans="1:92" s="21" customFormat="1" ht="18" customHeight="1" thickBot="1">
      <c r="A180" s="72" t="s">
        <v>77</v>
      </c>
      <c r="B180" s="70">
        <f t="shared" si="46"/>
        <v>146</v>
      </c>
      <c r="C180" s="97" t="s">
        <v>180</v>
      </c>
      <c r="D180" s="176">
        <v>18</v>
      </c>
      <c r="E180" s="176">
        <v>16</v>
      </c>
      <c r="F180" s="148">
        <f t="shared" si="49"/>
        <v>-2</v>
      </c>
      <c r="G180" s="141">
        <f t="shared" si="47"/>
        <v>-0.1111111111111111</v>
      </c>
      <c r="H180" s="176">
        <v>18</v>
      </c>
      <c r="I180" s="176">
        <v>16</v>
      </c>
      <c r="J180" s="148">
        <f t="shared" si="50"/>
        <v>-2</v>
      </c>
      <c r="K180" s="141">
        <f t="shared" si="48"/>
        <v>-0.1111111111111111</v>
      </c>
      <c r="L180" s="33"/>
      <c r="M180" s="140"/>
    </row>
    <row r="181" spans="1:92" s="32" customFormat="1" ht="18" customHeight="1" thickBot="1">
      <c r="A181" s="72" t="s">
        <v>78</v>
      </c>
      <c r="B181" s="70">
        <f t="shared" si="46"/>
        <v>147</v>
      </c>
      <c r="C181" s="97" t="s">
        <v>181</v>
      </c>
      <c r="D181" s="176">
        <v>461.75</v>
      </c>
      <c r="E181" s="176">
        <v>375</v>
      </c>
      <c r="F181" s="148">
        <f t="shared" si="49"/>
        <v>-86.75</v>
      </c>
      <c r="G181" s="141">
        <f t="shared" si="47"/>
        <v>-0.18787222523010286</v>
      </c>
      <c r="H181" s="176">
        <v>460.75</v>
      </c>
      <c r="I181" s="176">
        <v>374</v>
      </c>
      <c r="J181" s="148">
        <f t="shared" si="50"/>
        <v>-86.75</v>
      </c>
      <c r="K181" s="141">
        <f t="shared" si="48"/>
        <v>-0.18827997829625612</v>
      </c>
      <c r="L181" s="23"/>
    </row>
    <row r="182" spans="1:92" s="32" customFormat="1" ht="18" customHeight="1" thickBot="1">
      <c r="A182" s="72" t="s">
        <v>79</v>
      </c>
      <c r="B182" s="70">
        <f t="shared" si="46"/>
        <v>148</v>
      </c>
      <c r="C182" s="98" t="s">
        <v>182</v>
      </c>
      <c r="D182" s="176">
        <v>140.25</v>
      </c>
      <c r="E182" s="176">
        <v>105</v>
      </c>
      <c r="F182" s="148">
        <f t="shared" si="49"/>
        <v>-35.25</v>
      </c>
      <c r="G182" s="141">
        <f t="shared" si="47"/>
        <v>-0.25133689839572193</v>
      </c>
      <c r="H182" s="176">
        <v>145.5</v>
      </c>
      <c r="I182" s="176">
        <v>106</v>
      </c>
      <c r="J182" s="148">
        <f t="shared" si="50"/>
        <v>-39.5</v>
      </c>
      <c r="K182" s="141">
        <f t="shared" si="48"/>
        <v>-0.27147766323024053</v>
      </c>
      <c r="L182" s="23"/>
    </row>
    <row r="183" spans="1:92" s="32" customFormat="1" ht="18" customHeight="1" thickBot="1">
      <c r="A183" s="82" t="s">
        <v>80</v>
      </c>
      <c r="B183" s="77">
        <f t="shared" si="46"/>
        <v>149</v>
      </c>
      <c r="C183" s="98" t="s">
        <v>183</v>
      </c>
      <c r="D183" s="178">
        <v>132.75</v>
      </c>
      <c r="E183" s="178">
        <v>102</v>
      </c>
      <c r="F183" s="148">
        <f t="shared" si="49"/>
        <v>-30.75</v>
      </c>
      <c r="G183" s="141">
        <f t="shared" si="47"/>
        <v>-0.23163841807909605</v>
      </c>
      <c r="H183" s="178">
        <v>131.75</v>
      </c>
      <c r="I183" s="178">
        <v>101</v>
      </c>
      <c r="J183" s="148">
        <f t="shared" si="50"/>
        <v>-30.75</v>
      </c>
      <c r="K183" s="141">
        <f t="shared" si="48"/>
        <v>-0.23339658444022771</v>
      </c>
      <c r="L183" s="24"/>
      <c r="M183" s="144"/>
      <c r="N183" s="145"/>
      <c r="O183" s="145"/>
      <c r="P183" s="145"/>
      <c r="Q183" s="145"/>
      <c r="R183" s="145"/>
      <c r="S183" s="145"/>
      <c r="T183" s="145"/>
      <c r="U183" s="145"/>
      <c r="V183" s="145"/>
      <c r="W183" s="145"/>
      <c r="X183" s="145"/>
      <c r="Y183" s="145"/>
      <c r="Z183" s="145"/>
      <c r="AA183" s="145"/>
      <c r="AB183" s="145"/>
      <c r="AC183" s="145"/>
      <c r="AD183" s="145"/>
      <c r="AE183" s="145"/>
      <c r="AF183" s="145"/>
      <c r="AG183" s="145"/>
      <c r="AH183" s="145"/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  <c r="BI183" s="145"/>
      <c r="BJ183" s="145"/>
      <c r="BK183" s="145"/>
      <c r="BL183" s="145"/>
      <c r="BM183" s="145"/>
      <c r="BN183" s="145"/>
      <c r="BO183" s="145"/>
      <c r="BP183" s="145"/>
      <c r="BQ183" s="145"/>
      <c r="BR183" s="145"/>
      <c r="BS183" s="145"/>
      <c r="BT183" s="145"/>
      <c r="BU183" s="145"/>
      <c r="BV183" s="145"/>
      <c r="BW183" s="145"/>
      <c r="BX183" s="145"/>
      <c r="BY183" s="145"/>
      <c r="BZ183" s="145"/>
      <c r="CA183" s="145"/>
      <c r="CB183" s="145"/>
      <c r="CC183" s="145"/>
      <c r="CD183" s="145"/>
      <c r="CE183" s="145"/>
      <c r="CF183" s="145"/>
      <c r="CG183" s="145"/>
      <c r="CH183" s="145"/>
      <c r="CI183" s="145"/>
      <c r="CJ183" s="145"/>
      <c r="CK183" s="145"/>
      <c r="CL183" s="145"/>
      <c r="CM183" s="145"/>
      <c r="CN183" s="145"/>
    </row>
    <row r="184" spans="1:92" s="32" customFormat="1" ht="24.75" customHeight="1" thickBot="1">
      <c r="A184" s="85" t="s">
        <v>81</v>
      </c>
      <c r="B184" s="68">
        <f t="shared" si="46"/>
        <v>150</v>
      </c>
      <c r="C184" s="96">
        <v>8020</v>
      </c>
      <c r="D184" s="156">
        <f>SUM(D185:D191)</f>
        <v>39802</v>
      </c>
      <c r="E184" s="156">
        <f>SUM(E185:E191)</f>
        <v>39803</v>
      </c>
      <c r="F184" s="148">
        <f t="shared" si="49"/>
        <v>1</v>
      </c>
      <c r="G184" s="141">
        <f t="shared" si="47"/>
        <v>2.5124365609768353E-5</v>
      </c>
      <c r="H184" s="156">
        <f>SUM(H185:H191)</f>
        <v>76042.2</v>
      </c>
      <c r="I184" s="156">
        <f>SUM(I185:I191)</f>
        <v>76042.100000000006</v>
      </c>
      <c r="J184" s="148">
        <f t="shared" si="50"/>
        <v>-9.9999999991268851E-2</v>
      </c>
      <c r="K184" s="141">
        <f t="shared" si="48"/>
        <v>-1.3150592696064666E-6</v>
      </c>
      <c r="L184" s="24"/>
      <c r="M184" s="144"/>
      <c r="N184" s="187"/>
      <c r="O184" s="187"/>
      <c r="P184" s="145"/>
      <c r="Q184" s="145"/>
      <c r="R184" s="145"/>
      <c r="S184" s="145"/>
      <c r="T184" s="145"/>
      <c r="U184" s="145"/>
      <c r="V184" s="145"/>
      <c r="W184" s="145"/>
      <c r="X184" s="145"/>
      <c r="Y184" s="145"/>
      <c r="Z184" s="145"/>
      <c r="AA184" s="145"/>
      <c r="AB184" s="145"/>
      <c r="AC184" s="145"/>
      <c r="AD184" s="145"/>
      <c r="AE184" s="145"/>
      <c r="AF184" s="145"/>
      <c r="AG184" s="145"/>
      <c r="AH184" s="145"/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  <c r="BI184" s="145"/>
      <c r="BJ184" s="145"/>
      <c r="BK184" s="145"/>
      <c r="BL184" s="145"/>
      <c r="BM184" s="145"/>
      <c r="BN184" s="145"/>
      <c r="BO184" s="145"/>
      <c r="BP184" s="145"/>
      <c r="BQ184" s="145"/>
      <c r="BR184" s="145"/>
      <c r="BS184" s="145"/>
      <c r="BT184" s="145"/>
      <c r="BU184" s="145"/>
      <c r="BV184" s="145"/>
      <c r="BW184" s="145"/>
      <c r="BX184" s="145"/>
      <c r="BY184" s="145"/>
      <c r="BZ184" s="145"/>
      <c r="CA184" s="145"/>
      <c r="CB184" s="145"/>
      <c r="CC184" s="145"/>
      <c r="CD184" s="145"/>
      <c r="CE184" s="145"/>
      <c r="CF184" s="145"/>
      <c r="CG184" s="145"/>
      <c r="CH184" s="145"/>
      <c r="CI184" s="145"/>
      <c r="CJ184" s="145"/>
      <c r="CK184" s="145"/>
      <c r="CL184" s="145"/>
      <c r="CM184" s="145"/>
      <c r="CN184" s="145"/>
    </row>
    <row r="185" spans="1:92" s="32" customFormat="1" ht="18" customHeight="1" thickBot="1">
      <c r="A185" s="65" t="s">
        <v>18</v>
      </c>
      <c r="B185" s="69">
        <f t="shared" si="46"/>
        <v>151</v>
      </c>
      <c r="C185" s="97" t="s">
        <v>184</v>
      </c>
      <c r="D185" s="152">
        <v>226.4</v>
      </c>
      <c r="E185" s="152">
        <v>226.4</v>
      </c>
      <c r="F185" s="148">
        <f t="shared" si="49"/>
        <v>0</v>
      </c>
      <c r="G185" s="141">
        <f t="shared" si="47"/>
        <v>0</v>
      </c>
      <c r="H185" s="152">
        <f>221.1+D185</f>
        <v>447.5</v>
      </c>
      <c r="I185" s="152">
        <f>221.1+E185</f>
        <v>447.5</v>
      </c>
      <c r="J185" s="148">
        <f t="shared" si="50"/>
        <v>0</v>
      </c>
      <c r="K185" s="141">
        <f t="shared" si="48"/>
        <v>0</v>
      </c>
      <c r="L185" s="24"/>
      <c r="M185" s="144"/>
      <c r="N185" s="196"/>
      <c r="O185" s="196"/>
      <c r="P185" s="196"/>
      <c r="Q185" s="196"/>
      <c r="R185" s="196"/>
      <c r="S185" s="145"/>
      <c r="T185" s="145"/>
      <c r="U185" s="145"/>
      <c r="V185" s="145"/>
      <c r="W185" s="145"/>
      <c r="X185" s="145"/>
      <c r="Y185" s="145"/>
      <c r="Z185" s="145"/>
      <c r="AA185" s="145"/>
      <c r="AB185" s="145"/>
      <c r="AC185" s="145"/>
      <c r="AD185" s="145"/>
      <c r="AE185" s="145"/>
      <c r="AF185" s="145"/>
      <c r="AG185" s="145"/>
      <c r="AH185" s="145"/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  <c r="BI185" s="145"/>
      <c r="BJ185" s="145"/>
      <c r="BK185" s="145"/>
      <c r="BL185" s="145"/>
      <c r="BM185" s="145"/>
      <c r="BN185" s="145"/>
      <c r="BO185" s="145"/>
      <c r="BP185" s="145"/>
      <c r="BQ185" s="145"/>
      <c r="BR185" s="145"/>
      <c r="BS185" s="145"/>
      <c r="BT185" s="145"/>
      <c r="BU185" s="145"/>
      <c r="BV185" s="145"/>
      <c r="BW185" s="145"/>
      <c r="BX185" s="145"/>
      <c r="BY185" s="145"/>
      <c r="BZ185" s="145"/>
      <c r="CA185" s="145"/>
      <c r="CB185" s="145"/>
      <c r="CC185" s="145"/>
      <c r="CD185" s="145"/>
      <c r="CE185" s="145"/>
      <c r="CF185" s="145"/>
      <c r="CG185" s="145"/>
      <c r="CH185" s="145"/>
      <c r="CI185" s="145"/>
      <c r="CJ185" s="145"/>
      <c r="CK185" s="145"/>
      <c r="CL185" s="145"/>
      <c r="CM185" s="145"/>
      <c r="CN185" s="145"/>
    </row>
    <row r="186" spans="1:92" s="32" customFormat="1" ht="18" customHeight="1" thickBot="1">
      <c r="A186" s="65" t="s">
        <v>129</v>
      </c>
      <c r="B186" s="70">
        <f t="shared" si="46"/>
        <v>152</v>
      </c>
      <c r="C186" s="97" t="s">
        <v>185</v>
      </c>
      <c r="D186" s="154">
        <v>181.6</v>
      </c>
      <c r="E186" s="154">
        <v>181.6</v>
      </c>
      <c r="F186" s="148">
        <f t="shared" si="49"/>
        <v>0</v>
      </c>
      <c r="G186" s="141">
        <f t="shared" si="47"/>
        <v>0</v>
      </c>
      <c r="H186" s="154">
        <f>212+D186</f>
        <v>393.6</v>
      </c>
      <c r="I186" s="154">
        <f>212+E186</f>
        <v>393.6</v>
      </c>
      <c r="J186" s="148">
        <f t="shared" si="50"/>
        <v>0</v>
      </c>
      <c r="K186" s="141">
        <f t="shared" si="48"/>
        <v>0</v>
      </c>
      <c r="L186" s="24"/>
      <c r="M186" s="144"/>
      <c r="N186" s="184"/>
      <c r="O186" s="184"/>
      <c r="P186" s="184"/>
      <c r="Q186" s="184"/>
      <c r="R186" s="184"/>
      <c r="S186" s="145"/>
      <c r="T186" s="145"/>
      <c r="U186" s="145"/>
      <c r="V186" s="145"/>
      <c r="W186" s="145"/>
      <c r="X186" s="145"/>
      <c r="Y186" s="145"/>
      <c r="Z186" s="145"/>
      <c r="AA186" s="145"/>
      <c r="AB186" s="145"/>
      <c r="AC186" s="145"/>
      <c r="AD186" s="145"/>
      <c r="AE186" s="145"/>
      <c r="AF186" s="145"/>
      <c r="AG186" s="145"/>
      <c r="AH186" s="145"/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  <c r="BI186" s="145"/>
      <c r="BJ186" s="145"/>
      <c r="BK186" s="145"/>
      <c r="BL186" s="145"/>
      <c r="BM186" s="145"/>
      <c r="BN186" s="145"/>
      <c r="BO186" s="145"/>
      <c r="BP186" s="145"/>
      <c r="BQ186" s="145"/>
      <c r="BR186" s="145"/>
      <c r="BS186" s="145"/>
      <c r="BT186" s="145"/>
      <c r="BU186" s="145"/>
      <c r="BV186" s="145"/>
      <c r="BW186" s="145"/>
      <c r="BX186" s="145"/>
      <c r="BY186" s="145"/>
      <c r="BZ186" s="145"/>
      <c r="CA186" s="145"/>
      <c r="CB186" s="145"/>
      <c r="CC186" s="145"/>
      <c r="CD186" s="145"/>
      <c r="CE186" s="145"/>
      <c r="CF186" s="145"/>
      <c r="CG186" s="145"/>
      <c r="CH186" s="145"/>
      <c r="CI186" s="145"/>
      <c r="CJ186" s="145"/>
      <c r="CK186" s="145"/>
      <c r="CL186" s="145"/>
      <c r="CM186" s="145"/>
      <c r="CN186" s="145"/>
    </row>
    <row r="187" spans="1:92" s="32" customFormat="1" ht="18" customHeight="1" thickBot="1">
      <c r="A187" s="72" t="s">
        <v>76</v>
      </c>
      <c r="B187" s="70">
        <f t="shared" si="46"/>
        <v>153</v>
      </c>
      <c r="C187" s="97" t="s">
        <v>186</v>
      </c>
      <c r="D187" s="154">
        <v>17534.7</v>
      </c>
      <c r="E187" s="154">
        <v>17535.7</v>
      </c>
      <c r="F187" s="148">
        <f t="shared" si="49"/>
        <v>1</v>
      </c>
      <c r="G187" s="141">
        <f t="shared" si="47"/>
        <v>5.7029775245655756E-5</v>
      </c>
      <c r="H187" s="154">
        <f>15899.3+D187</f>
        <v>33434</v>
      </c>
      <c r="I187" s="154">
        <f>15898.2+E187</f>
        <v>33433.9</v>
      </c>
      <c r="J187" s="148">
        <f t="shared" si="50"/>
        <v>-9.9999999998544808E-2</v>
      </c>
      <c r="K187" s="141">
        <f t="shared" si="48"/>
        <v>-2.9909672787744455E-6</v>
      </c>
      <c r="L187" s="25"/>
      <c r="M187" s="144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5"/>
      <c r="Y187" s="145"/>
      <c r="Z187" s="145"/>
      <c r="AA187" s="145"/>
      <c r="AB187" s="145"/>
      <c r="AC187" s="145"/>
      <c r="AD187" s="145"/>
      <c r="AE187" s="145"/>
      <c r="AF187" s="145"/>
      <c r="AG187" s="145"/>
      <c r="AH187" s="145"/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  <c r="BI187" s="145"/>
      <c r="BJ187" s="145"/>
      <c r="BK187" s="145"/>
      <c r="BL187" s="145"/>
      <c r="BM187" s="145"/>
      <c r="BN187" s="145"/>
      <c r="BO187" s="145"/>
      <c r="BP187" s="145"/>
      <c r="BQ187" s="145"/>
      <c r="BR187" s="145"/>
      <c r="BS187" s="145"/>
      <c r="BT187" s="145"/>
      <c r="BU187" s="145"/>
      <c r="BV187" s="145"/>
      <c r="BW187" s="145"/>
      <c r="BX187" s="145"/>
      <c r="BY187" s="145"/>
      <c r="BZ187" s="145"/>
      <c r="CA187" s="145"/>
      <c r="CB187" s="145"/>
      <c r="CC187" s="145"/>
      <c r="CD187" s="145"/>
      <c r="CE187" s="145"/>
      <c r="CF187" s="145"/>
      <c r="CG187" s="145"/>
      <c r="CH187" s="145"/>
      <c r="CI187" s="145"/>
      <c r="CJ187" s="145"/>
      <c r="CK187" s="145"/>
      <c r="CL187" s="145"/>
      <c r="CM187" s="145"/>
      <c r="CN187" s="145"/>
    </row>
    <row r="188" spans="1:92" s="21" customFormat="1" ht="21" customHeight="1" thickBot="1">
      <c r="A188" s="72" t="s">
        <v>77</v>
      </c>
      <c r="B188" s="70">
        <f t="shared" si="46"/>
        <v>154</v>
      </c>
      <c r="C188" s="97" t="s">
        <v>187</v>
      </c>
      <c r="D188" s="154">
        <v>1191.7</v>
      </c>
      <c r="E188" s="154">
        <v>1191.7</v>
      </c>
      <c r="F188" s="148">
        <f t="shared" si="49"/>
        <v>0</v>
      </c>
      <c r="G188" s="141">
        <f t="shared" si="47"/>
        <v>0</v>
      </c>
      <c r="H188" s="154">
        <f>1111.3+D188</f>
        <v>2303</v>
      </c>
      <c r="I188" s="154">
        <f>1111.3+E188</f>
        <v>2303</v>
      </c>
      <c r="J188" s="148">
        <f t="shared" si="50"/>
        <v>0</v>
      </c>
      <c r="K188" s="141">
        <f t="shared" si="48"/>
        <v>0</v>
      </c>
      <c r="L188" s="33"/>
      <c r="M188" s="140"/>
    </row>
    <row r="189" spans="1:92" s="32" customFormat="1" ht="18" customHeight="1" thickBot="1">
      <c r="A189" s="72" t="s">
        <v>78</v>
      </c>
      <c r="B189" s="70">
        <f t="shared" si="46"/>
        <v>155</v>
      </c>
      <c r="C189" s="97" t="s">
        <v>188</v>
      </c>
      <c r="D189" s="154">
        <v>14295</v>
      </c>
      <c r="E189" s="154">
        <v>14295</v>
      </c>
      <c r="F189" s="148">
        <f t="shared" si="49"/>
        <v>0</v>
      </c>
      <c r="G189" s="141">
        <f t="shared" si="47"/>
        <v>0</v>
      </c>
      <c r="H189" s="154">
        <f>12845.1+D189</f>
        <v>27140.1</v>
      </c>
      <c r="I189" s="154">
        <f>12845.1+E189</f>
        <v>27140.1</v>
      </c>
      <c r="J189" s="148">
        <f t="shared" si="50"/>
        <v>0</v>
      </c>
      <c r="K189" s="141">
        <f t="shared" si="48"/>
        <v>0</v>
      </c>
      <c r="L189" s="23"/>
    </row>
    <row r="190" spans="1:92" s="32" customFormat="1" ht="18" customHeight="1" thickBot="1">
      <c r="A190" s="72" t="s">
        <v>79</v>
      </c>
      <c r="B190" s="70">
        <f t="shared" si="46"/>
        <v>156</v>
      </c>
      <c r="C190" s="98" t="s">
        <v>189</v>
      </c>
      <c r="D190" s="154">
        <v>2603.1999999999998</v>
      </c>
      <c r="E190" s="154">
        <v>2603.1999999999998</v>
      </c>
      <c r="F190" s="148">
        <f t="shared" si="49"/>
        <v>0</v>
      </c>
      <c r="G190" s="141">
        <f t="shared" si="47"/>
        <v>0</v>
      </c>
      <c r="H190" s="154">
        <f>2327.3+D190</f>
        <v>4930.5</v>
      </c>
      <c r="I190" s="154">
        <f>2327.3+E190</f>
        <v>4930.5</v>
      </c>
      <c r="J190" s="148">
        <f t="shared" si="50"/>
        <v>0</v>
      </c>
      <c r="K190" s="141">
        <f t="shared" si="48"/>
        <v>0</v>
      </c>
      <c r="L190" s="23"/>
      <c r="M190" s="139"/>
    </row>
    <row r="191" spans="1:92" s="32" customFormat="1" ht="18" customHeight="1" thickBot="1">
      <c r="A191" s="82" t="s">
        <v>80</v>
      </c>
      <c r="B191" s="77">
        <f t="shared" si="46"/>
        <v>157</v>
      </c>
      <c r="C191" s="98" t="s">
        <v>190</v>
      </c>
      <c r="D191" s="166">
        <v>3769.4</v>
      </c>
      <c r="E191" s="166">
        <v>3769.4</v>
      </c>
      <c r="F191" s="148">
        <f t="shared" si="49"/>
        <v>0</v>
      </c>
      <c r="G191" s="141">
        <f t="shared" si="47"/>
        <v>0</v>
      </c>
      <c r="H191" s="166">
        <f>3624.1+D191</f>
        <v>7393.5</v>
      </c>
      <c r="I191" s="166">
        <f>3624.1+E191</f>
        <v>7393.5</v>
      </c>
      <c r="J191" s="148">
        <f t="shared" si="50"/>
        <v>0</v>
      </c>
      <c r="K191" s="141">
        <f t="shared" si="48"/>
        <v>0</v>
      </c>
      <c r="L191" s="24"/>
    </row>
    <row r="192" spans="1:92" s="32" customFormat="1" ht="34.5" customHeight="1" thickBot="1">
      <c r="A192" s="85" t="s">
        <v>239</v>
      </c>
      <c r="B192" s="68">
        <f t="shared" si="46"/>
        <v>158</v>
      </c>
      <c r="C192" s="96">
        <v>8030</v>
      </c>
      <c r="D192" s="156">
        <f>D184/D176/3</f>
        <v>11.829989597265566</v>
      </c>
      <c r="E192" s="156">
        <f>E184/E176/3</f>
        <v>14.421376811594202</v>
      </c>
      <c r="F192" s="148">
        <f t="shared" si="49"/>
        <v>2.5913872143286358</v>
      </c>
      <c r="G192" s="141">
        <f t="shared" si="47"/>
        <v>0.21905236627829497</v>
      </c>
      <c r="H192" s="156">
        <f t="shared" ref="H192:I199" si="51">H184/H176/6</f>
        <v>11.300668747213551</v>
      </c>
      <c r="I192" s="156">
        <f t="shared" si="51"/>
        <v>13.80575526506899</v>
      </c>
      <c r="J192" s="148">
        <f t="shared" si="50"/>
        <v>2.5050865178554389</v>
      </c>
      <c r="K192" s="141">
        <f t="shared" si="48"/>
        <v>0.22167595333445445</v>
      </c>
      <c r="L192" s="24"/>
      <c r="M192" s="139"/>
    </row>
    <row r="193" spans="1:12" s="32" customFormat="1" ht="21" customHeight="1" thickBot="1">
      <c r="A193" s="65" t="s">
        <v>18</v>
      </c>
      <c r="B193" s="69">
        <f t="shared" si="46"/>
        <v>159</v>
      </c>
      <c r="C193" s="97" t="s">
        <v>191</v>
      </c>
      <c r="D193" s="156">
        <f>D185/D177/3</f>
        <v>75.466666666666669</v>
      </c>
      <c r="E193" s="156">
        <f>E185/E177/3</f>
        <v>75.466666666666669</v>
      </c>
      <c r="F193" s="148">
        <f t="shared" si="49"/>
        <v>0</v>
      </c>
      <c r="G193" s="141">
        <f t="shared" si="47"/>
        <v>0</v>
      </c>
      <c r="H193" s="156">
        <f t="shared" si="51"/>
        <v>74.583333333333329</v>
      </c>
      <c r="I193" s="156">
        <f t="shared" si="51"/>
        <v>74.583333333333329</v>
      </c>
      <c r="J193" s="148">
        <f t="shared" si="50"/>
        <v>0</v>
      </c>
      <c r="K193" s="141">
        <f t="shared" si="48"/>
        <v>0</v>
      </c>
      <c r="L193" s="24"/>
    </row>
    <row r="194" spans="1:12" s="32" customFormat="1" ht="21" customHeight="1" thickBot="1">
      <c r="A194" s="65" t="s">
        <v>129</v>
      </c>
      <c r="B194" s="70">
        <f t="shared" si="46"/>
        <v>160</v>
      </c>
      <c r="C194" s="97" t="s">
        <v>192</v>
      </c>
      <c r="D194" s="156">
        <f t="shared" ref="D194:E199" si="52">D186/D178/3</f>
        <v>15.133333333333333</v>
      </c>
      <c r="E194" s="156">
        <f t="shared" si="52"/>
        <v>30.266666666666666</v>
      </c>
      <c r="F194" s="148">
        <f t="shared" si="49"/>
        <v>15.133333333333333</v>
      </c>
      <c r="G194" s="141">
        <f t="shared" si="47"/>
        <v>1</v>
      </c>
      <c r="H194" s="156">
        <f t="shared" si="51"/>
        <v>16.400000000000002</v>
      </c>
      <c r="I194" s="156">
        <f t="shared" si="51"/>
        <v>32.800000000000004</v>
      </c>
      <c r="J194" s="148">
        <f t="shared" si="50"/>
        <v>16.400000000000002</v>
      </c>
      <c r="K194" s="141">
        <f t="shared" si="48"/>
        <v>1</v>
      </c>
      <c r="L194" s="24"/>
    </row>
    <row r="195" spans="1:12" s="32" customFormat="1" ht="21" customHeight="1" thickBot="1">
      <c r="A195" s="72" t="s">
        <v>76</v>
      </c>
      <c r="B195" s="70">
        <f t="shared" si="46"/>
        <v>161</v>
      </c>
      <c r="C195" s="97" t="s">
        <v>193</v>
      </c>
      <c r="D195" s="156">
        <f t="shared" si="52"/>
        <v>16.068453608247424</v>
      </c>
      <c r="E195" s="156">
        <f t="shared" si="52"/>
        <v>18.323615464994777</v>
      </c>
      <c r="F195" s="148">
        <f t="shared" si="49"/>
        <v>2.2551618567473533</v>
      </c>
      <c r="G195" s="141">
        <f t="shared" si="47"/>
        <v>0.14034716169512731</v>
      </c>
      <c r="H195" s="156">
        <f t="shared" si="51"/>
        <v>15.457235321312991</v>
      </c>
      <c r="I195" s="156">
        <f t="shared" si="51"/>
        <v>17.523008385744237</v>
      </c>
      <c r="J195" s="148">
        <f t="shared" si="50"/>
        <v>2.0657730644312462</v>
      </c>
      <c r="K195" s="141">
        <f t="shared" si="48"/>
        <v>0.13364440803866678</v>
      </c>
      <c r="L195" s="25"/>
    </row>
    <row r="196" spans="1:12" s="21" customFormat="1" ht="21" customHeight="1" thickBot="1">
      <c r="A196" s="72" t="s">
        <v>77</v>
      </c>
      <c r="B196" s="70">
        <f t="shared" si="46"/>
        <v>162</v>
      </c>
      <c r="C196" s="97" t="s">
        <v>194</v>
      </c>
      <c r="D196" s="156">
        <f t="shared" si="52"/>
        <v>22.06851851851852</v>
      </c>
      <c r="E196" s="156">
        <f t="shared" si="52"/>
        <v>24.827083333333334</v>
      </c>
      <c r="F196" s="148">
        <f t="shared" si="49"/>
        <v>2.7585648148148145</v>
      </c>
      <c r="G196" s="141">
        <f t="shared" si="47"/>
        <v>0.12499999999999999</v>
      </c>
      <c r="H196" s="156">
        <f t="shared" si="51"/>
        <v>21.324074074074073</v>
      </c>
      <c r="I196" s="156">
        <f t="shared" si="51"/>
        <v>23.989583333333332</v>
      </c>
      <c r="J196" s="148">
        <f t="shared" si="50"/>
        <v>2.6655092592592595</v>
      </c>
      <c r="K196" s="141">
        <f t="shared" si="48"/>
        <v>0.12500000000000003</v>
      </c>
      <c r="L196" s="33"/>
    </row>
    <row r="197" spans="1:12" s="32" customFormat="1" ht="21" customHeight="1" thickBot="1">
      <c r="A197" s="72" t="s">
        <v>78</v>
      </c>
      <c r="B197" s="70">
        <f t="shared" si="46"/>
        <v>163</v>
      </c>
      <c r="C197" s="97" t="s">
        <v>195</v>
      </c>
      <c r="D197" s="156">
        <f t="shared" si="52"/>
        <v>10.319436924742826</v>
      </c>
      <c r="E197" s="156">
        <f t="shared" si="52"/>
        <v>12.706666666666665</v>
      </c>
      <c r="F197" s="148">
        <f t="shared" si="49"/>
        <v>2.3872297419238393</v>
      </c>
      <c r="G197" s="141">
        <f t="shared" si="47"/>
        <v>0.23133333333333322</v>
      </c>
      <c r="H197" s="156">
        <f t="shared" si="51"/>
        <v>9.8173629951166568</v>
      </c>
      <c r="I197" s="156">
        <f t="shared" si="51"/>
        <v>12.094518716577539</v>
      </c>
      <c r="J197" s="148">
        <f t="shared" si="50"/>
        <v>2.2771557214608826</v>
      </c>
      <c r="K197" s="141">
        <f t="shared" si="48"/>
        <v>0.23195187165775405</v>
      </c>
      <c r="L197" s="23"/>
    </row>
    <row r="198" spans="1:12" s="32" customFormat="1" ht="21" customHeight="1" thickBot="1">
      <c r="A198" s="72" t="s">
        <v>79</v>
      </c>
      <c r="B198" s="70">
        <f t="shared" si="46"/>
        <v>164</v>
      </c>
      <c r="C198" s="98" t="s">
        <v>196</v>
      </c>
      <c r="D198" s="156">
        <f t="shared" si="52"/>
        <v>6.1870469399881154</v>
      </c>
      <c r="E198" s="156">
        <f t="shared" si="52"/>
        <v>8.2641269841269835</v>
      </c>
      <c r="F198" s="148">
        <f t="shared" si="49"/>
        <v>2.0770800441388682</v>
      </c>
      <c r="G198" s="141">
        <f t="shared" si="47"/>
        <v>0.33571428571428585</v>
      </c>
      <c r="H198" s="156">
        <f t="shared" si="51"/>
        <v>5.6477663230240545</v>
      </c>
      <c r="I198" s="156">
        <f t="shared" si="51"/>
        <v>7.7523584905660377</v>
      </c>
      <c r="J198" s="148">
        <f t="shared" si="50"/>
        <v>2.1045921675419832</v>
      </c>
      <c r="K198" s="141">
        <f t="shared" si="48"/>
        <v>0.3726415094339624</v>
      </c>
      <c r="L198" s="24"/>
    </row>
    <row r="199" spans="1:12" s="32" customFormat="1" ht="21" customHeight="1" thickBot="1">
      <c r="A199" s="82" t="s">
        <v>80</v>
      </c>
      <c r="B199" s="77">
        <f t="shared" si="46"/>
        <v>165</v>
      </c>
      <c r="C199" s="98" t="s">
        <v>197</v>
      </c>
      <c r="D199" s="156">
        <f t="shared" si="52"/>
        <v>9.4649089767733834</v>
      </c>
      <c r="E199" s="156">
        <f t="shared" si="52"/>
        <v>12.31830065359477</v>
      </c>
      <c r="F199" s="148">
        <f t="shared" si="49"/>
        <v>2.8533916768213867</v>
      </c>
      <c r="G199" s="141">
        <f t="shared" si="47"/>
        <v>0.30147058823529405</v>
      </c>
      <c r="H199" s="156">
        <f t="shared" si="51"/>
        <v>9.3529411764705888</v>
      </c>
      <c r="I199" s="156">
        <f t="shared" si="51"/>
        <v>12.200495049504951</v>
      </c>
      <c r="J199" s="148">
        <f t="shared" si="50"/>
        <v>2.8475538730343626</v>
      </c>
      <c r="K199" s="141">
        <f t="shared" si="48"/>
        <v>0.30445544554455445</v>
      </c>
      <c r="L199" s="24"/>
    </row>
    <row r="200" spans="1:12" ht="30.75" thickBot="1">
      <c r="A200" s="85" t="s">
        <v>82</v>
      </c>
      <c r="B200" s="68">
        <f t="shared" si="46"/>
        <v>166</v>
      </c>
      <c r="C200" s="99">
        <v>8040</v>
      </c>
      <c r="D200" s="146"/>
      <c r="E200" s="146"/>
      <c r="F200" s="148">
        <f t="shared" si="49"/>
        <v>0</v>
      </c>
      <c r="G200" s="141"/>
      <c r="H200" s="146"/>
      <c r="I200" s="146"/>
      <c r="J200" s="148">
        <f t="shared" si="50"/>
        <v>0</v>
      </c>
      <c r="K200" s="141"/>
    </row>
    <row r="201" spans="1:12" s="21" customFormat="1" ht="20.25" customHeight="1" thickBot="1">
      <c r="A201" s="65" t="s">
        <v>18</v>
      </c>
      <c r="B201" s="69">
        <f t="shared" si="46"/>
        <v>167</v>
      </c>
      <c r="C201" s="100" t="s">
        <v>198</v>
      </c>
      <c r="D201" s="180"/>
      <c r="E201" s="180"/>
      <c r="F201" s="148">
        <f t="shared" si="49"/>
        <v>0</v>
      </c>
      <c r="G201" s="141"/>
      <c r="H201" s="180"/>
      <c r="I201" s="180"/>
      <c r="J201" s="148">
        <f t="shared" si="50"/>
        <v>0</v>
      </c>
      <c r="K201" s="141"/>
      <c r="L201" s="38"/>
    </row>
    <row r="202" spans="1:12" ht="20.25" customHeight="1" thickBot="1">
      <c r="A202" s="72" t="s">
        <v>129</v>
      </c>
      <c r="B202" s="70">
        <f t="shared" si="46"/>
        <v>168</v>
      </c>
      <c r="C202" s="100" t="s">
        <v>199</v>
      </c>
      <c r="D202" s="181"/>
      <c r="E202" s="181"/>
      <c r="F202" s="148">
        <f t="shared" si="49"/>
        <v>0</v>
      </c>
      <c r="G202" s="141"/>
      <c r="H202" s="181"/>
      <c r="I202" s="181"/>
      <c r="J202" s="148">
        <f t="shared" si="50"/>
        <v>0</v>
      </c>
      <c r="K202" s="141"/>
    </row>
    <row r="203" spans="1:12" ht="20.25" customHeight="1" thickBot="1">
      <c r="A203" s="72" t="s">
        <v>76</v>
      </c>
      <c r="B203" s="70">
        <f t="shared" si="46"/>
        <v>169</v>
      </c>
      <c r="C203" s="100" t="s">
        <v>200</v>
      </c>
      <c r="D203" s="181"/>
      <c r="E203" s="181"/>
      <c r="F203" s="148">
        <f t="shared" si="49"/>
        <v>0</v>
      </c>
      <c r="G203" s="141"/>
      <c r="H203" s="181"/>
      <c r="I203" s="181"/>
      <c r="J203" s="148">
        <f t="shared" si="50"/>
        <v>0</v>
      </c>
      <c r="K203" s="141"/>
    </row>
    <row r="204" spans="1:12" ht="20.25" customHeight="1" thickBot="1">
      <c r="A204" s="72" t="s">
        <v>77</v>
      </c>
      <c r="B204" s="70">
        <f t="shared" si="46"/>
        <v>170</v>
      </c>
      <c r="C204" s="100" t="s">
        <v>201</v>
      </c>
      <c r="D204" s="136"/>
      <c r="E204" s="136"/>
      <c r="F204" s="148">
        <f t="shared" si="49"/>
        <v>0</v>
      </c>
      <c r="G204" s="141"/>
      <c r="H204" s="136"/>
      <c r="I204" s="136"/>
      <c r="J204" s="148">
        <f t="shared" si="50"/>
        <v>0</v>
      </c>
      <c r="K204" s="141"/>
    </row>
    <row r="205" spans="1:12" ht="20.25" customHeight="1" thickBot="1">
      <c r="A205" s="72" t="s">
        <v>78</v>
      </c>
      <c r="B205" s="70">
        <f t="shared" si="46"/>
        <v>171</v>
      </c>
      <c r="C205" s="100" t="s">
        <v>202</v>
      </c>
      <c r="D205" s="136"/>
      <c r="E205" s="136"/>
      <c r="F205" s="148">
        <f t="shared" si="49"/>
        <v>0</v>
      </c>
      <c r="G205" s="141"/>
      <c r="H205" s="136"/>
      <c r="I205" s="136"/>
      <c r="J205" s="148">
        <f t="shared" si="50"/>
        <v>0</v>
      </c>
      <c r="K205" s="141"/>
    </row>
    <row r="206" spans="1:12" ht="20.25" customHeight="1" thickBot="1">
      <c r="A206" s="72" t="s">
        <v>79</v>
      </c>
      <c r="B206" s="70">
        <f t="shared" si="46"/>
        <v>172</v>
      </c>
      <c r="C206" s="101" t="s">
        <v>203</v>
      </c>
      <c r="D206" s="136"/>
      <c r="E206" s="136"/>
      <c r="F206" s="148">
        <f t="shared" si="49"/>
        <v>0</v>
      </c>
      <c r="G206" s="141"/>
      <c r="H206" s="136"/>
      <c r="I206" s="136"/>
      <c r="J206" s="148">
        <f t="shared" si="50"/>
        <v>0</v>
      </c>
      <c r="K206" s="141"/>
    </row>
    <row r="207" spans="1:12" ht="20.25" customHeight="1" thickBot="1">
      <c r="A207" s="87" t="s">
        <v>80</v>
      </c>
      <c r="B207" s="77">
        <f t="shared" si="46"/>
        <v>173</v>
      </c>
      <c r="C207" s="102" t="s">
        <v>204</v>
      </c>
      <c r="D207" s="137"/>
      <c r="E207" s="137"/>
      <c r="F207" s="148">
        <f t="shared" si="49"/>
        <v>0</v>
      </c>
      <c r="G207" s="141"/>
      <c r="H207" s="137"/>
      <c r="I207" s="137"/>
      <c r="J207" s="148">
        <f t="shared" si="50"/>
        <v>0</v>
      </c>
      <c r="K207" s="141"/>
    </row>
    <row r="208" spans="1:12" s="21" customFormat="1" ht="38.25" customHeight="1">
      <c r="A208" s="34" t="s">
        <v>289</v>
      </c>
      <c r="B208" s="35"/>
      <c r="C208" s="36"/>
      <c r="D208" s="217"/>
      <c r="E208" s="217"/>
      <c r="F208" s="217"/>
      <c r="G208" s="37"/>
      <c r="H208" s="218" t="s">
        <v>290</v>
      </c>
      <c r="I208" s="218"/>
      <c r="J208" s="218"/>
      <c r="K208" s="179"/>
    </row>
    <row r="209" spans="1:8">
      <c r="B209" s="7"/>
      <c r="C209" s="7"/>
      <c r="D209" s="7"/>
      <c r="E209" s="7"/>
      <c r="G209" s="1"/>
      <c r="H209" s="1"/>
    </row>
    <row r="210" spans="1:8">
      <c r="B210" s="7"/>
      <c r="C210" s="7"/>
      <c r="D210" s="7"/>
      <c r="E210" s="7"/>
      <c r="G210" s="1"/>
      <c r="H210" s="1"/>
    </row>
    <row r="211" spans="1:8">
      <c r="B211" s="7"/>
      <c r="C211" s="7"/>
      <c r="D211" s="7"/>
      <c r="E211" s="7"/>
      <c r="G211" s="1"/>
      <c r="H211" s="1"/>
    </row>
    <row r="212" spans="1:8">
      <c r="B212" s="7"/>
      <c r="C212" s="7"/>
      <c r="D212" s="7"/>
      <c r="E212" s="7"/>
      <c r="G212" s="1"/>
      <c r="H212" s="1"/>
    </row>
    <row r="213" spans="1:8">
      <c r="B213" s="7"/>
      <c r="C213" s="7"/>
      <c r="D213" s="7"/>
      <c r="E213" s="7"/>
      <c r="G213" s="1"/>
      <c r="H213" s="1"/>
    </row>
    <row r="214" spans="1:8">
      <c r="B214" s="7"/>
      <c r="C214" s="7"/>
      <c r="D214" s="7"/>
      <c r="E214" s="7"/>
      <c r="G214" s="1"/>
      <c r="H214" s="1"/>
    </row>
    <row r="215" spans="1:8">
      <c r="B215" s="7"/>
      <c r="C215" s="7"/>
      <c r="D215" s="7"/>
      <c r="E215" s="7"/>
      <c r="G215" s="1"/>
      <c r="H215" s="1"/>
    </row>
    <row r="216" spans="1:8">
      <c r="A216" s="39"/>
      <c r="B216" s="40"/>
      <c r="C216" s="40"/>
    </row>
    <row r="217" spans="1:8">
      <c r="A217" s="39"/>
      <c r="B217" s="40"/>
      <c r="C217" s="40"/>
    </row>
    <row r="218" spans="1:8">
      <c r="A218" s="39"/>
      <c r="B218" s="40"/>
      <c r="C218" s="40"/>
    </row>
    <row r="219" spans="1:8">
      <c r="A219" s="39"/>
      <c r="B219" s="40"/>
      <c r="C219" s="40"/>
    </row>
    <row r="220" spans="1:8">
      <c r="A220" s="39"/>
      <c r="B220" s="40"/>
      <c r="C220" s="40"/>
    </row>
    <row r="221" spans="1:8">
      <c r="A221" s="39"/>
      <c r="B221" s="40"/>
      <c r="C221" s="40"/>
    </row>
    <row r="222" spans="1:8">
      <c r="A222" s="39"/>
      <c r="B222" s="40"/>
      <c r="C222" s="40"/>
    </row>
    <row r="223" spans="1:8">
      <c r="A223" s="39"/>
      <c r="B223" s="40"/>
      <c r="C223" s="40"/>
    </row>
    <row r="224" spans="1:8">
      <c r="A224" s="39"/>
      <c r="B224" s="40"/>
      <c r="C224" s="40"/>
    </row>
    <row r="225" spans="1:3">
      <c r="A225" s="39"/>
      <c r="B225" s="40"/>
      <c r="C225" s="40"/>
    </row>
    <row r="226" spans="1:3">
      <c r="A226" s="39"/>
      <c r="B226" s="40"/>
      <c r="C226" s="40"/>
    </row>
    <row r="227" spans="1:3">
      <c r="A227" s="39"/>
      <c r="B227" s="40"/>
      <c r="C227" s="40"/>
    </row>
    <row r="228" spans="1:3">
      <c r="A228" s="39"/>
      <c r="B228" s="40"/>
      <c r="C228" s="40"/>
    </row>
    <row r="229" spans="1:3">
      <c r="A229" s="39"/>
      <c r="B229" s="40"/>
      <c r="C229" s="40"/>
    </row>
    <row r="230" spans="1:3">
      <c r="A230" s="39"/>
      <c r="B230" s="40"/>
      <c r="C230" s="40"/>
    </row>
    <row r="231" spans="1:3">
      <c r="A231" s="39"/>
      <c r="B231" s="40"/>
      <c r="C231" s="40"/>
    </row>
    <row r="232" spans="1:3">
      <c r="A232" s="39"/>
      <c r="B232" s="40"/>
      <c r="C232" s="40"/>
    </row>
    <row r="233" spans="1:3">
      <c r="A233" s="39"/>
      <c r="B233" s="40"/>
      <c r="C233" s="40"/>
    </row>
    <row r="234" spans="1:3">
      <c r="A234" s="9"/>
      <c r="B234" s="40"/>
      <c r="C234" s="40"/>
    </row>
    <row r="235" spans="1:3">
      <c r="A235" s="9"/>
      <c r="B235" s="40"/>
      <c r="C235" s="40"/>
    </row>
    <row r="236" spans="1:3">
      <c r="A236" s="9"/>
      <c r="B236" s="40"/>
      <c r="C236" s="40"/>
    </row>
    <row r="237" spans="1:3">
      <c r="A237" s="9"/>
      <c r="B237" s="40"/>
      <c r="C237" s="40"/>
    </row>
    <row r="238" spans="1:3">
      <c r="A238" s="9"/>
      <c r="B238" s="40"/>
      <c r="C238" s="40"/>
    </row>
    <row r="239" spans="1:3">
      <c r="A239" s="9"/>
      <c r="B239" s="40"/>
      <c r="C239" s="40"/>
    </row>
    <row r="240" spans="1:3">
      <c r="A240" s="9"/>
      <c r="B240" s="40"/>
      <c r="C240" s="40"/>
    </row>
    <row r="241" spans="1:3">
      <c r="A241" s="9"/>
      <c r="B241" s="40"/>
      <c r="C241" s="40"/>
    </row>
    <row r="242" spans="1:3">
      <c r="A242" s="9"/>
      <c r="B242" s="40"/>
      <c r="C242" s="40"/>
    </row>
    <row r="243" spans="1:3">
      <c r="A243" s="9"/>
      <c r="B243" s="40"/>
      <c r="C243" s="40"/>
    </row>
    <row r="244" spans="1:3">
      <c r="A244" s="9"/>
      <c r="B244" s="40"/>
      <c r="C244" s="40"/>
    </row>
    <row r="245" spans="1:3">
      <c r="A245" s="9"/>
      <c r="B245" s="40"/>
      <c r="C245" s="40"/>
    </row>
    <row r="246" spans="1:3">
      <c r="A246" s="9"/>
      <c r="B246" s="40"/>
      <c r="C246" s="40"/>
    </row>
    <row r="247" spans="1:3">
      <c r="A247" s="9"/>
      <c r="B247" s="40"/>
      <c r="C247" s="40"/>
    </row>
    <row r="248" spans="1:3">
      <c r="A248" s="9"/>
      <c r="B248" s="40"/>
      <c r="C248" s="40"/>
    </row>
    <row r="249" spans="1:3">
      <c r="A249" s="9"/>
      <c r="B249" s="40"/>
      <c r="C249" s="40"/>
    </row>
    <row r="250" spans="1:3">
      <c r="A250" s="9"/>
      <c r="B250" s="40"/>
      <c r="C250" s="40"/>
    </row>
    <row r="251" spans="1:3">
      <c r="A251" s="9"/>
      <c r="B251" s="40"/>
      <c r="C251" s="40"/>
    </row>
    <row r="252" spans="1:3">
      <c r="A252" s="9"/>
      <c r="B252" s="40"/>
      <c r="C252" s="40"/>
    </row>
    <row r="253" spans="1:3">
      <c r="A253" s="9"/>
      <c r="B253" s="40"/>
      <c r="C253" s="40"/>
    </row>
    <row r="254" spans="1:3">
      <c r="A254" s="9"/>
      <c r="B254" s="40"/>
      <c r="C254" s="40"/>
    </row>
    <row r="255" spans="1:3">
      <c r="A255" s="9"/>
      <c r="B255" s="40"/>
      <c r="C255" s="40"/>
    </row>
    <row r="256" spans="1:3">
      <c r="A256" s="9"/>
      <c r="B256" s="40"/>
      <c r="C256" s="40"/>
    </row>
    <row r="257" spans="1:3">
      <c r="A257" s="9"/>
      <c r="B257" s="40"/>
      <c r="C257" s="40"/>
    </row>
    <row r="258" spans="1:3">
      <c r="A258" s="9"/>
      <c r="B258" s="40"/>
      <c r="C258" s="40"/>
    </row>
    <row r="259" spans="1:3">
      <c r="A259" s="9"/>
      <c r="B259" s="40"/>
      <c r="C259" s="40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47">
    <mergeCell ref="D208:F208"/>
    <mergeCell ref="H208:J208"/>
    <mergeCell ref="I13:J13"/>
    <mergeCell ref="I20:J20"/>
    <mergeCell ref="I21:J21"/>
    <mergeCell ref="I15:J15"/>
    <mergeCell ref="B15:F15"/>
    <mergeCell ref="I16:K16"/>
    <mergeCell ref="I17:J17"/>
    <mergeCell ref="I18:J18"/>
    <mergeCell ref="I19:J19"/>
    <mergeCell ref="C17:H17"/>
    <mergeCell ref="C16:H16"/>
    <mergeCell ref="C18:H18"/>
    <mergeCell ref="C19:H19"/>
    <mergeCell ref="C21:H21"/>
    <mergeCell ref="A32:A33"/>
    <mergeCell ref="B32:B33"/>
    <mergeCell ref="D32:G32"/>
    <mergeCell ref="H32:K32"/>
    <mergeCell ref="I26:J26"/>
    <mergeCell ref="A30:L30"/>
    <mergeCell ref="L32:L33"/>
    <mergeCell ref="C32:C33"/>
    <mergeCell ref="I22:J22"/>
    <mergeCell ref="I25:J25"/>
    <mergeCell ref="C22:H22"/>
    <mergeCell ref="C23:H23"/>
    <mergeCell ref="G1:K1"/>
    <mergeCell ref="I9:J9"/>
    <mergeCell ref="I12:J12"/>
    <mergeCell ref="I10:J10"/>
    <mergeCell ref="I11:J11"/>
    <mergeCell ref="G2:K2"/>
    <mergeCell ref="N186:R186"/>
    <mergeCell ref="M110:Q110"/>
    <mergeCell ref="M111:R111"/>
    <mergeCell ref="N184:O184"/>
    <mergeCell ref="C24:H24"/>
    <mergeCell ref="C25:H25"/>
    <mergeCell ref="C26:H26"/>
    <mergeCell ref="C27:H27"/>
    <mergeCell ref="C28:H28"/>
    <mergeCell ref="M176:N176"/>
    <mergeCell ref="N185:R185"/>
    <mergeCell ref="M98:O106"/>
    <mergeCell ref="M97:R97"/>
  </mergeCells>
  <phoneticPr fontId="3" type="noConversion"/>
  <pageMargins left="0.15166666666666667" right="0.59055118110236227" top="0.59055118110236227" bottom="0.59055118110236227" header="0.39370078740157483" footer="0.31496062992125984"/>
  <pageSetup paperSize="9" scale="53" fitToHeight="0" orientation="landscape" r:id="rId1"/>
  <headerFooter alignWithMargins="0">
    <oddFooter>&amp;C&amp;P</oddFooter>
  </headerFooter>
  <rowBreaks count="2" manualBreakCount="2">
    <brk id="42" max="10" man="1"/>
    <brk id="16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2023-09-11T13:45:21Z</cp:lastPrinted>
  <dcterms:created xsi:type="dcterms:W3CDTF">2003-03-13T16:00:22Z</dcterms:created>
  <dcterms:modified xsi:type="dcterms:W3CDTF">2023-09-14T08:13:44Z</dcterms:modified>
</cp:coreProperties>
</file>