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4\"/>
    </mc:Choice>
  </mc:AlternateContent>
  <bookViews>
    <workbookView xWindow="0" yWindow="0" windowWidth="28800" windowHeight="11430"/>
  </bookViews>
  <sheets>
    <sheet name="Аркуш1" sheetId="1" r:id="rId1"/>
  </sheets>
  <definedNames>
    <definedName name="_xlnm.Print_Titles" localSheetId="0">Аркуш1!$10:$10</definedName>
    <definedName name="_xlnm.Print_Area" localSheetId="0">Аркуш1!$A$1:$H$165</definedName>
  </definedNames>
  <calcPr calcId="162913" fullCalcOnLoad="1" refMode="R1C1"/>
</workbook>
</file>

<file path=xl/calcChain.xml><?xml version="1.0" encoding="utf-8"?>
<calcChain xmlns="http://schemas.openxmlformats.org/spreadsheetml/2006/main">
  <c r="F131" i="1" l="1"/>
  <c r="G106" i="1"/>
  <c r="F104" i="1"/>
  <c r="F94" i="1"/>
  <c r="F92" i="1"/>
  <c r="F75" i="1"/>
  <c r="F70" i="1"/>
  <c r="F66" i="1"/>
  <c r="F64" i="1"/>
  <c r="F50" i="1"/>
  <c r="F48" i="1"/>
  <c r="F46" i="1"/>
  <c r="F42" i="1"/>
  <c r="F40" i="1"/>
  <c r="F37" i="1"/>
  <c r="F35" i="1"/>
  <c r="F33" i="1"/>
  <c r="F31" i="1"/>
  <c r="F24" i="1"/>
  <c r="F18" i="1"/>
  <c r="F16" i="1"/>
  <c r="F14" i="1"/>
  <c r="F12" i="1"/>
  <c r="G154" i="1"/>
  <c r="F154" i="1"/>
  <c r="G160" i="1"/>
  <c r="H160" i="1"/>
  <c r="G161" i="1"/>
  <c r="H161" i="1"/>
  <c r="G158" i="1"/>
  <c r="G157" i="1"/>
  <c r="G159" i="1"/>
  <c r="G156" i="1"/>
  <c r="G155" i="1"/>
  <c r="H159" i="1"/>
  <c r="H158" i="1"/>
  <c r="H157" i="1"/>
  <c r="H156" i="1"/>
  <c r="H155" i="1"/>
  <c r="G151" i="1"/>
  <c r="H151" i="1"/>
  <c r="F148" i="1"/>
  <c r="G147" i="1"/>
  <c r="G146" i="1"/>
  <c r="G145" i="1"/>
  <c r="H145" i="1"/>
  <c r="G144" i="1"/>
  <c r="F144" i="1"/>
  <c r="G141" i="1"/>
  <c r="G142" i="1"/>
  <c r="G143" i="1"/>
  <c r="H143" i="1"/>
  <c r="H142" i="1"/>
  <c r="F140" i="1"/>
  <c r="G139" i="1"/>
  <c r="G138" i="1"/>
  <c r="F138" i="1"/>
  <c r="G137" i="1"/>
  <c r="H137" i="1"/>
  <c r="G135" i="1"/>
  <c r="H135" i="1"/>
  <c r="G133" i="1"/>
  <c r="G131" i="1"/>
  <c r="F106" i="1"/>
  <c r="G119" i="1"/>
  <c r="G118" i="1"/>
  <c r="G117" i="1"/>
  <c r="H117" i="1"/>
  <c r="G111" i="1"/>
  <c r="H111" i="1"/>
  <c r="G129" i="1"/>
  <c r="H129" i="1"/>
  <c r="G126" i="1"/>
  <c r="G128" i="1"/>
  <c r="H128" i="1"/>
  <c r="G130" i="1"/>
  <c r="H130" i="1"/>
  <c r="G127" i="1"/>
  <c r="H127" i="1"/>
  <c r="G123" i="1"/>
  <c r="G122" i="1"/>
  <c r="H122" i="1"/>
  <c r="G121" i="1"/>
  <c r="H121" i="1"/>
  <c r="G124" i="1"/>
  <c r="H124" i="1"/>
  <c r="G110" i="1"/>
  <c r="G112" i="1"/>
  <c r="H112" i="1"/>
  <c r="G116" i="1"/>
  <c r="H116" i="1"/>
  <c r="G114" i="1"/>
  <c r="H114" i="1"/>
  <c r="G115" i="1"/>
  <c r="H115" i="1"/>
  <c r="H139" i="1"/>
  <c r="H126" i="1"/>
  <c r="H123" i="1"/>
  <c r="H119" i="1"/>
  <c r="H118" i="1"/>
  <c r="G103" i="1"/>
  <c r="H103" i="1"/>
  <c r="G102" i="1"/>
  <c r="G101" i="1"/>
  <c r="H101" i="1"/>
  <c r="G100" i="1"/>
  <c r="H100" i="1"/>
  <c r="G99" i="1"/>
  <c r="H99" i="1"/>
  <c r="G98" i="1"/>
  <c r="H98" i="1"/>
  <c r="G97" i="1"/>
  <c r="G96" i="1"/>
  <c r="H96" i="1"/>
  <c r="G95" i="1"/>
  <c r="H95" i="1"/>
  <c r="H102" i="1"/>
  <c r="H97" i="1"/>
  <c r="G89" i="1"/>
  <c r="G91" i="1"/>
  <c r="H91" i="1"/>
  <c r="G90" i="1"/>
  <c r="H90" i="1"/>
  <c r="G88" i="1"/>
  <c r="H88" i="1"/>
  <c r="G87" i="1"/>
  <c r="H87" i="1"/>
  <c r="G86" i="1"/>
  <c r="H86" i="1"/>
  <c r="G85" i="1"/>
  <c r="H85" i="1"/>
  <c r="G84" i="1"/>
  <c r="H84" i="1"/>
  <c r="G83" i="1"/>
  <c r="H83" i="1"/>
  <c r="G82" i="1"/>
  <c r="H82" i="1"/>
  <c r="G81" i="1"/>
  <c r="H81" i="1"/>
  <c r="G80" i="1"/>
  <c r="H80" i="1"/>
  <c r="G79" i="1"/>
  <c r="H79" i="1"/>
  <c r="G78" i="1"/>
  <c r="H78" i="1"/>
  <c r="G77" i="1"/>
  <c r="H77" i="1"/>
  <c r="G76" i="1"/>
  <c r="H76" i="1"/>
  <c r="H89" i="1"/>
  <c r="G71" i="1"/>
  <c r="G70" i="1"/>
  <c r="H72" i="1"/>
  <c r="G67" i="1"/>
  <c r="G66" i="1"/>
  <c r="G64" i="1"/>
  <c r="F61" i="1"/>
  <c r="F59" i="1"/>
  <c r="G63" i="1"/>
  <c r="G62" i="1"/>
  <c r="H62" i="1"/>
  <c r="F56" i="1"/>
  <c r="F54" i="1"/>
  <c r="H141" i="1"/>
  <c r="H109" i="1"/>
  <c r="H108" i="1"/>
  <c r="H107" i="1"/>
  <c r="H105" i="1"/>
  <c r="H60" i="1"/>
  <c r="H55" i="1"/>
  <c r="G58" i="1"/>
  <c r="H58" i="1"/>
  <c r="G57" i="1"/>
  <c r="G27" i="1"/>
  <c r="G25" i="1"/>
  <c r="G24" i="1"/>
  <c r="G20" i="1"/>
  <c r="G23" i="1"/>
  <c r="H23" i="1"/>
  <c r="G21" i="1"/>
  <c r="H21" i="1"/>
  <c r="H28" i="1"/>
  <c r="H22" i="1"/>
  <c r="H19" i="1"/>
  <c r="H17" i="1"/>
  <c r="G51" i="1"/>
  <c r="G50" i="1"/>
  <c r="G49" i="1"/>
  <c r="G48" i="1"/>
  <c r="G45" i="1"/>
  <c r="H45" i="1"/>
  <c r="G44" i="1"/>
  <c r="H44" i="1"/>
  <c r="G43" i="1"/>
  <c r="H43" i="1"/>
  <c r="G15" i="1"/>
  <c r="G14" i="1"/>
  <c r="G12" i="1"/>
  <c r="G39" i="1"/>
  <c r="H39" i="1"/>
  <c r="G38" i="1"/>
  <c r="G34" i="1"/>
  <c r="G33" i="1"/>
  <c r="G31" i="1"/>
  <c r="G152" i="1"/>
  <c r="H154" i="1"/>
  <c r="H147" i="1"/>
  <c r="H138" i="1"/>
  <c r="H144" i="1"/>
  <c r="G150" i="1"/>
  <c r="H150" i="1"/>
  <c r="F152" i="1"/>
  <c r="H110" i="1"/>
  <c r="G140" i="1"/>
  <c r="G148" i="1"/>
  <c r="H148" i="1"/>
  <c r="H131" i="1"/>
  <c r="H133" i="1"/>
  <c r="G94" i="1"/>
  <c r="G92" i="1"/>
  <c r="G75" i="1"/>
  <c r="G73" i="1"/>
  <c r="G37" i="1"/>
  <c r="G35" i="1"/>
  <c r="H67" i="1"/>
  <c r="G61" i="1"/>
  <c r="G59" i="1"/>
  <c r="H59" i="1"/>
  <c r="G18" i="1"/>
  <c r="H18" i="1"/>
  <c r="G56" i="1"/>
  <c r="G54" i="1"/>
  <c r="H54" i="1"/>
  <c r="H20" i="1"/>
  <c r="H24" i="1"/>
  <c r="H49" i="1"/>
  <c r="H57" i="1"/>
  <c r="H15" i="1"/>
  <c r="H25" i="1"/>
  <c r="G26" i="1"/>
  <c r="H63" i="1"/>
  <c r="H38" i="1"/>
  <c r="H48" i="1"/>
  <c r="H71" i="1"/>
  <c r="F73" i="1"/>
  <c r="G68" i="1"/>
  <c r="H70" i="1"/>
  <c r="F68" i="1"/>
  <c r="H64" i="1"/>
  <c r="H66" i="1"/>
  <c r="H12" i="1"/>
  <c r="H14" i="1"/>
  <c r="H51" i="1"/>
  <c r="G42" i="1"/>
  <c r="G46" i="1"/>
  <c r="H50" i="1"/>
  <c r="H34" i="1"/>
  <c r="H33" i="1"/>
  <c r="F162" i="1"/>
  <c r="H152" i="1"/>
  <c r="G104" i="1"/>
  <c r="G162" i="1"/>
  <c r="G163" i="1"/>
  <c r="H73" i="1"/>
  <c r="H75" i="1"/>
  <c r="H92" i="1"/>
  <c r="H94" i="1"/>
  <c r="H37" i="1"/>
  <c r="G16" i="1"/>
  <c r="G29" i="1"/>
  <c r="H61" i="1"/>
  <c r="H56" i="1"/>
  <c r="H46" i="1"/>
  <c r="H68" i="1"/>
  <c r="H42" i="1"/>
  <c r="G40" i="1"/>
  <c r="H31" i="1"/>
  <c r="H35" i="1"/>
  <c r="G52" i="1"/>
  <c r="H40" i="1"/>
  <c r="F27" i="1"/>
  <c r="H140" i="1"/>
  <c r="H106" i="1"/>
  <c r="F146" i="1"/>
  <c r="H146" i="1"/>
  <c r="F26" i="1"/>
  <c r="H27" i="1"/>
  <c r="H104" i="1"/>
  <c r="H26" i="1"/>
  <c r="F29" i="1"/>
  <c r="H16" i="1"/>
  <c r="H162" i="1"/>
  <c r="F52" i="1"/>
  <c r="H29" i="1"/>
  <c r="H52" i="1"/>
  <c r="F163" i="1"/>
  <c r="H163" i="1"/>
</calcChain>
</file>

<file path=xl/sharedStrings.xml><?xml version="1.0" encoding="utf-8"?>
<sst xmlns="http://schemas.openxmlformats.org/spreadsheetml/2006/main" count="259" uniqueCount="156">
  <si>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</si>
  <si>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</si>
  <si>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</si>
  <si>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</si>
  <si>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</si>
  <si>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проєкту</t>
  </si>
  <si>
    <t>Всього капітальних вкладень:</t>
  </si>
  <si>
    <t>Обсяг капітальних вкладень місцевого бюджету у 2023 році, гривень</t>
  </si>
  <si>
    <t>Обсяги капітальних вкладень бюджету у розрізі інвестиційних проектів у 2023 році</t>
  </si>
  <si>
    <t>0490</t>
  </si>
  <si>
    <t>Управління капітального будівництва міської ради</t>
  </si>
  <si>
    <t>0443</t>
  </si>
  <si>
    <t>1517330</t>
  </si>
  <si>
    <t>7330</t>
  </si>
  <si>
    <t>Бюджет розвитку</t>
  </si>
  <si>
    <t xml:space="preserve">Проект НЕФКО "Підвищення енергоефективності об'єктів бюджетної сфери м.Івано-Франківська"(кредитні кошти) </t>
  </si>
  <si>
    <t>1517370</t>
  </si>
  <si>
    <t>7370</t>
  </si>
  <si>
    <t>Реалізація інших заходів щодо соціально-економічного розвитку територій</t>
  </si>
  <si>
    <t>Розвиток соціально-економічної та інженерно-транспортної інфраструктури міста</t>
  </si>
  <si>
    <t>Разом по бюджету розвитку:</t>
  </si>
  <si>
    <t>Кошти, що передаються із загального фонду до бюджету розвитку</t>
  </si>
  <si>
    <t xml:space="preserve">Проект НЕФКО "Підвищення енергоефективності об'єктів бюджетної сфери м.Івано-Франківська"(співфінансування) </t>
  </si>
  <si>
    <t>Додаток 6</t>
  </si>
  <si>
    <t>до рішення________ міської ради</t>
  </si>
  <si>
    <t>від ____________№_____</t>
  </si>
  <si>
    <t>(код бюджету)</t>
  </si>
  <si>
    <t>1517310</t>
  </si>
  <si>
    <t>7310</t>
  </si>
  <si>
    <t>Будівництво об'єктів житлово-комунального господарства</t>
  </si>
  <si>
    <t>Будівництво доріг</t>
  </si>
  <si>
    <t>Будівництво моста через річку Бистриця Солотвинська та транспортної розв'язки в районі вул. Хіміків - Надрічна /ПВР + роботи/ ( І черга – «Будівництво транспортної розв’язки по вул. Надрічна в м. Івано-Франківську /ПВР + роботи/»)</t>
  </si>
  <si>
    <t>Будівництво моста через річку Бистриця Солотвинська та транспортної розв'язки в районі вул. Хіміків - Надрічна /ПВР + роботи/ (ІІ черга – «Будівництво вулиці Хіміків на ділянці від ЗОШ № 24 до річки Бистриця Солотвинська в м. Івано-Франківську /ПВР + роботи/»)</t>
  </si>
  <si>
    <t>Будівництво моста через річку Бистриця Солотвинська та транспортної розв'язки в районі вул. Хіміків - Надрічна /ПВР + роботи/ (ІІІ черга – «Будівництво моста через річку Бистриця Солотвинська в районі вул. Хіміків - Надрічна /ПВР + роботи/»)</t>
  </si>
  <si>
    <t xml:space="preserve">Секретар міської ради </t>
  </si>
  <si>
    <t>Віктор СИНИШИН</t>
  </si>
  <si>
    <t xml:space="preserve">  0953300000  </t>
  </si>
  <si>
    <t>Будівництво інших об'єктів комунальної власності</t>
  </si>
  <si>
    <t>Співфінансування Проектів НЕФКО і ЄС</t>
  </si>
  <si>
    <t>Зміни, що вносяться (+,-)</t>
  </si>
  <si>
    <t>Уточнений обсяг капітальних вкладень місцевого бюджету у бюджетному періоді, гривень</t>
  </si>
  <si>
    <t>Субвенції з обласного бюджету</t>
  </si>
  <si>
    <t>0600000</t>
  </si>
  <si>
    <t>Департамент освіти та науки  Івано-Франківської міської ради</t>
  </si>
  <si>
    <t>0610000</t>
  </si>
  <si>
    <t>0617321</t>
  </si>
  <si>
    <t>7321</t>
  </si>
  <si>
    <t>Будівництво освітніх установ та закладів</t>
  </si>
  <si>
    <t>0700000</t>
  </si>
  <si>
    <t xml:space="preserve">Управління охорони здоров'я Івано-Франківської міської ради </t>
  </si>
  <si>
    <t>0710000</t>
  </si>
  <si>
    <t>Всього по бюджету розвитку разом з субвенціями</t>
  </si>
  <si>
    <t>Програма освіта Івано-Франківської міської територіальної громади 2021-2025 роки</t>
  </si>
  <si>
    <t>Субвенція з обласного бюджету на капітальний ремонт спортивного майданчика Ліцею №5 Івано-Франківської міської ради</t>
  </si>
  <si>
    <t>Департамент інфраструктури, житлової та комунальної політики міської ради</t>
  </si>
  <si>
    <t>1217310</t>
  </si>
  <si>
    <t>Субвенція з обласного бюджету на проведення заходів з енергозбереження (встановлення енергозберігаючих вікон в третьому підїзді на вул. Чорновола буд. 115 в м.Івано-Франківську Івано-Франківської територіальної громади)</t>
  </si>
  <si>
    <t>Субвенція з обласного бюджету на проведення заходів з енергозбереження (встановлення енергозберігаючих вікон в четвертому підїзді на вул. Чорновола буд.115 в м.Івано-Франківську Івано-Франківської територіальної громади)</t>
  </si>
  <si>
    <t>1400000</t>
  </si>
  <si>
    <t>Департамент  благоустрою Івано-Франківської міської ради</t>
  </si>
  <si>
    <t>1410000</t>
  </si>
  <si>
    <t>1417310</t>
  </si>
  <si>
    <t>Капітальний ремонт, реконструкція та будівництво об`єктів благоустрою</t>
  </si>
  <si>
    <t>Субвенція з обласного бюджету на капітальний ремонт каналізаційної системи біля будинку № 53 по вул. Д. Галицького в с. Крихівці Івано-Франківської міської ради</t>
  </si>
  <si>
    <t>Субвенція з обласного бюджету на капітальний ремонт території біля багатоквартирних будинків № 50,53 по вул. Д. Галицького в с. Крихівці Івано-Франківської міської ради</t>
  </si>
  <si>
    <t>Субвенція з обласного бюджету на капітальний ремонт території біля багатоквартирного будинку № 55 по вул. Д. Галицького в с. Крихівці Івано-Франківської міської ради</t>
  </si>
  <si>
    <t>Субвенція з обласного бюджету на реконструкцію водопроводу по вулиці Кобилянської від вулиці Богунська до вулиці Тарнавського у місті Івано-Франківську</t>
  </si>
  <si>
    <t>Субвенція з обласного бюджету на виготовлення проектної документації «Нове будівництво храму релігійної громади (парафії) Благовіщення Пречистої Діви Марії УГКЦ с. Чукалівка Тисменицького району Івано-Франківської області (на виконання заходів регіональної цільової програми «Духовне життя» на 2022-26 роки)</t>
  </si>
  <si>
    <t>Будівництво інших об'єктів</t>
  </si>
  <si>
    <t>Нове будівництво футбольного поля в м. Івано-Франківську (в районі Пасічної поблизу так званого «Німецького озера»)</t>
  </si>
  <si>
    <t>Будівництво каналізаційної мережі в с. Хриплин Івано-Франківської міської ради</t>
  </si>
  <si>
    <t>Капітальний ремонт об'єктів транспортної інфраструктури міста</t>
  </si>
  <si>
    <t>Капітальний ремонт вул. Надрічна (старої частини) в м. Івано-Франківську</t>
  </si>
  <si>
    <t>1517321</t>
  </si>
  <si>
    <t>Дитячий садок в с. Крихівці Івано-Франківської міської ради (нове будівництво)</t>
  </si>
  <si>
    <t>0200000</t>
  </si>
  <si>
    <t>Виконавчий комітет міської ради</t>
  </si>
  <si>
    <t>0210000</t>
  </si>
  <si>
    <t>0217330</t>
  </si>
  <si>
    <t>Будівництво інших об'єктів комунальної власності</t>
  </si>
  <si>
    <t>Капітальний ремонт приміщення ЦНАПу за адресою с. Узин, вул. Молодіжна, 16а</t>
  </si>
  <si>
    <t>Капітальний ремонт адміністративного приміщення для розміщення територіального підрозділу ЦНАП в с. Радча Івано-Франківської міської ради</t>
  </si>
  <si>
    <t>Міська цільова програма "Партиципаторне бюджетування (бюджет участі) у м.Івано-Франківськ"</t>
  </si>
  <si>
    <t>0717322</t>
  </si>
  <si>
    <t>7322</t>
  </si>
  <si>
    <t>Будівництво медичних установ та закладів</t>
  </si>
  <si>
    <t>Програма розвитку та фінансової підтримки закладів охорони здоров'я Івано-Франківської міської ради</t>
  </si>
  <si>
    <t>1000000</t>
  </si>
  <si>
    <t>Департамент культури  Івано-Франківської міської ради</t>
  </si>
  <si>
    <t>1010000</t>
  </si>
  <si>
    <t>1017324</t>
  </si>
  <si>
    <t>7324</t>
  </si>
  <si>
    <t>Будівництво установ та закладів культури</t>
  </si>
  <si>
    <t>Комплексна програма підтримки та розвитку культури Івано-Франківської міської територіальної громади на 2021-2025 роки</t>
  </si>
  <si>
    <t>Будівництво та реконструкція об'єктів житлово-комунального господарства</t>
  </si>
  <si>
    <t>Встановлення лавок, урн та інших МАФ</t>
  </si>
  <si>
    <t>Капітальний  ремонт скверів (парків)</t>
  </si>
  <si>
    <t>Капітальний ремонт міжбудинкових проїздів та прибудинкових територій</t>
  </si>
  <si>
    <t>Капітальний ремонт об'єктів благоустрою</t>
  </si>
  <si>
    <t>Капітальний ремонт та реконструкція об'єктів зовнішнього освітлення міста</t>
  </si>
  <si>
    <t>Капітальний ремонт тротуарів та пішохідних доріжок</t>
  </si>
  <si>
    <t>Капітальний ремонт, будівництво та реконструкція вулиць та доріг міста</t>
  </si>
  <si>
    <t>Капітальний ремонт, будівництво та реконструкція житлових будинків (приміщень)</t>
  </si>
  <si>
    <t>Капітальний ремонт, будівництво та реконструкція об'єктів водопровідно-каналізаційного господарства</t>
  </si>
  <si>
    <t>Капітальний ремонт, будівництво та реконструкція світлофорних об'єктів</t>
  </si>
  <si>
    <t>Нанесення дорожньої розмітки</t>
  </si>
  <si>
    <t>Облаштування "острівців безпеки", чокерів та понижень на пішохідних переходах</t>
  </si>
  <si>
    <t>Фонд старости</t>
  </si>
  <si>
    <t>Міський конкурс проєктів та програм розвитку місцевого самоврядування та громадянського суспільства</t>
  </si>
  <si>
    <t>Капітальний ремонт скверів</t>
  </si>
  <si>
    <t>Капітальний ремонт, будівництво та реконструкція міжбудинкових проїздів та прибудинкових території</t>
  </si>
  <si>
    <t>Капітальний ремонт, будівництво, реконструкція доріг та вулиць</t>
  </si>
  <si>
    <t>Встановлення дитячих, ігрових та спортивних майданчиків на території Івано-Франківської МТГ</t>
  </si>
  <si>
    <t>Капітальний ремонт, реконструкція та будівництво тротуарів та пішохідних доріжок</t>
  </si>
  <si>
    <t>Реконструкція каналізаційної мережі та споруд на них у с. Підпечери Івано-Франківської міської територіальної громади (співфінансування)</t>
  </si>
  <si>
    <t>Нове будівництво вул. Просвіти в житловому масиві "Пасічна" у м. Івано-Франківську</t>
  </si>
  <si>
    <t>Будівництво Північного бульвару на ділянці від вул. Бельведерської до вул. Панаса Мирного</t>
  </si>
  <si>
    <t>Будівництво каналізаційної мережі в селі Угорники Івано-Франківської міської ради</t>
  </si>
  <si>
    <t>Будівництво комплексного спортивного майданчика з полями для ігрових видів спорту в районі вулиць Симоненка,3в-Вовчинецька,202в в м.Івано-Франківську</t>
  </si>
  <si>
    <t>Нове будівництво каналізаційної мережі в селі Угорники Івано-Франківської міської ради (Коригування)</t>
  </si>
  <si>
    <t>Нове будівництво мереж водопостачання та господарсько-побутової каналізації на вул. Автоливмашівська в районі житлових будинків №90-138 у с. Хриплин Івано-Франківської області</t>
  </si>
  <si>
    <t>Капітальний ремонт вул. Макогона</t>
  </si>
  <si>
    <t>Капітальний ремонт вул. Хіміків (від вул. Целевича до вул. Просвіти) в м. Івано-Франківську</t>
  </si>
  <si>
    <t>Капітальний ремонт вул. Виговського</t>
  </si>
  <si>
    <t>Капітальний ремонт інших об'єктів</t>
  </si>
  <si>
    <t>Капітальний ремонт заїзду до дитячого садка на вул. Г. Хоткевича, 11А в м. Івано-Франківську</t>
  </si>
  <si>
    <t>Капітальний ремонт мереж зовнішнього освітлення дворових територій ЗШ та ДНЗ</t>
  </si>
  <si>
    <t>Капітальний ремонт тротуарів до дитячого садка на вул. Г. Хоткевича, 11А в м. Івано-Франківську</t>
  </si>
  <si>
    <t>Капітальний ремонт мереж зовнішнього освітлення вул. C. Бандери в м.Івано-Франківську</t>
  </si>
  <si>
    <t>Будівництво</t>
  </si>
  <si>
    <t>Капітальний ремонт Тисменичанського закладу дошкільної освіти (ясла-садок) "Їжачок" Івано-Франківської міської ради</t>
  </si>
  <si>
    <t>Реконструкція</t>
  </si>
  <si>
    <t>Реконструкція дитячого садка на вулиці Гната Хоткевича, 11А в м. Івано-Франківську</t>
  </si>
  <si>
    <t>Капітальний ремонт</t>
  </si>
  <si>
    <t>1517324</t>
  </si>
  <si>
    <t>Капітальний ремонт Народного дому в с. Микитинці Івано-Франківської міської ради (ПВР)</t>
  </si>
  <si>
    <t>Нове будівництво малого групового будинку в урочищі "Шнури", с. Братківці, м. Івано-Франківськ</t>
  </si>
  <si>
    <t>Влаштування кованої скульптури «Дерево Незалежності» у сквері, поруч Вічевого майдану</t>
  </si>
  <si>
    <t>1517340</t>
  </si>
  <si>
    <t>7340</t>
  </si>
  <si>
    <t>Проектування, реставрація та охорона пам'яток архітектури</t>
  </si>
  <si>
    <t>Ремонтно-реставраційні роботи на І поверсі центрального корпусу Івано-Франківського комунального закладу "Міська поліклініка №3" на вул. Івана Франка, 30 в м. Івано-Франківську</t>
  </si>
  <si>
    <t>1600000</t>
  </si>
  <si>
    <t>Департамент містобудування та архітектури  Івано-Франківської міської ради</t>
  </si>
  <si>
    <t>1610000</t>
  </si>
  <si>
    <t>1617330</t>
  </si>
  <si>
    <t>Реконструкція нежитлових приміщень під службові приміщення, розташованих на шостому поверсі в будинку на вул. Незалежності, 9 в м. Івано-Франківську</t>
  </si>
  <si>
    <t>1900000</t>
  </si>
  <si>
    <t>Управління транспорту та зв'язку Івано-Франківської міської ради</t>
  </si>
  <si>
    <t>1910000</t>
  </si>
  <si>
    <t>1917310</t>
  </si>
  <si>
    <t>Будівництво та капітальний ремонт світлофорних об'єктів</t>
  </si>
  <si>
    <t>Виготовлення паспортів майданчиків для платного паркування</t>
  </si>
  <si>
    <t>Облаштування зупинок громадського транспорту</t>
  </si>
  <si>
    <t>Розробка проектної документації «Схеми організації дорожнього руху»</t>
  </si>
  <si>
    <t>Монтаж електронних табло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</si>
</sst>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₴_-;\-* #,##0.00\ _₴_-;_-* &quot;-&quot;??\ _₴_-;_-@_-"/>
    <numFmt numFmtId="172" formatCode="0.0"/>
    <numFmt numFmtId="173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4"/>
      <name val="Times New Roman"/>
      <family val="1"/>
      <charset val="204"/>
    </font>
    <font>
      <sz val="8"/>
      <name val="Arial"/>
      <family val="2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"/>
      <family val="2"/>
      <charset val="204"/>
    </font>
    <font>
      <i/>
      <sz val="16"/>
      <name val="Times New Roman"/>
      <family val="1"/>
      <charset val="204"/>
    </font>
    <font>
      <sz val="10"/>
      <name val="Arial Cyr"/>
      <charset val="204"/>
    </font>
    <font>
      <b/>
      <u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3" fillId="0" borderId="0"/>
    <xf numFmtId="0" fontId="8" fillId="0" borderId="0"/>
    <xf numFmtId="17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136">
    <xf numFmtId="0" fontId="0" fillId="0" borderId="0" xfId="0"/>
    <xf numFmtId="3" fontId="2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49" fontId="3" fillId="0" borderId="0" xfId="4" applyNumberFormat="1" applyFont="1" applyFill="1" applyBorder="1" applyAlignment="1">
      <alignment horizontal="center" vertical="center" wrapText="1" shrinkToFit="1"/>
    </xf>
    <xf numFmtId="0" fontId="2" fillId="0" borderId="0" xfId="4" applyFont="1" applyFill="1" applyBorder="1" applyAlignment="1">
      <alignment vertical="center" wrapText="1"/>
    </xf>
    <xf numFmtId="0" fontId="2" fillId="0" borderId="0" xfId="4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0" fontId="5" fillId="0" borderId="0" xfId="4" applyFont="1" applyFill="1" applyBorder="1" applyAlignment="1">
      <alignment vertical="center" wrapText="1"/>
    </xf>
    <xf numFmtId="0" fontId="5" fillId="0" borderId="0" xfId="4" applyFont="1" applyFill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 shrinkToFit="1"/>
    </xf>
    <xf numFmtId="49" fontId="1" fillId="0" borderId="1" xfId="0" applyNumberFormat="1" applyFont="1" applyFill="1" applyBorder="1" applyAlignment="1" applyProtection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49" fontId="3" fillId="3" borderId="0" xfId="0" applyNumberFormat="1" applyFont="1" applyFill="1" applyBorder="1" applyAlignment="1">
      <alignment horizontal="center" vertical="center" wrapText="1" shrinkToFit="1"/>
    </xf>
    <xf numFmtId="0" fontId="2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72" fontId="2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3" fillId="0" borderId="0" xfId="4" applyNumberFormat="1" applyFont="1" applyFill="1" applyBorder="1" applyAlignment="1">
      <alignment horizontal="center" vertical="center" wrapText="1" shrinkToFit="1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3" borderId="1" xfId="8" applyNumberFormat="1" applyFont="1" applyFill="1" applyBorder="1" applyAlignment="1">
      <alignment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vertical="center" wrapText="1"/>
    </xf>
    <xf numFmtId="49" fontId="7" fillId="3" borderId="0" xfId="0" applyNumberFormat="1" applyFont="1" applyFill="1" applyBorder="1" applyAlignment="1">
      <alignment horizontal="center" vertical="center" wrapText="1" shrinkToFit="1"/>
    </xf>
    <xf numFmtId="0" fontId="1" fillId="3" borderId="0" xfId="0" applyFont="1" applyFill="1" applyBorder="1" applyAlignment="1">
      <alignment vertical="center" wrapText="1" shrinkToFit="1"/>
    </xf>
    <xf numFmtId="0" fontId="1" fillId="3" borderId="0" xfId="0" applyFont="1" applyFill="1" applyAlignment="1">
      <alignment vertical="center" wrapText="1" shrinkToFit="1"/>
    </xf>
    <xf numFmtId="49" fontId="12" fillId="3" borderId="1" xfId="0" applyNumberFormat="1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 shrinkToFit="1"/>
    </xf>
    <xf numFmtId="49" fontId="1" fillId="3" borderId="0" xfId="0" applyNumberFormat="1" applyFont="1" applyFill="1" applyAlignment="1">
      <alignment vertical="center"/>
    </xf>
    <xf numFmtId="49" fontId="2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left" vertical="center" wrapText="1"/>
    </xf>
    <xf numFmtId="3" fontId="2" fillId="3" borderId="0" xfId="0" applyNumberFormat="1" applyFont="1" applyFill="1" applyBorder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 wrapText="1" shrinkToFit="1"/>
    </xf>
    <xf numFmtId="0" fontId="2" fillId="3" borderId="0" xfId="0" applyFont="1" applyFill="1" applyAlignment="1">
      <alignment horizontal="left" vertical="center" wrapText="1" shrinkToFi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vertical="center" wrapText="1"/>
    </xf>
    <xf numFmtId="0" fontId="10" fillId="3" borderId="0" xfId="0" applyFont="1" applyFill="1" applyAlignment="1">
      <alignment vertical="center"/>
    </xf>
    <xf numFmtId="49" fontId="17" fillId="3" borderId="1" xfId="0" applyNumberFormat="1" applyFont="1" applyFill="1" applyBorder="1" applyAlignment="1">
      <alignment horizontal="center" vertical="center"/>
    </xf>
    <xf numFmtId="49" fontId="17" fillId="3" borderId="1" xfId="0" applyNumberFormat="1" applyFont="1" applyFill="1" applyBorder="1" applyAlignment="1">
      <alignment horizontal="center" vertical="center" wrapText="1"/>
    </xf>
    <xf numFmtId="0" fontId="17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 shrinkToFit="1"/>
    </xf>
    <xf numFmtId="3" fontId="1" fillId="3" borderId="1" xfId="0" applyNumberFormat="1" applyFont="1" applyFill="1" applyBorder="1" applyAlignment="1">
      <alignment horizontal="center" vertical="center" wrapText="1" shrinkToFit="1"/>
    </xf>
    <xf numFmtId="0" fontId="17" fillId="3" borderId="1" xfId="0" applyNumberFormat="1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vertical="center" wrapText="1"/>
    </xf>
    <xf numFmtId="3" fontId="15" fillId="3" borderId="1" xfId="0" applyNumberFormat="1" applyFont="1" applyFill="1" applyBorder="1" applyAlignment="1">
      <alignment horizontal="center" vertical="center" wrapText="1" shrinkToFit="1"/>
    </xf>
    <xf numFmtId="49" fontId="5" fillId="3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 wrapText="1" shrinkToFit="1"/>
    </xf>
    <xf numFmtId="3" fontId="2" fillId="3" borderId="1" xfId="0" applyNumberFormat="1" applyFont="1" applyFill="1" applyBorder="1" applyAlignment="1">
      <alignment horizontal="center" vertical="center" wrapText="1" shrinkToFit="1"/>
    </xf>
    <xf numFmtId="3" fontId="5" fillId="0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49" fontId="5" fillId="0" borderId="1" xfId="4" applyNumberFormat="1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3" fontId="2" fillId="0" borderId="1" xfId="4" applyNumberFormat="1" applyFont="1" applyFill="1" applyBorder="1" applyAlignment="1">
      <alignment horizontal="center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3" fontId="4" fillId="3" borderId="1" xfId="0" applyNumberFormat="1" applyFont="1" applyFill="1" applyBorder="1" applyAlignment="1">
      <alignment horizontal="center" vertical="center" wrapText="1" shrinkToFit="1"/>
    </xf>
    <xf numFmtId="49" fontId="1" fillId="3" borderId="1" xfId="0" applyNumberFormat="1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 wrapText="1"/>
    </xf>
    <xf numFmtId="3" fontId="2" fillId="3" borderId="0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left" vertical="center" wrapText="1"/>
    </xf>
    <xf numFmtId="3" fontId="2" fillId="0" borderId="0" xfId="0" applyNumberFormat="1" applyFont="1" applyFill="1" applyAlignment="1">
      <alignment horizontal="center" vertical="center"/>
    </xf>
    <xf numFmtId="0" fontId="5" fillId="3" borderId="1" xfId="0" applyNumberFormat="1" applyFont="1" applyFill="1" applyBorder="1" applyAlignment="1">
      <alignment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3" fontId="1" fillId="0" borderId="1" xfId="4" applyNumberFormat="1" applyFont="1" applyFill="1" applyBorder="1" applyAlignment="1">
      <alignment horizontal="center" vertical="center" wrapText="1"/>
    </xf>
    <xf numFmtId="3" fontId="5" fillId="0" borderId="1" xfId="4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left" vertical="top" wrapText="1" shrinkToFit="1"/>
    </xf>
    <xf numFmtId="49" fontId="18" fillId="3" borderId="1" xfId="0" applyNumberFormat="1" applyFont="1" applyFill="1" applyBorder="1" applyAlignment="1">
      <alignment horizontal="center" vertical="center"/>
    </xf>
    <xf numFmtId="49" fontId="18" fillId="3" borderId="1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 shrinkToFit="1"/>
    </xf>
    <xf numFmtId="3" fontId="5" fillId="3" borderId="1" xfId="0" applyNumberFormat="1" applyFont="1" applyFill="1" applyBorder="1" applyAlignment="1">
      <alignment horizontal="center" vertical="center"/>
    </xf>
    <xf numFmtId="49" fontId="1" fillId="3" borderId="0" xfId="0" applyNumberFormat="1" applyFont="1" applyFill="1" applyBorder="1" applyAlignment="1">
      <alignment horizontal="center" vertical="center" wrapText="1" shrinkToFit="1"/>
    </xf>
    <xf numFmtId="49" fontId="5" fillId="3" borderId="0" xfId="0" applyNumberFormat="1" applyFont="1" applyFill="1" applyBorder="1" applyAlignment="1">
      <alignment horizontal="center" vertical="center" wrapText="1" shrinkToFit="1"/>
    </xf>
    <xf numFmtId="49" fontId="2" fillId="0" borderId="0" xfId="4" applyNumberFormat="1" applyFont="1" applyFill="1" applyBorder="1" applyAlignment="1">
      <alignment horizontal="center" vertical="center" wrapText="1" shrinkToFit="1"/>
    </xf>
    <xf numFmtId="49" fontId="5" fillId="0" borderId="0" xfId="4" applyNumberFormat="1" applyFont="1" applyFill="1" applyBorder="1" applyAlignment="1">
      <alignment horizontal="center" vertical="center" wrapText="1" shrinkToFit="1"/>
    </xf>
    <xf numFmtId="0" fontId="2" fillId="3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 shrinkToFit="1"/>
    </xf>
    <xf numFmtId="0" fontId="5" fillId="2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3" borderId="3" xfId="0" applyNumberFormat="1" applyFont="1" applyFill="1" applyBorder="1" applyAlignment="1">
      <alignment horizontal="left" vertical="center" wrapText="1"/>
    </xf>
    <xf numFmtId="0" fontId="2" fillId="3" borderId="2" xfId="0" applyNumberFormat="1" applyFont="1" applyFill="1" applyBorder="1" applyAlignment="1">
      <alignment horizontal="left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 shrinkToFit="1"/>
    </xf>
    <xf numFmtId="49" fontId="5" fillId="3" borderId="1" xfId="0" applyNumberFormat="1" applyFont="1" applyFill="1" applyBorder="1" applyAlignment="1">
      <alignment horizontal="center" vertical="center" wrapText="1" shrinkToFit="1"/>
    </xf>
    <xf numFmtId="49" fontId="19" fillId="3" borderId="1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5" xfId="0" applyNumberFormat="1" applyFont="1" applyFill="1" applyBorder="1" applyAlignment="1">
      <alignment horizontal="center" vertical="center"/>
    </xf>
    <xf numFmtId="49" fontId="4" fillId="3" borderId="6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center" vertical="center"/>
    </xf>
    <xf numFmtId="49" fontId="14" fillId="3" borderId="0" xfId="9" applyNumberFormat="1" applyFont="1" applyFill="1" applyAlignment="1">
      <alignment horizontal="center" vertical="center" wrapText="1"/>
    </xf>
    <xf numFmtId="0" fontId="1" fillId="3" borderId="0" xfId="9" applyFont="1" applyFill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left" vertical="center" wrapText="1" shrinkToFit="1"/>
    </xf>
  </cellXfs>
  <cellStyles count="13">
    <cellStyle name="Звичайний 2" xfId="1"/>
    <cellStyle name="Звичайний 3" xfId="2"/>
    <cellStyle name="Звичайний 4" xfId="3"/>
    <cellStyle name="Обычный" xfId="0" builtinId="0"/>
    <cellStyle name="Обычный 2" xfId="4"/>
    <cellStyle name="Обычный 3" xfId="5"/>
    <cellStyle name="Обычный 3 2" xfId="6"/>
    <cellStyle name="Обычный 4" xfId="7"/>
    <cellStyle name="Обычный_Лист2" xfId="8"/>
    <cellStyle name="Обычный_СОЦ-ЕКОН.РОЗВ.2009" xfId="9"/>
    <cellStyle name="Стиль 1" xfId="10"/>
    <cellStyle name="Фінансовий 2" xfId="11"/>
    <cellStyle name="Фінансовий 3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65"/>
  <sheetViews>
    <sheetView showZeros="0" tabSelected="1" zoomScale="60" zoomScaleNormal="60" workbookViewId="0">
      <pane ySplit="10" topLeftCell="A11" activePane="bottomLeft" state="frozen"/>
      <selection pane="bottomLeft" activeCell="D6" sqref="D6"/>
    </sheetView>
  </sheetViews>
  <sheetFormatPr defaultColWidth="8" defaultRowHeight="18.75" x14ac:dyDescent="0.25"/>
  <cols>
    <col min="1" max="3" width="19.28515625" style="10" customWidth="1"/>
    <col min="4" max="4" width="65.28515625" style="10" customWidth="1"/>
    <col min="5" max="5" width="79.42578125" style="17" customWidth="1"/>
    <col min="6" max="7" width="30.28515625" style="95" customWidth="1"/>
    <col min="8" max="8" width="26" style="93" customWidth="1"/>
    <col min="9" max="9" width="34.42578125" style="2" customWidth="1"/>
    <col min="10" max="23" width="8" style="5"/>
    <col min="24" max="16384" width="8" style="6"/>
  </cols>
  <sheetData>
    <row r="1" spans="1:23" s="29" customFormat="1" x14ac:dyDescent="0.25">
      <c r="A1" s="55"/>
      <c r="B1" s="55"/>
      <c r="C1" s="55"/>
      <c r="D1" s="56"/>
      <c r="E1" s="57"/>
      <c r="F1" s="94" t="s">
        <v>23</v>
      </c>
      <c r="G1" s="94"/>
      <c r="H1" s="58"/>
      <c r="I1" s="27"/>
      <c r="J1" s="130"/>
      <c r="K1" s="130"/>
      <c r="L1" s="130"/>
      <c r="M1" s="130"/>
      <c r="N1" s="130"/>
      <c r="O1" s="28"/>
      <c r="P1" s="28"/>
      <c r="Q1" s="28"/>
      <c r="R1" s="28"/>
      <c r="S1" s="28"/>
      <c r="T1" s="28"/>
      <c r="U1" s="28"/>
      <c r="V1" s="28"/>
      <c r="W1" s="28"/>
    </row>
    <row r="2" spans="1:23" s="29" customFormat="1" x14ac:dyDescent="0.25">
      <c r="A2" s="56"/>
      <c r="B2" s="56"/>
      <c r="C2" s="56"/>
      <c r="D2" s="56"/>
      <c r="E2" s="57"/>
      <c r="F2" s="131" t="s">
        <v>24</v>
      </c>
      <c r="G2" s="131"/>
      <c r="H2" s="131"/>
      <c r="I2" s="27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3" s="29" customFormat="1" x14ac:dyDescent="0.25">
      <c r="A3" s="56"/>
      <c r="B3" s="56"/>
      <c r="C3" s="56"/>
      <c r="D3" s="56"/>
      <c r="E3" s="57"/>
      <c r="F3" s="131" t="s">
        <v>25</v>
      </c>
      <c r="G3" s="131"/>
      <c r="H3" s="131"/>
      <c r="I3" s="27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</row>
    <row r="4" spans="1:23" s="29" customFormat="1" x14ac:dyDescent="0.25">
      <c r="A4" s="56"/>
      <c r="B4" s="56"/>
      <c r="C4" s="56"/>
      <c r="D4" s="56"/>
      <c r="E4" s="57"/>
      <c r="F4" s="58"/>
      <c r="G4" s="58"/>
      <c r="H4" s="58"/>
      <c r="I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</row>
    <row r="5" spans="1:23" s="29" customFormat="1" ht="20.25" x14ac:dyDescent="0.25">
      <c r="A5" s="132" t="s">
        <v>8</v>
      </c>
      <c r="B5" s="132"/>
      <c r="C5" s="132"/>
      <c r="D5" s="132"/>
      <c r="E5" s="132"/>
      <c r="F5" s="132"/>
      <c r="G5" s="132"/>
      <c r="H5" s="132"/>
      <c r="I5" s="27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</row>
    <row r="6" spans="1:23" s="29" customFormat="1" x14ac:dyDescent="0.25">
      <c r="A6" s="59"/>
      <c r="B6" s="59"/>
      <c r="C6" s="59"/>
      <c r="D6" s="59"/>
      <c r="E6" s="60"/>
      <c r="F6" s="91"/>
      <c r="G6" s="91"/>
      <c r="H6" s="91"/>
      <c r="I6" s="27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</row>
    <row r="7" spans="1:23" s="29" customFormat="1" x14ac:dyDescent="0.25">
      <c r="A7" s="133" t="s">
        <v>36</v>
      </c>
      <c r="B7" s="133"/>
      <c r="C7" s="59"/>
      <c r="D7" s="59"/>
      <c r="E7" s="60"/>
      <c r="F7" s="91"/>
      <c r="G7" s="91"/>
      <c r="H7" s="91"/>
      <c r="I7" s="27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</row>
    <row r="8" spans="1:23" s="29" customFormat="1" x14ac:dyDescent="0.25">
      <c r="A8" s="134" t="s">
        <v>26</v>
      </c>
      <c r="B8" s="134"/>
      <c r="C8" s="59"/>
      <c r="D8" s="59"/>
      <c r="E8" s="60"/>
      <c r="F8" s="91"/>
      <c r="G8" s="91"/>
      <c r="H8" s="91"/>
      <c r="I8" s="27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</row>
    <row r="9" spans="1:23" s="29" customFormat="1" x14ac:dyDescent="0.25">
      <c r="A9" s="59"/>
      <c r="B9" s="59"/>
      <c r="C9" s="59"/>
      <c r="D9" s="59"/>
      <c r="E9" s="60"/>
      <c r="F9" s="91"/>
      <c r="G9" s="91"/>
      <c r="H9" s="91" t="s">
        <v>0</v>
      </c>
      <c r="I9" s="27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</row>
    <row r="10" spans="1:23" ht="131.25" x14ac:dyDescent="0.25">
      <c r="A10" s="18" t="s">
        <v>1</v>
      </c>
      <c r="B10" s="19" t="s">
        <v>2</v>
      </c>
      <c r="C10" s="19" t="s">
        <v>3</v>
      </c>
      <c r="D10" s="18" t="s">
        <v>4</v>
      </c>
      <c r="E10" s="20" t="s">
        <v>5</v>
      </c>
      <c r="F10" s="92" t="s">
        <v>7</v>
      </c>
      <c r="G10" s="33" t="s">
        <v>39</v>
      </c>
      <c r="H10" s="92" t="s">
        <v>40</v>
      </c>
    </row>
    <row r="11" spans="1:23" s="29" customFormat="1" ht="20.25" x14ac:dyDescent="0.25">
      <c r="A11" s="126" t="s">
        <v>14</v>
      </c>
      <c r="B11" s="127"/>
      <c r="C11" s="127"/>
      <c r="D11" s="127"/>
      <c r="E11" s="127"/>
      <c r="F11" s="127"/>
      <c r="G11" s="127"/>
      <c r="H11" s="128"/>
      <c r="I11" s="27"/>
      <c r="J11" s="28"/>
      <c r="K11" s="28"/>
    </row>
    <row r="12" spans="1:23" s="29" customFormat="1" ht="37.5" x14ac:dyDescent="0.25">
      <c r="A12" s="89" t="s">
        <v>58</v>
      </c>
      <c r="B12" s="31"/>
      <c r="C12" s="31"/>
      <c r="D12" s="30" t="s">
        <v>59</v>
      </c>
      <c r="E12" s="32"/>
      <c r="F12" s="33">
        <f>+F14</f>
        <v>0</v>
      </c>
      <c r="G12" s="33">
        <f>+G14</f>
        <v>388554</v>
      </c>
      <c r="H12" s="33">
        <f>F12+G12</f>
        <v>388554</v>
      </c>
      <c r="I12" s="27"/>
      <c r="J12" s="28"/>
      <c r="K12" s="28"/>
    </row>
    <row r="13" spans="1:23" s="9" customFormat="1" ht="37.5" x14ac:dyDescent="0.25">
      <c r="A13" s="89" t="s">
        <v>60</v>
      </c>
      <c r="B13" s="31"/>
      <c r="C13" s="31"/>
      <c r="D13" s="35" t="s">
        <v>59</v>
      </c>
      <c r="E13" s="32"/>
      <c r="F13" s="33"/>
      <c r="G13" s="33"/>
      <c r="H13" s="36"/>
      <c r="I13" s="37"/>
      <c r="J13" s="8"/>
      <c r="K13" s="8"/>
    </row>
    <row r="14" spans="1:23" s="9" customFormat="1" ht="37.5" x14ac:dyDescent="0.25">
      <c r="A14" s="38" t="s">
        <v>61</v>
      </c>
      <c r="B14" s="38" t="s">
        <v>28</v>
      </c>
      <c r="C14" s="38" t="s">
        <v>11</v>
      </c>
      <c r="D14" s="39" t="s">
        <v>29</v>
      </c>
      <c r="E14" s="80"/>
      <c r="F14" s="76">
        <f>SUM(F15:F15)</f>
        <v>0</v>
      </c>
      <c r="G14" s="76">
        <f>SUM(G15:G15)</f>
        <v>388554</v>
      </c>
      <c r="H14" s="76">
        <f t="shared" ref="H14:H29" si="0">F14+G14</f>
        <v>388554</v>
      </c>
      <c r="I14" s="7"/>
      <c r="J14" s="8"/>
      <c r="K14" s="8"/>
    </row>
    <row r="15" spans="1:23" s="9" customFormat="1" ht="37.5" x14ac:dyDescent="0.25">
      <c r="A15" s="81"/>
      <c r="B15" s="81"/>
      <c r="C15" s="81"/>
      <c r="D15" s="82"/>
      <c r="E15" s="80" t="s">
        <v>62</v>
      </c>
      <c r="F15" s="43"/>
      <c r="G15" s="43">
        <f>388554</f>
        <v>388554</v>
      </c>
      <c r="H15" s="1">
        <f t="shared" si="0"/>
        <v>388554</v>
      </c>
      <c r="I15" s="7"/>
      <c r="J15" s="8"/>
      <c r="K15" s="8"/>
    </row>
    <row r="16" spans="1:23" s="29" customFormat="1" ht="37.5" x14ac:dyDescent="0.25">
      <c r="A16" s="30">
        <v>1500000</v>
      </c>
      <c r="B16" s="31"/>
      <c r="C16" s="31"/>
      <c r="D16" s="30" t="s">
        <v>10</v>
      </c>
      <c r="E16" s="32"/>
      <c r="F16" s="33">
        <f>F18+F24+F26</f>
        <v>9500000</v>
      </c>
      <c r="G16" s="33">
        <f>G18+G24+G26</f>
        <v>20382850</v>
      </c>
      <c r="H16" s="33">
        <f t="shared" si="0"/>
        <v>29882850</v>
      </c>
      <c r="I16" s="27"/>
      <c r="J16" s="28"/>
      <c r="K16" s="28"/>
    </row>
    <row r="17" spans="1:12" s="9" customFormat="1" ht="37.5" x14ac:dyDescent="0.25">
      <c r="A17" s="30">
        <v>1510000</v>
      </c>
      <c r="B17" s="31"/>
      <c r="C17" s="31"/>
      <c r="D17" s="35" t="s">
        <v>10</v>
      </c>
      <c r="E17" s="32"/>
      <c r="F17" s="33"/>
      <c r="G17" s="33"/>
      <c r="H17" s="36">
        <f t="shared" si="0"/>
        <v>0</v>
      </c>
      <c r="I17" s="37"/>
      <c r="J17" s="8"/>
      <c r="K17" s="8"/>
    </row>
    <row r="18" spans="1:12" s="9" customFormat="1" ht="37.5" x14ac:dyDescent="0.25">
      <c r="A18" s="38" t="s">
        <v>27</v>
      </c>
      <c r="B18" s="38" t="s">
        <v>28</v>
      </c>
      <c r="C18" s="38" t="s">
        <v>11</v>
      </c>
      <c r="D18" s="39" t="s">
        <v>29</v>
      </c>
      <c r="E18" s="32"/>
      <c r="F18" s="41">
        <f>SUM(F19:F23)</f>
        <v>0</v>
      </c>
      <c r="G18" s="41">
        <f>SUM(G19:G23)</f>
        <v>8895463</v>
      </c>
      <c r="H18" s="41">
        <f t="shared" si="0"/>
        <v>8895463</v>
      </c>
      <c r="I18" s="37"/>
      <c r="J18" s="8"/>
      <c r="K18" s="8"/>
    </row>
    <row r="19" spans="1:12" s="9" customFormat="1" x14ac:dyDescent="0.25">
      <c r="A19" s="30"/>
      <c r="B19" s="31"/>
      <c r="C19" s="31"/>
      <c r="D19" s="35"/>
      <c r="E19" s="20" t="s">
        <v>68</v>
      </c>
      <c r="F19" s="33"/>
      <c r="G19" s="36"/>
      <c r="H19" s="36">
        <f t="shared" si="0"/>
        <v>0</v>
      </c>
      <c r="I19" s="37"/>
      <c r="J19" s="8"/>
      <c r="K19" s="8"/>
    </row>
    <row r="20" spans="1:12" s="9" customFormat="1" ht="37.5" x14ac:dyDescent="0.25">
      <c r="A20" s="30"/>
      <c r="B20" s="31"/>
      <c r="C20" s="31"/>
      <c r="D20" s="35"/>
      <c r="E20" s="100" t="s">
        <v>69</v>
      </c>
      <c r="F20" s="33"/>
      <c r="G20" s="36">
        <f>6500000</f>
        <v>6500000</v>
      </c>
      <c r="H20" s="36">
        <f t="shared" si="0"/>
        <v>6500000</v>
      </c>
      <c r="I20" s="37"/>
      <c r="J20" s="8"/>
      <c r="K20" s="8"/>
    </row>
    <row r="21" spans="1:12" s="9" customFormat="1" ht="37.5" x14ac:dyDescent="0.25">
      <c r="A21" s="30"/>
      <c r="B21" s="31"/>
      <c r="C21" s="31"/>
      <c r="D21" s="35"/>
      <c r="E21" s="100" t="s">
        <v>70</v>
      </c>
      <c r="F21" s="33"/>
      <c r="G21" s="36">
        <f>195463</f>
        <v>195463</v>
      </c>
      <c r="H21" s="36">
        <f t="shared" si="0"/>
        <v>195463</v>
      </c>
      <c r="I21" s="37"/>
      <c r="J21" s="8"/>
      <c r="K21" s="8"/>
    </row>
    <row r="22" spans="1:12" s="9" customFormat="1" ht="37.5" x14ac:dyDescent="0.25">
      <c r="A22" s="30"/>
      <c r="B22" s="31"/>
      <c r="C22" s="31"/>
      <c r="D22" s="35"/>
      <c r="E22" s="62" t="s">
        <v>71</v>
      </c>
      <c r="F22" s="33"/>
      <c r="G22" s="36"/>
      <c r="H22" s="36">
        <f t="shared" si="0"/>
        <v>0</v>
      </c>
      <c r="I22" s="37"/>
      <c r="J22" s="8"/>
      <c r="K22" s="8"/>
    </row>
    <row r="23" spans="1:12" s="9" customFormat="1" ht="37.5" x14ac:dyDescent="0.25">
      <c r="A23" s="30"/>
      <c r="B23" s="31"/>
      <c r="C23" s="31"/>
      <c r="D23" s="35"/>
      <c r="E23" s="100" t="s">
        <v>72</v>
      </c>
      <c r="F23" s="33"/>
      <c r="G23" s="36">
        <f>2200000</f>
        <v>2200000</v>
      </c>
      <c r="H23" s="36">
        <f t="shared" si="0"/>
        <v>2200000</v>
      </c>
      <c r="I23" s="37"/>
      <c r="J23" s="8"/>
      <c r="K23" s="8"/>
    </row>
    <row r="24" spans="1:12" s="9" customFormat="1" x14ac:dyDescent="0.25">
      <c r="A24" s="38" t="s">
        <v>73</v>
      </c>
      <c r="B24" s="38" t="s">
        <v>46</v>
      </c>
      <c r="C24" s="38" t="s">
        <v>11</v>
      </c>
      <c r="D24" s="39" t="s">
        <v>47</v>
      </c>
      <c r="E24" s="101"/>
      <c r="F24" s="41">
        <f>SUM(F25)</f>
        <v>0</v>
      </c>
      <c r="G24" s="41">
        <f>SUM(G25)</f>
        <v>2500000</v>
      </c>
      <c r="H24" s="41">
        <f t="shared" si="0"/>
        <v>2500000</v>
      </c>
      <c r="I24" s="37"/>
      <c r="J24" s="8"/>
      <c r="K24" s="8"/>
    </row>
    <row r="25" spans="1:12" s="9" customFormat="1" ht="37.5" x14ac:dyDescent="0.25">
      <c r="A25" s="30"/>
      <c r="B25" s="31"/>
      <c r="C25" s="31"/>
      <c r="D25" s="35"/>
      <c r="E25" s="100" t="s">
        <v>74</v>
      </c>
      <c r="F25" s="33"/>
      <c r="G25" s="36">
        <f>2500000</f>
        <v>2500000</v>
      </c>
      <c r="H25" s="36">
        <f t="shared" si="0"/>
        <v>2500000</v>
      </c>
      <c r="I25" s="37"/>
      <c r="J25" s="8"/>
      <c r="K25" s="8"/>
    </row>
    <row r="26" spans="1:12" s="9" customFormat="1" x14ac:dyDescent="0.25">
      <c r="A26" s="38" t="s">
        <v>12</v>
      </c>
      <c r="B26" s="38" t="s">
        <v>13</v>
      </c>
      <c r="C26" s="38" t="s">
        <v>11</v>
      </c>
      <c r="D26" s="39" t="s">
        <v>37</v>
      </c>
      <c r="E26" s="40"/>
      <c r="F26" s="41">
        <f>SUM(F27:F28)</f>
        <v>9500000</v>
      </c>
      <c r="G26" s="41">
        <f>SUM(G27:G28)</f>
        <v>8987387</v>
      </c>
      <c r="H26" s="41">
        <f t="shared" si="0"/>
        <v>18487387</v>
      </c>
      <c r="I26" s="7"/>
      <c r="J26" s="8"/>
      <c r="K26" s="8"/>
    </row>
    <row r="27" spans="1:12" s="9" customFormat="1" ht="37.5" x14ac:dyDescent="0.25">
      <c r="A27" s="38"/>
      <c r="B27" s="38"/>
      <c r="C27" s="38"/>
      <c r="D27" s="39"/>
      <c r="E27" s="42" t="s">
        <v>15</v>
      </c>
      <c r="F27" s="43">
        <f>16500000-12000000</f>
        <v>4500000</v>
      </c>
      <c r="G27" s="43">
        <f>8987387</f>
        <v>8987387</v>
      </c>
      <c r="H27" s="36">
        <f t="shared" si="0"/>
        <v>13487387</v>
      </c>
      <c r="I27" s="7"/>
      <c r="J27" s="8"/>
      <c r="K27" s="8"/>
    </row>
    <row r="28" spans="1:12" s="9" customFormat="1" ht="37.5" x14ac:dyDescent="0.25">
      <c r="A28" s="38"/>
      <c r="B28" s="38"/>
      <c r="C28" s="38"/>
      <c r="D28" s="39"/>
      <c r="E28" s="42" t="s">
        <v>22</v>
      </c>
      <c r="F28" s="43">
        <v>5000000</v>
      </c>
      <c r="G28" s="43"/>
      <c r="H28" s="36">
        <f t="shared" si="0"/>
        <v>5000000</v>
      </c>
      <c r="I28" s="7"/>
      <c r="J28" s="8"/>
      <c r="K28" s="8"/>
    </row>
    <row r="29" spans="1:12" s="47" customFormat="1" ht="20.25" x14ac:dyDescent="0.25">
      <c r="A29" s="48"/>
      <c r="B29" s="49"/>
      <c r="C29" s="49"/>
      <c r="D29" s="50"/>
      <c r="E29" s="51" t="s">
        <v>20</v>
      </c>
      <c r="F29" s="52">
        <f>F12+F16</f>
        <v>9500000</v>
      </c>
      <c r="G29" s="52">
        <f>G12+G16</f>
        <v>20771404</v>
      </c>
      <c r="H29" s="52">
        <f t="shared" si="0"/>
        <v>30271404</v>
      </c>
      <c r="I29" s="45"/>
      <c r="J29" s="46"/>
      <c r="K29" s="46"/>
      <c r="L29" s="46"/>
    </row>
    <row r="30" spans="1:12" s="47" customFormat="1" ht="20.25" x14ac:dyDescent="0.25">
      <c r="A30" s="135" t="s">
        <v>41</v>
      </c>
      <c r="B30" s="135"/>
      <c r="C30" s="135"/>
      <c r="D30" s="135"/>
      <c r="E30" s="135"/>
      <c r="F30" s="33"/>
      <c r="G30" s="33"/>
      <c r="H30" s="33"/>
      <c r="I30" s="45"/>
      <c r="J30" s="46"/>
      <c r="K30" s="46"/>
      <c r="L30" s="46"/>
    </row>
    <row r="31" spans="1:12" s="47" customFormat="1" ht="37.5" x14ac:dyDescent="0.25">
      <c r="A31" s="65" t="s">
        <v>42</v>
      </c>
      <c r="B31" s="66"/>
      <c r="C31" s="66"/>
      <c r="D31" s="67" t="s">
        <v>43</v>
      </c>
      <c r="E31" s="68"/>
      <c r="F31" s="69">
        <f>+F33</f>
        <v>0</v>
      </c>
      <c r="G31" s="69">
        <f>+G33</f>
        <v>250000</v>
      </c>
      <c r="H31" s="69">
        <f t="shared" ref="H31:H51" si="1">F31+G31</f>
        <v>250000</v>
      </c>
      <c r="I31" s="45"/>
      <c r="J31" s="46"/>
      <c r="K31" s="46"/>
      <c r="L31" s="46"/>
    </row>
    <row r="32" spans="1:12" s="47" customFormat="1" ht="37.5" x14ac:dyDescent="0.25">
      <c r="A32" s="65" t="s">
        <v>44</v>
      </c>
      <c r="B32" s="66"/>
      <c r="C32" s="66"/>
      <c r="D32" s="70" t="s">
        <v>43</v>
      </c>
      <c r="E32" s="71"/>
      <c r="F32" s="72"/>
      <c r="G32" s="72"/>
      <c r="H32" s="72"/>
      <c r="I32" s="45"/>
      <c r="J32" s="46"/>
      <c r="K32" s="46"/>
      <c r="L32" s="46"/>
    </row>
    <row r="33" spans="1:12" s="47" customFormat="1" x14ac:dyDescent="0.25">
      <c r="A33" s="38" t="s">
        <v>45</v>
      </c>
      <c r="B33" s="38" t="s">
        <v>46</v>
      </c>
      <c r="C33" s="38" t="s">
        <v>11</v>
      </c>
      <c r="D33" s="39" t="s">
        <v>47</v>
      </c>
      <c r="E33" s="44"/>
      <c r="F33" s="76">
        <f>SUM(F34:F34)</f>
        <v>0</v>
      </c>
      <c r="G33" s="76">
        <f>SUM(G34:G34)</f>
        <v>250000</v>
      </c>
      <c r="H33" s="76">
        <f t="shared" si="1"/>
        <v>250000</v>
      </c>
      <c r="I33" s="45"/>
      <c r="J33" s="46"/>
      <c r="K33" s="46"/>
      <c r="L33" s="46"/>
    </row>
    <row r="34" spans="1:12" s="47" customFormat="1" ht="56.25" x14ac:dyDescent="0.25">
      <c r="A34" s="38"/>
      <c r="B34" s="38"/>
      <c r="C34" s="38"/>
      <c r="D34" s="39"/>
      <c r="E34" s="77" t="s">
        <v>53</v>
      </c>
      <c r="F34" s="1"/>
      <c r="G34" s="1">
        <f>250000</f>
        <v>250000</v>
      </c>
      <c r="H34" s="1">
        <f t="shared" si="1"/>
        <v>250000</v>
      </c>
      <c r="I34" s="45"/>
      <c r="J34" s="46"/>
      <c r="K34" s="46"/>
      <c r="L34" s="46"/>
    </row>
    <row r="35" spans="1:12" s="47" customFormat="1" ht="37.5" x14ac:dyDescent="0.25">
      <c r="A35" s="30">
        <v>1200000</v>
      </c>
      <c r="B35" s="31"/>
      <c r="C35" s="31"/>
      <c r="D35" s="31" t="s">
        <v>54</v>
      </c>
      <c r="E35" s="32"/>
      <c r="F35" s="33">
        <f>F37</f>
        <v>0</v>
      </c>
      <c r="G35" s="33">
        <f>G37</f>
        <v>198000</v>
      </c>
      <c r="H35" s="33">
        <f t="shared" si="1"/>
        <v>198000</v>
      </c>
      <c r="I35" s="45"/>
      <c r="J35" s="46"/>
      <c r="K35" s="46"/>
      <c r="L35" s="46"/>
    </row>
    <row r="36" spans="1:12" s="47" customFormat="1" ht="37.5" x14ac:dyDescent="0.25">
      <c r="A36" s="30">
        <v>1210000</v>
      </c>
      <c r="B36" s="31"/>
      <c r="C36" s="31"/>
      <c r="D36" s="88" t="s">
        <v>54</v>
      </c>
      <c r="E36" s="32"/>
      <c r="F36" s="33"/>
      <c r="G36" s="36"/>
      <c r="H36" s="36"/>
      <c r="I36" s="45"/>
      <c r="J36" s="46"/>
      <c r="K36" s="46"/>
      <c r="L36" s="46"/>
    </row>
    <row r="37" spans="1:12" s="47" customFormat="1" ht="37.5" x14ac:dyDescent="0.25">
      <c r="A37" s="38" t="s">
        <v>55</v>
      </c>
      <c r="B37" s="38" t="s">
        <v>28</v>
      </c>
      <c r="C37" s="38" t="s">
        <v>11</v>
      </c>
      <c r="D37" s="39" t="s">
        <v>29</v>
      </c>
      <c r="E37" s="80"/>
      <c r="F37" s="76">
        <f>SUM(F38:F39)</f>
        <v>0</v>
      </c>
      <c r="G37" s="76">
        <f>SUM(G38:G39)</f>
        <v>198000</v>
      </c>
      <c r="H37" s="76">
        <f>F37+G37</f>
        <v>198000</v>
      </c>
      <c r="I37" s="45"/>
      <c r="J37" s="46"/>
      <c r="K37" s="46"/>
      <c r="L37" s="46"/>
    </row>
    <row r="38" spans="1:12" s="47" customFormat="1" ht="75" x14ac:dyDescent="0.25">
      <c r="A38" s="81"/>
      <c r="B38" s="81"/>
      <c r="C38" s="81"/>
      <c r="D38" s="82"/>
      <c r="E38" s="77" t="s">
        <v>56</v>
      </c>
      <c r="F38" s="83"/>
      <c r="G38" s="83">
        <f>99000</f>
        <v>99000</v>
      </c>
      <c r="H38" s="83">
        <f t="shared" si="1"/>
        <v>99000</v>
      </c>
      <c r="I38" s="45"/>
      <c r="J38" s="46"/>
      <c r="K38" s="46"/>
      <c r="L38" s="46"/>
    </row>
    <row r="39" spans="1:12" s="47" customFormat="1" ht="75" x14ac:dyDescent="0.25">
      <c r="A39" s="81"/>
      <c r="B39" s="81"/>
      <c r="C39" s="81"/>
      <c r="D39" s="82"/>
      <c r="E39" s="77" t="s">
        <v>57</v>
      </c>
      <c r="F39" s="83"/>
      <c r="G39" s="83">
        <f>99000</f>
        <v>99000</v>
      </c>
      <c r="H39" s="83">
        <f t="shared" si="1"/>
        <v>99000</v>
      </c>
      <c r="I39" s="45"/>
      <c r="J39" s="46"/>
      <c r="K39" s="46"/>
      <c r="L39" s="46"/>
    </row>
    <row r="40" spans="1:12" s="29" customFormat="1" ht="37.5" x14ac:dyDescent="0.25">
      <c r="A40" s="89" t="s">
        <v>58</v>
      </c>
      <c r="B40" s="31"/>
      <c r="C40" s="31"/>
      <c r="D40" s="30" t="s">
        <v>59</v>
      </c>
      <c r="E40" s="32"/>
      <c r="F40" s="33">
        <f>F42</f>
        <v>0</v>
      </c>
      <c r="G40" s="33">
        <f>G42</f>
        <v>149997</v>
      </c>
      <c r="H40" s="33">
        <f>F40+G40</f>
        <v>149997</v>
      </c>
      <c r="I40" s="27"/>
      <c r="J40" s="28"/>
      <c r="K40" s="28"/>
    </row>
    <row r="41" spans="1:12" s="9" customFormat="1" ht="37.5" x14ac:dyDescent="0.25">
      <c r="A41" s="89" t="s">
        <v>60</v>
      </c>
      <c r="B41" s="31"/>
      <c r="C41" s="31"/>
      <c r="D41" s="35" t="s">
        <v>59</v>
      </c>
      <c r="E41" s="32"/>
      <c r="F41" s="33"/>
      <c r="G41" s="33"/>
      <c r="H41" s="36"/>
      <c r="I41" s="37"/>
      <c r="J41" s="8"/>
      <c r="K41" s="8"/>
    </row>
    <row r="42" spans="1:12" s="9" customFormat="1" ht="37.5" x14ac:dyDescent="0.25">
      <c r="A42" s="38" t="s">
        <v>61</v>
      </c>
      <c r="B42" s="38" t="s">
        <v>28</v>
      </c>
      <c r="C42" s="38" t="s">
        <v>11</v>
      </c>
      <c r="D42" s="39" t="s">
        <v>29</v>
      </c>
      <c r="E42" s="80"/>
      <c r="F42" s="41">
        <f>SUM(F43:F45)</f>
        <v>0</v>
      </c>
      <c r="G42" s="41">
        <f>SUM(G43:G45)</f>
        <v>149997</v>
      </c>
      <c r="H42" s="41">
        <f>F42+G42</f>
        <v>149997</v>
      </c>
      <c r="I42" s="7"/>
      <c r="J42" s="8"/>
      <c r="K42" s="8"/>
    </row>
    <row r="43" spans="1:12" s="9" customFormat="1" ht="56.25" x14ac:dyDescent="0.25">
      <c r="A43" s="81"/>
      <c r="B43" s="81"/>
      <c r="C43" s="81"/>
      <c r="D43" s="82"/>
      <c r="E43" s="90" t="s">
        <v>63</v>
      </c>
      <c r="F43" s="43"/>
      <c r="G43" s="43">
        <f>49999</f>
        <v>49999</v>
      </c>
      <c r="H43" s="83">
        <f t="shared" si="1"/>
        <v>49999</v>
      </c>
      <c r="I43" s="7"/>
      <c r="J43" s="8"/>
      <c r="K43" s="8"/>
    </row>
    <row r="44" spans="1:12" s="9" customFormat="1" ht="56.25" x14ac:dyDescent="0.25">
      <c r="A44" s="38"/>
      <c r="B44" s="38"/>
      <c r="C44" s="38"/>
      <c r="D44" s="39"/>
      <c r="E44" s="90" t="s">
        <v>64</v>
      </c>
      <c r="F44" s="43"/>
      <c r="G44" s="43">
        <f>49999</f>
        <v>49999</v>
      </c>
      <c r="H44" s="83">
        <f t="shared" si="1"/>
        <v>49999</v>
      </c>
      <c r="I44" s="7"/>
      <c r="J44" s="8"/>
      <c r="K44" s="8"/>
    </row>
    <row r="45" spans="1:12" s="47" customFormat="1" ht="56.25" x14ac:dyDescent="0.25">
      <c r="A45" s="81"/>
      <c r="B45" s="81"/>
      <c r="C45" s="81"/>
      <c r="D45" s="82"/>
      <c r="E45" s="90" t="s">
        <v>65</v>
      </c>
      <c r="F45" s="83"/>
      <c r="G45" s="83">
        <f>49999</f>
        <v>49999</v>
      </c>
      <c r="H45" s="83">
        <f t="shared" si="1"/>
        <v>49999</v>
      </c>
      <c r="I45" s="45"/>
      <c r="J45" s="46"/>
      <c r="K45" s="46"/>
      <c r="L45" s="46"/>
    </row>
    <row r="46" spans="1:12" s="47" customFormat="1" ht="37.5" x14ac:dyDescent="0.25">
      <c r="A46" s="30">
        <v>1500000</v>
      </c>
      <c r="B46" s="30"/>
      <c r="C46" s="30"/>
      <c r="D46" s="30" t="s">
        <v>10</v>
      </c>
      <c r="E46" s="97"/>
      <c r="F46" s="98">
        <f>F48+F50</f>
        <v>0</v>
      </c>
      <c r="G46" s="98">
        <f>G48+G50</f>
        <v>3150000</v>
      </c>
      <c r="H46" s="98">
        <f t="shared" si="1"/>
        <v>3150000</v>
      </c>
      <c r="I46" s="45"/>
      <c r="J46" s="46"/>
      <c r="K46" s="46"/>
      <c r="L46" s="46"/>
    </row>
    <row r="47" spans="1:12" s="47" customFormat="1" ht="37.5" x14ac:dyDescent="0.25">
      <c r="A47" s="30">
        <v>1510000</v>
      </c>
      <c r="B47" s="30"/>
      <c r="C47" s="30"/>
      <c r="D47" s="35" t="s">
        <v>10</v>
      </c>
      <c r="E47" s="90"/>
      <c r="F47" s="83"/>
      <c r="G47" s="83"/>
      <c r="H47" s="83"/>
      <c r="I47" s="45"/>
      <c r="J47" s="46"/>
      <c r="K47" s="46"/>
      <c r="L47" s="46"/>
    </row>
    <row r="48" spans="1:12" s="47" customFormat="1" ht="37.5" x14ac:dyDescent="0.25">
      <c r="A48" s="38" t="s">
        <v>27</v>
      </c>
      <c r="B48" s="38" t="s">
        <v>28</v>
      </c>
      <c r="C48" s="38" t="s">
        <v>11</v>
      </c>
      <c r="D48" s="39" t="s">
        <v>29</v>
      </c>
      <c r="E48" s="90"/>
      <c r="F48" s="99">
        <f>SUM(F49)</f>
        <v>0</v>
      </c>
      <c r="G48" s="99">
        <f>SUM(G49)</f>
        <v>3000000</v>
      </c>
      <c r="H48" s="99">
        <f t="shared" si="1"/>
        <v>3000000</v>
      </c>
      <c r="I48" s="45"/>
      <c r="J48" s="46"/>
      <c r="K48" s="46"/>
      <c r="L48" s="46"/>
    </row>
    <row r="49" spans="1:12" s="47" customFormat="1" ht="56.25" x14ac:dyDescent="0.25">
      <c r="A49" s="81"/>
      <c r="B49" s="81"/>
      <c r="C49" s="81"/>
      <c r="D49" s="82"/>
      <c r="E49" s="96" t="s">
        <v>66</v>
      </c>
      <c r="F49" s="83"/>
      <c r="G49" s="83">
        <f>3000000</f>
        <v>3000000</v>
      </c>
      <c r="H49" s="83">
        <f t="shared" si="1"/>
        <v>3000000</v>
      </c>
      <c r="I49" s="45"/>
      <c r="J49" s="46"/>
      <c r="K49" s="46"/>
      <c r="L49" s="46"/>
    </row>
    <row r="50" spans="1:12" s="47" customFormat="1" ht="37.5" x14ac:dyDescent="0.25">
      <c r="A50" s="21" t="s">
        <v>16</v>
      </c>
      <c r="B50" s="21" t="s">
        <v>17</v>
      </c>
      <c r="C50" s="21" t="s">
        <v>9</v>
      </c>
      <c r="D50" s="15" t="s">
        <v>18</v>
      </c>
      <c r="E50" s="96"/>
      <c r="F50" s="99">
        <f>SUM(F51)</f>
        <v>0</v>
      </c>
      <c r="G50" s="99">
        <f>SUM(G51)</f>
        <v>150000</v>
      </c>
      <c r="H50" s="99">
        <f t="shared" si="1"/>
        <v>150000</v>
      </c>
      <c r="I50" s="45"/>
      <c r="J50" s="46"/>
      <c r="K50" s="46"/>
      <c r="L50" s="46"/>
    </row>
    <row r="51" spans="1:12" s="47" customFormat="1" ht="112.5" x14ac:dyDescent="0.25">
      <c r="A51" s="81"/>
      <c r="B51" s="81"/>
      <c r="C51" s="81"/>
      <c r="D51" s="82"/>
      <c r="E51" s="90" t="s">
        <v>67</v>
      </c>
      <c r="F51" s="83"/>
      <c r="G51" s="83">
        <f>150000</f>
        <v>150000</v>
      </c>
      <c r="H51" s="83">
        <f t="shared" si="1"/>
        <v>150000</v>
      </c>
      <c r="I51" s="45"/>
      <c r="J51" s="46"/>
      <c r="K51" s="46"/>
      <c r="L51" s="46"/>
    </row>
    <row r="52" spans="1:12" s="47" customFormat="1" ht="20.25" x14ac:dyDescent="0.25">
      <c r="A52" s="84"/>
      <c r="B52" s="84"/>
      <c r="C52" s="84"/>
      <c r="D52" s="85"/>
      <c r="E52" s="86" t="s">
        <v>51</v>
      </c>
      <c r="F52" s="87">
        <f>F29+F31+F35+F40+F46</f>
        <v>9500000</v>
      </c>
      <c r="G52" s="87">
        <f>G29+G31+G35+G40+G46</f>
        <v>24519401</v>
      </c>
      <c r="H52" s="87">
        <f>F52+G52</f>
        <v>34019401</v>
      </c>
      <c r="I52" s="45"/>
      <c r="J52" s="46"/>
      <c r="K52" s="46"/>
      <c r="L52" s="46"/>
    </row>
    <row r="53" spans="1:12" ht="20.25" x14ac:dyDescent="0.25">
      <c r="A53" s="129" t="s">
        <v>21</v>
      </c>
      <c r="B53" s="129"/>
      <c r="C53" s="129"/>
      <c r="D53" s="129"/>
      <c r="E53" s="129"/>
      <c r="F53" s="129"/>
      <c r="G53" s="129"/>
      <c r="H53" s="129"/>
    </row>
    <row r="54" spans="1:12" x14ac:dyDescent="0.25">
      <c r="A54" s="31" t="s">
        <v>75</v>
      </c>
      <c r="B54" s="31"/>
      <c r="C54" s="31"/>
      <c r="D54" s="31" t="s">
        <v>76</v>
      </c>
      <c r="E54" s="68"/>
      <c r="F54" s="69">
        <f>F56</f>
        <v>0</v>
      </c>
      <c r="G54" s="69">
        <f>G56</f>
        <v>1562262</v>
      </c>
      <c r="H54" s="69">
        <f t="shared" ref="H54:H163" si="2">F54+G54</f>
        <v>1562262</v>
      </c>
      <c r="I54" s="107"/>
    </row>
    <row r="55" spans="1:12" ht="19.5" x14ac:dyDescent="0.25">
      <c r="A55" s="31" t="s">
        <v>77</v>
      </c>
      <c r="B55" s="31"/>
      <c r="C55" s="31"/>
      <c r="D55" s="88" t="s">
        <v>76</v>
      </c>
      <c r="E55" s="71"/>
      <c r="F55" s="72"/>
      <c r="G55" s="72"/>
      <c r="H55" s="72">
        <f t="shared" si="2"/>
        <v>0</v>
      </c>
      <c r="I55" s="107"/>
    </row>
    <row r="56" spans="1:12" x14ac:dyDescent="0.25">
      <c r="A56" s="102" t="s">
        <v>78</v>
      </c>
      <c r="B56" s="103" t="s">
        <v>13</v>
      </c>
      <c r="C56" s="103" t="s">
        <v>11</v>
      </c>
      <c r="D56" s="104" t="s">
        <v>79</v>
      </c>
      <c r="E56" s="89"/>
      <c r="F56" s="108">
        <f>SUM(F57:F58)</f>
        <v>0</v>
      </c>
      <c r="G56" s="108">
        <f>SUM(G57:G58)</f>
        <v>1562262</v>
      </c>
      <c r="H56" s="108">
        <f t="shared" si="2"/>
        <v>1562262</v>
      </c>
      <c r="I56" s="107"/>
    </row>
    <row r="57" spans="1:12" ht="37.5" x14ac:dyDescent="0.25">
      <c r="A57" s="89"/>
      <c r="B57" s="89"/>
      <c r="C57" s="89"/>
      <c r="D57" s="89"/>
      <c r="E57" s="80" t="s">
        <v>80</v>
      </c>
      <c r="F57" s="106"/>
      <c r="G57" s="106">
        <f>247000</f>
        <v>247000</v>
      </c>
      <c r="H57" s="106">
        <f t="shared" si="2"/>
        <v>247000</v>
      </c>
      <c r="I57" s="107"/>
    </row>
    <row r="58" spans="1:12" ht="56.25" x14ac:dyDescent="0.25">
      <c r="A58" s="89"/>
      <c r="B58" s="89"/>
      <c r="C58" s="89"/>
      <c r="D58" s="89"/>
      <c r="E58" s="80" t="s">
        <v>81</v>
      </c>
      <c r="F58" s="106"/>
      <c r="G58" s="106">
        <f>1315262</f>
        <v>1315262</v>
      </c>
      <c r="H58" s="106">
        <f t="shared" si="2"/>
        <v>1315262</v>
      </c>
      <c r="I58" s="107"/>
    </row>
    <row r="59" spans="1:12" ht="37.5" x14ac:dyDescent="0.25">
      <c r="A59" s="65" t="s">
        <v>42</v>
      </c>
      <c r="B59" s="66"/>
      <c r="C59" s="66"/>
      <c r="D59" s="67" t="s">
        <v>43</v>
      </c>
      <c r="E59" s="35"/>
      <c r="F59" s="105">
        <f>F61</f>
        <v>0</v>
      </c>
      <c r="G59" s="105">
        <f>G61</f>
        <v>6850909</v>
      </c>
      <c r="H59" s="105">
        <f t="shared" si="2"/>
        <v>6850909</v>
      </c>
      <c r="I59" s="107"/>
    </row>
    <row r="60" spans="1:12" ht="37.5" x14ac:dyDescent="0.25">
      <c r="A60" s="65" t="s">
        <v>44</v>
      </c>
      <c r="B60" s="66"/>
      <c r="C60" s="66"/>
      <c r="D60" s="70" t="s">
        <v>43</v>
      </c>
      <c r="E60" s="80"/>
      <c r="F60" s="1"/>
      <c r="G60" s="106"/>
      <c r="H60" s="106">
        <f t="shared" si="2"/>
        <v>0</v>
      </c>
      <c r="I60" s="107"/>
    </row>
    <row r="61" spans="1:12" x14ac:dyDescent="0.25">
      <c r="A61" s="38" t="s">
        <v>45</v>
      </c>
      <c r="B61" s="38" t="s">
        <v>46</v>
      </c>
      <c r="C61" s="38" t="s">
        <v>11</v>
      </c>
      <c r="D61" s="39" t="s">
        <v>47</v>
      </c>
      <c r="E61" s="80"/>
      <c r="F61" s="108">
        <f>SUM(F62:F63)</f>
        <v>0</v>
      </c>
      <c r="G61" s="108">
        <f>SUM(G62:G63)</f>
        <v>6850909</v>
      </c>
      <c r="H61" s="108">
        <f t="shared" si="2"/>
        <v>6850909</v>
      </c>
      <c r="I61" s="107"/>
    </row>
    <row r="62" spans="1:12" ht="37.5" x14ac:dyDescent="0.25">
      <c r="A62" s="81"/>
      <c r="B62" s="81"/>
      <c r="C62" s="81"/>
      <c r="D62" s="82"/>
      <c r="E62" s="11" t="s">
        <v>52</v>
      </c>
      <c r="F62" s="106"/>
      <c r="G62" s="106">
        <f>2442967</f>
        <v>2442967</v>
      </c>
      <c r="H62" s="106">
        <f t="shared" si="2"/>
        <v>2442967</v>
      </c>
      <c r="I62" s="107"/>
    </row>
    <row r="63" spans="1:12" ht="37.5" x14ac:dyDescent="0.25">
      <c r="A63" s="81"/>
      <c r="B63" s="81"/>
      <c r="C63" s="81"/>
      <c r="D63" s="82"/>
      <c r="E63" s="74" t="s">
        <v>82</v>
      </c>
      <c r="F63" s="106"/>
      <c r="G63" s="106">
        <f>3914+4404028</f>
        <v>4407942</v>
      </c>
      <c r="H63" s="106">
        <f t="shared" si="2"/>
        <v>4407942</v>
      </c>
      <c r="I63" s="107"/>
    </row>
    <row r="64" spans="1:12" ht="37.5" x14ac:dyDescent="0.25">
      <c r="A64" s="65" t="s">
        <v>48</v>
      </c>
      <c r="B64" s="66"/>
      <c r="C64" s="66"/>
      <c r="D64" s="78" t="s">
        <v>49</v>
      </c>
      <c r="E64" s="35"/>
      <c r="F64" s="105">
        <f>F66</f>
        <v>0</v>
      </c>
      <c r="G64" s="105">
        <f>G66</f>
        <v>1450000</v>
      </c>
      <c r="H64" s="105">
        <f t="shared" si="2"/>
        <v>1450000</v>
      </c>
      <c r="I64" s="107"/>
    </row>
    <row r="65" spans="1:9" ht="37.5" x14ac:dyDescent="0.25">
      <c r="A65" s="65" t="s">
        <v>50</v>
      </c>
      <c r="B65" s="66"/>
      <c r="C65" s="66"/>
      <c r="D65" s="79" t="s">
        <v>49</v>
      </c>
      <c r="E65" s="80"/>
      <c r="F65" s="1"/>
      <c r="G65" s="106"/>
      <c r="H65" s="106"/>
      <c r="I65" s="107"/>
    </row>
    <row r="66" spans="1:9" x14ac:dyDescent="0.25">
      <c r="A66" s="73" t="s">
        <v>83</v>
      </c>
      <c r="B66" s="38" t="s">
        <v>84</v>
      </c>
      <c r="C66" s="38" t="s">
        <v>11</v>
      </c>
      <c r="D66" s="39" t="s">
        <v>85</v>
      </c>
      <c r="E66" s="80"/>
      <c r="F66" s="76">
        <f>SUM(F67:F67)</f>
        <v>0</v>
      </c>
      <c r="G66" s="76">
        <f>SUM(G67:G67)</f>
        <v>1450000</v>
      </c>
      <c r="H66" s="76">
        <f>F66+G66</f>
        <v>1450000</v>
      </c>
      <c r="I66" s="107"/>
    </row>
    <row r="67" spans="1:9" ht="37.5" x14ac:dyDescent="0.25">
      <c r="A67" s="38"/>
      <c r="B67" s="38"/>
      <c r="C67" s="38"/>
      <c r="D67" s="39"/>
      <c r="E67" s="11" t="s">
        <v>86</v>
      </c>
      <c r="F67" s="83"/>
      <c r="G67" s="83">
        <f>1450000</f>
        <v>1450000</v>
      </c>
      <c r="H67" s="83">
        <f>F67+G67</f>
        <v>1450000</v>
      </c>
      <c r="I67" s="107"/>
    </row>
    <row r="68" spans="1:9" ht="37.5" x14ac:dyDescent="0.25">
      <c r="A68" s="65" t="s">
        <v>87</v>
      </c>
      <c r="B68" s="66"/>
      <c r="C68" s="66"/>
      <c r="D68" s="67" t="s">
        <v>88</v>
      </c>
      <c r="E68" s="35"/>
      <c r="F68" s="105">
        <f>F70</f>
        <v>0</v>
      </c>
      <c r="G68" s="105">
        <f>G70</f>
        <v>652600</v>
      </c>
      <c r="H68" s="105">
        <f>F68+G68</f>
        <v>652600</v>
      </c>
      <c r="I68" s="107"/>
    </row>
    <row r="69" spans="1:9" ht="37.5" x14ac:dyDescent="0.25">
      <c r="A69" s="65" t="s">
        <v>89</v>
      </c>
      <c r="B69" s="66"/>
      <c r="C69" s="66"/>
      <c r="D69" s="70" t="s">
        <v>88</v>
      </c>
      <c r="E69" s="80"/>
      <c r="F69" s="1"/>
      <c r="G69" s="106"/>
      <c r="H69" s="106"/>
      <c r="I69" s="107"/>
    </row>
    <row r="70" spans="1:9" x14ac:dyDescent="0.25">
      <c r="A70" s="73" t="s">
        <v>90</v>
      </c>
      <c r="B70" s="103" t="s">
        <v>91</v>
      </c>
      <c r="C70" s="103" t="s">
        <v>11</v>
      </c>
      <c r="D70" s="104" t="s">
        <v>92</v>
      </c>
      <c r="E70" s="80"/>
      <c r="F70" s="76">
        <f>SUM(F71:F72)</f>
        <v>0</v>
      </c>
      <c r="G70" s="76">
        <f>SUM(G71:G72)</f>
        <v>652600</v>
      </c>
      <c r="H70" s="76">
        <f>F70+G70</f>
        <v>652600</v>
      </c>
      <c r="I70" s="107"/>
    </row>
    <row r="71" spans="1:9" ht="37.5" x14ac:dyDescent="0.25">
      <c r="A71" s="81"/>
      <c r="B71" s="81"/>
      <c r="C71" s="81"/>
      <c r="D71" s="82"/>
      <c r="E71" s="11" t="s">
        <v>93</v>
      </c>
      <c r="F71" s="83"/>
      <c r="G71" s="83">
        <f>153448</f>
        <v>153448</v>
      </c>
      <c r="H71" s="83">
        <f>F71+G71</f>
        <v>153448</v>
      </c>
      <c r="I71" s="107"/>
    </row>
    <row r="72" spans="1:9" ht="37.5" x14ac:dyDescent="0.25">
      <c r="A72" s="38"/>
      <c r="B72" s="38"/>
      <c r="C72" s="38"/>
      <c r="D72" s="39"/>
      <c r="E72" s="74" t="s">
        <v>82</v>
      </c>
      <c r="F72" s="83"/>
      <c r="G72" s="83">
        <v>499152</v>
      </c>
      <c r="H72" s="83">
        <f>F72+G72</f>
        <v>499152</v>
      </c>
      <c r="I72" s="107"/>
    </row>
    <row r="73" spans="1:9" ht="37.5" x14ac:dyDescent="0.25">
      <c r="A73" s="30">
        <v>1200000</v>
      </c>
      <c r="B73" s="31"/>
      <c r="C73" s="31"/>
      <c r="D73" s="31" t="s">
        <v>54</v>
      </c>
      <c r="E73" s="35"/>
      <c r="F73" s="105">
        <f>F75</f>
        <v>0</v>
      </c>
      <c r="G73" s="105">
        <f>G75</f>
        <v>13729246</v>
      </c>
      <c r="H73" s="105">
        <f>F73+G73</f>
        <v>13729246</v>
      </c>
      <c r="I73" s="107"/>
    </row>
    <row r="74" spans="1:9" ht="37.5" x14ac:dyDescent="0.25">
      <c r="A74" s="30">
        <v>1210000</v>
      </c>
      <c r="B74" s="31"/>
      <c r="C74" s="31"/>
      <c r="D74" s="88" t="s">
        <v>54</v>
      </c>
      <c r="E74" s="80"/>
      <c r="F74" s="1"/>
      <c r="G74" s="1"/>
      <c r="H74" s="1"/>
      <c r="I74" s="107"/>
    </row>
    <row r="75" spans="1:9" ht="37.5" x14ac:dyDescent="0.25">
      <c r="A75" s="38" t="s">
        <v>55</v>
      </c>
      <c r="B75" s="38" t="s">
        <v>28</v>
      </c>
      <c r="C75" s="38" t="s">
        <v>11</v>
      </c>
      <c r="D75" s="39" t="s">
        <v>29</v>
      </c>
      <c r="E75" s="62"/>
      <c r="F75" s="41">
        <f>SUM(F76:F91)</f>
        <v>0</v>
      </c>
      <c r="G75" s="41">
        <f>SUM(G76:G91)</f>
        <v>13729246</v>
      </c>
      <c r="H75" s="41">
        <f t="shared" ref="H75:H92" si="3">F75+G75</f>
        <v>13729246</v>
      </c>
      <c r="I75" s="107"/>
    </row>
    <row r="76" spans="1:9" ht="37.5" x14ac:dyDescent="0.25">
      <c r="A76" s="38"/>
      <c r="B76" s="38"/>
      <c r="C76" s="38"/>
      <c r="D76" s="39"/>
      <c r="E76" s="34" t="s">
        <v>94</v>
      </c>
      <c r="F76" s="83"/>
      <c r="G76" s="83">
        <f>529241</f>
        <v>529241</v>
      </c>
      <c r="H76" s="83">
        <f t="shared" si="3"/>
        <v>529241</v>
      </c>
      <c r="I76" s="107"/>
    </row>
    <row r="77" spans="1:9" x14ac:dyDescent="0.25">
      <c r="A77" s="38"/>
      <c r="B77" s="38"/>
      <c r="C77" s="38"/>
      <c r="D77" s="39"/>
      <c r="E77" s="34" t="s">
        <v>95</v>
      </c>
      <c r="F77" s="83"/>
      <c r="G77" s="83">
        <f>1400000</f>
        <v>1400000</v>
      </c>
      <c r="H77" s="83">
        <f t="shared" si="3"/>
        <v>1400000</v>
      </c>
      <c r="I77" s="107"/>
    </row>
    <row r="78" spans="1:9" x14ac:dyDescent="0.25">
      <c r="A78" s="38"/>
      <c r="B78" s="38"/>
      <c r="C78" s="38"/>
      <c r="D78" s="39"/>
      <c r="E78" s="34" t="s">
        <v>96</v>
      </c>
      <c r="F78" s="83"/>
      <c r="G78" s="83">
        <f>41112</f>
        <v>41112</v>
      </c>
      <c r="H78" s="83">
        <f t="shared" si="3"/>
        <v>41112</v>
      </c>
      <c r="I78" s="107"/>
    </row>
    <row r="79" spans="1:9" ht="37.5" x14ac:dyDescent="0.25">
      <c r="A79" s="38"/>
      <c r="B79" s="38"/>
      <c r="C79" s="38"/>
      <c r="D79" s="39"/>
      <c r="E79" s="34" t="s">
        <v>97</v>
      </c>
      <c r="F79" s="83"/>
      <c r="G79" s="83">
        <f>1594252</f>
        <v>1594252</v>
      </c>
      <c r="H79" s="83">
        <f t="shared" si="3"/>
        <v>1594252</v>
      </c>
      <c r="I79" s="107"/>
    </row>
    <row r="80" spans="1:9" x14ac:dyDescent="0.25">
      <c r="A80" s="38"/>
      <c r="B80" s="38"/>
      <c r="C80" s="38"/>
      <c r="D80" s="39"/>
      <c r="E80" s="34" t="s">
        <v>98</v>
      </c>
      <c r="F80" s="83"/>
      <c r="G80" s="83">
        <f>2682401</f>
        <v>2682401</v>
      </c>
      <c r="H80" s="83">
        <f t="shared" si="3"/>
        <v>2682401</v>
      </c>
      <c r="I80" s="107"/>
    </row>
    <row r="81" spans="1:9" ht="37.5" x14ac:dyDescent="0.25">
      <c r="A81" s="38"/>
      <c r="B81" s="38"/>
      <c r="C81" s="38"/>
      <c r="D81" s="39"/>
      <c r="E81" s="34" t="s">
        <v>99</v>
      </c>
      <c r="F81" s="83"/>
      <c r="G81" s="83">
        <f>474131</f>
        <v>474131</v>
      </c>
      <c r="H81" s="83">
        <f t="shared" si="3"/>
        <v>474131</v>
      </c>
      <c r="I81" s="107"/>
    </row>
    <row r="82" spans="1:9" x14ac:dyDescent="0.25">
      <c r="A82" s="38"/>
      <c r="B82" s="38"/>
      <c r="C82" s="38"/>
      <c r="D82" s="39"/>
      <c r="E82" s="113" t="s">
        <v>100</v>
      </c>
      <c r="F82" s="83"/>
      <c r="G82" s="83">
        <f>950000</f>
        <v>950000</v>
      </c>
      <c r="H82" s="83">
        <f t="shared" si="3"/>
        <v>950000</v>
      </c>
      <c r="I82" s="107"/>
    </row>
    <row r="83" spans="1:9" ht="37.5" x14ac:dyDescent="0.25">
      <c r="A83" s="38"/>
      <c r="B83" s="38"/>
      <c r="C83" s="38"/>
      <c r="D83" s="39"/>
      <c r="E83" s="113" t="s">
        <v>101</v>
      </c>
      <c r="F83" s="83"/>
      <c r="G83" s="83">
        <f>1777093</f>
        <v>1777093</v>
      </c>
      <c r="H83" s="83">
        <f t="shared" si="3"/>
        <v>1777093</v>
      </c>
      <c r="I83" s="107"/>
    </row>
    <row r="84" spans="1:9" ht="37.5" x14ac:dyDescent="0.25">
      <c r="A84" s="38"/>
      <c r="B84" s="38"/>
      <c r="C84" s="38"/>
      <c r="D84" s="39"/>
      <c r="E84" s="34" t="s">
        <v>102</v>
      </c>
      <c r="F84" s="83"/>
      <c r="G84" s="83">
        <f>1289261</f>
        <v>1289261</v>
      </c>
      <c r="H84" s="83">
        <f t="shared" si="3"/>
        <v>1289261</v>
      </c>
      <c r="I84" s="107"/>
    </row>
    <row r="85" spans="1:9" ht="37.5" x14ac:dyDescent="0.25">
      <c r="A85" s="38"/>
      <c r="B85" s="38"/>
      <c r="C85" s="38"/>
      <c r="D85" s="39"/>
      <c r="E85" s="34" t="s">
        <v>103</v>
      </c>
      <c r="F85" s="83"/>
      <c r="G85" s="83">
        <f>75772</f>
        <v>75772</v>
      </c>
      <c r="H85" s="83">
        <f t="shared" si="3"/>
        <v>75772</v>
      </c>
      <c r="I85" s="107"/>
    </row>
    <row r="86" spans="1:9" ht="37.5" x14ac:dyDescent="0.25">
      <c r="A86" s="38"/>
      <c r="B86" s="38"/>
      <c r="C86" s="38"/>
      <c r="D86" s="39"/>
      <c r="E86" s="113" t="s">
        <v>104</v>
      </c>
      <c r="F86" s="83"/>
      <c r="G86" s="83">
        <f>1140387</f>
        <v>1140387</v>
      </c>
      <c r="H86" s="83">
        <f t="shared" si="3"/>
        <v>1140387</v>
      </c>
      <c r="I86" s="107"/>
    </row>
    <row r="87" spans="1:9" x14ac:dyDescent="0.25">
      <c r="A87" s="38"/>
      <c r="B87" s="38"/>
      <c r="C87" s="38"/>
      <c r="D87" s="39"/>
      <c r="E87" s="80" t="s">
        <v>105</v>
      </c>
      <c r="F87" s="83"/>
      <c r="G87" s="83">
        <f>3994</f>
        <v>3994</v>
      </c>
      <c r="H87" s="83">
        <f t="shared" si="3"/>
        <v>3994</v>
      </c>
      <c r="I87" s="107"/>
    </row>
    <row r="88" spans="1:9" ht="37.5" x14ac:dyDescent="0.25">
      <c r="A88" s="38"/>
      <c r="B88" s="38"/>
      <c r="C88" s="38"/>
      <c r="D88" s="39"/>
      <c r="E88" s="80" t="s">
        <v>106</v>
      </c>
      <c r="F88" s="83"/>
      <c r="G88" s="83">
        <f>83000</f>
        <v>83000</v>
      </c>
      <c r="H88" s="83">
        <f t="shared" si="3"/>
        <v>83000</v>
      </c>
      <c r="I88" s="107"/>
    </row>
    <row r="89" spans="1:9" x14ac:dyDescent="0.25">
      <c r="A89" s="38"/>
      <c r="B89" s="38"/>
      <c r="C89" s="38"/>
      <c r="D89" s="39"/>
      <c r="E89" s="114" t="s">
        <v>107</v>
      </c>
      <c r="F89" s="83"/>
      <c r="G89" s="83">
        <f>100000</f>
        <v>100000</v>
      </c>
      <c r="H89" s="83">
        <f t="shared" si="3"/>
        <v>100000</v>
      </c>
      <c r="I89" s="107"/>
    </row>
    <row r="90" spans="1:9" ht="37.5" x14ac:dyDescent="0.25">
      <c r="A90" s="38"/>
      <c r="B90" s="38"/>
      <c r="C90" s="38"/>
      <c r="D90" s="39"/>
      <c r="E90" s="115" t="s">
        <v>82</v>
      </c>
      <c r="F90" s="83"/>
      <c r="G90" s="83">
        <f>279703</f>
        <v>279703</v>
      </c>
      <c r="H90" s="83">
        <f t="shared" si="3"/>
        <v>279703</v>
      </c>
      <c r="I90" s="107"/>
    </row>
    <row r="91" spans="1:9" ht="37.5" x14ac:dyDescent="0.25">
      <c r="A91" s="38"/>
      <c r="B91" s="38"/>
      <c r="C91" s="38"/>
      <c r="D91" s="39"/>
      <c r="E91" s="116" t="s">
        <v>108</v>
      </c>
      <c r="F91" s="83"/>
      <c r="G91" s="83">
        <f>888899+420000</f>
        <v>1308899</v>
      </c>
      <c r="H91" s="83">
        <f t="shared" si="3"/>
        <v>1308899</v>
      </c>
      <c r="I91" s="107"/>
    </row>
    <row r="92" spans="1:9" ht="37.5" x14ac:dyDescent="0.25">
      <c r="A92" s="89" t="s">
        <v>58</v>
      </c>
      <c r="B92" s="31"/>
      <c r="C92" s="31"/>
      <c r="D92" s="30" t="s">
        <v>59</v>
      </c>
      <c r="E92" s="35"/>
      <c r="F92" s="105">
        <f>F94</f>
        <v>0</v>
      </c>
      <c r="G92" s="105">
        <f>G94</f>
        <v>23515913</v>
      </c>
      <c r="H92" s="105">
        <f t="shared" si="3"/>
        <v>23515913</v>
      </c>
      <c r="I92" s="107"/>
    </row>
    <row r="93" spans="1:9" ht="37.5" x14ac:dyDescent="0.25">
      <c r="A93" s="89" t="s">
        <v>60</v>
      </c>
      <c r="B93" s="31"/>
      <c r="C93" s="31"/>
      <c r="D93" s="35" t="s">
        <v>59</v>
      </c>
      <c r="E93" s="80"/>
      <c r="F93" s="1"/>
      <c r="G93" s="1"/>
      <c r="H93" s="1"/>
      <c r="I93" s="107"/>
    </row>
    <row r="94" spans="1:9" ht="37.5" x14ac:dyDescent="0.25">
      <c r="A94" s="38" t="s">
        <v>61</v>
      </c>
      <c r="B94" s="38" t="s">
        <v>28</v>
      </c>
      <c r="C94" s="38" t="s">
        <v>11</v>
      </c>
      <c r="D94" s="39" t="s">
        <v>29</v>
      </c>
      <c r="E94" s="62"/>
      <c r="F94" s="41">
        <f>SUM(F95:F103)</f>
        <v>0</v>
      </c>
      <c r="G94" s="41">
        <f>SUM(G95:G103)</f>
        <v>23515913</v>
      </c>
      <c r="H94" s="41">
        <f t="shared" ref="H94:H103" si="4">F94+G94</f>
        <v>23515913</v>
      </c>
      <c r="I94" s="107"/>
    </row>
    <row r="95" spans="1:9" ht="37.5" x14ac:dyDescent="0.25">
      <c r="A95" s="38"/>
      <c r="B95" s="38"/>
      <c r="C95" s="38"/>
      <c r="D95" s="39"/>
      <c r="E95" s="80" t="s">
        <v>112</v>
      </c>
      <c r="F95" s="83"/>
      <c r="G95" s="83">
        <f>40000</f>
        <v>40000</v>
      </c>
      <c r="H95" s="83">
        <f t="shared" si="4"/>
        <v>40000</v>
      </c>
      <c r="I95" s="107"/>
    </row>
    <row r="96" spans="1:9" x14ac:dyDescent="0.25">
      <c r="A96" s="38"/>
      <c r="B96" s="38"/>
      <c r="C96" s="38"/>
      <c r="D96" s="39"/>
      <c r="E96" s="80" t="s">
        <v>109</v>
      </c>
      <c r="F96" s="83"/>
      <c r="G96" s="83">
        <f>81748</f>
        <v>81748</v>
      </c>
      <c r="H96" s="83">
        <f t="shared" si="4"/>
        <v>81748</v>
      </c>
      <c r="I96" s="107"/>
    </row>
    <row r="97" spans="1:23" ht="37.5" x14ac:dyDescent="0.25">
      <c r="A97" s="38"/>
      <c r="B97" s="38"/>
      <c r="C97" s="38"/>
      <c r="D97" s="39"/>
      <c r="E97" s="80" t="s">
        <v>110</v>
      </c>
      <c r="F97" s="83"/>
      <c r="G97" s="83">
        <f>3213578</f>
        <v>3213578</v>
      </c>
      <c r="H97" s="83">
        <f t="shared" si="4"/>
        <v>3213578</v>
      </c>
      <c r="I97" s="107"/>
    </row>
    <row r="98" spans="1:23" x14ac:dyDescent="0.25">
      <c r="A98" s="38"/>
      <c r="B98" s="38"/>
      <c r="C98" s="38"/>
      <c r="D98" s="39"/>
      <c r="E98" s="80" t="s">
        <v>111</v>
      </c>
      <c r="F98" s="83"/>
      <c r="G98" s="83">
        <f>7715005</f>
        <v>7715005</v>
      </c>
      <c r="H98" s="83">
        <f t="shared" si="4"/>
        <v>7715005</v>
      </c>
      <c r="I98" s="107"/>
    </row>
    <row r="99" spans="1:23" ht="37.5" x14ac:dyDescent="0.25">
      <c r="A99" s="38"/>
      <c r="B99" s="38"/>
      <c r="C99" s="38"/>
      <c r="D99" s="39"/>
      <c r="E99" s="80" t="s">
        <v>62</v>
      </c>
      <c r="F99" s="83"/>
      <c r="G99" s="83">
        <f>2209626</f>
        <v>2209626</v>
      </c>
      <c r="H99" s="83">
        <f t="shared" si="4"/>
        <v>2209626</v>
      </c>
      <c r="I99" s="107"/>
    </row>
    <row r="100" spans="1:23" ht="37.5" x14ac:dyDescent="0.25">
      <c r="A100" s="38"/>
      <c r="B100" s="38"/>
      <c r="C100" s="38"/>
      <c r="D100" s="39"/>
      <c r="E100" s="80" t="s">
        <v>113</v>
      </c>
      <c r="F100" s="83"/>
      <c r="G100" s="83">
        <f>646072</f>
        <v>646072</v>
      </c>
      <c r="H100" s="83">
        <f t="shared" si="4"/>
        <v>646072</v>
      </c>
      <c r="I100" s="107"/>
    </row>
    <row r="101" spans="1:23" ht="56.25" x14ac:dyDescent="0.25">
      <c r="A101" s="38"/>
      <c r="B101" s="38"/>
      <c r="C101" s="38"/>
      <c r="D101" s="39"/>
      <c r="E101" s="80" t="s">
        <v>114</v>
      </c>
      <c r="F101" s="83"/>
      <c r="G101" s="83">
        <f>99803</f>
        <v>99803</v>
      </c>
      <c r="H101" s="83">
        <f t="shared" si="4"/>
        <v>99803</v>
      </c>
      <c r="I101" s="107"/>
    </row>
    <row r="102" spans="1:23" ht="37.5" x14ac:dyDescent="0.25">
      <c r="A102" s="38"/>
      <c r="B102" s="38"/>
      <c r="C102" s="38"/>
      <c r="D102" s="39"/>
      <c r="E102" s="117" t="s">
        <v>82</v>
      </c>
      <c r="F102" s="83"/>
      <c r="G102" s="83">
        <f>1652741+7767390</f>
        <v>9420131</v>
      </c>
      <c r="H102" s="83">
        <f t="shared" si="4"/>
        <v>9420131</v>
      </c>
      <c r="I102" s="107"/>
    </row>
    <row r="103" spans="1:23" ht="37.5" x14ac:dyDescent="0.25">
      <c r="A103" s="38"/>
      <c r="B103" s="38"/>
      <c r="C103" s="38"/>
      <c r="D103" s="39"/>
      <c r="E103" s="90" t="s">
        <v>108</v>
      </c>
      <c r="F103" s="83"/>
      <c r="G103" s="83">
        <f>89950</f>
        <v>89950</v>
      </c>
      <c r="H103" s="83">
        <f t="shared" si="4"/>
        <v>89950</v>
      </c>
      <c r="I103" s="107"/>
    </row>
    <row r="104" spans="1:23" s="4" customFormat="1" ht="37.5" x14ac:dyDescent="0.25">
      <c r="A104" s="30">
        <v>1500000</v>
      </c>
      <c r="B104" s="30"/>
      <c r="C104" s="30"/>
      <c r="D104" s="30" t="s">
        <v>10</v>
      </c>
      <c r="E104" s="61"/>
      <c r="F104" s="33">
        <f>F106+F131+F138+F140+F144+F146</f>
        <v>225000000</v>
      </c>
      <c r="G104" s="33">
        <f>G106+G131+G138+G140+G144+G146</f>
        <v>-54852615</v>
      </c>
      <c r="H104" s="105">
        <f t="shared" si="2"/>
        <v>170147385</v>
      </c>
      <c r="I104" s="109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</row>
    <row r="105" spans="1:23" s="4" customFormat="1" ht="37.5" x14ac:dyDescent="0.25">
      <c r="A105" s="30">
        <v>1510000</v>
      </c>
      <c r="B105" s="30"/>
      <c r="C105" s="30"/>
      <c r="D105" s="35" t="s">
        <v>10</v>
      </c>
      <c r="E105" s="61"/>
      <c r="F105" s="1"/>
      <c r="G105" s="1"/>
      <c r="H105" s="1">
        <f t="shared" si="2"/>
        <v>0</v>
      </c>
      <c r="I105" s="107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</row>
    <row r="106" spans="1:23" s="4" customFormat="1" ht="37.5" x14ac:dyDescent="0.25">
      <c r="A106" s="38" t="s">
        <v>27</v>
      </c>
      <c r="B106" s="38" t="s">
        <v>28</v>
      </c>
      <c r="C106" s="38" t="s">
        <v>11</v>
      </c>
      <c r="D106" s="39" t="s">
        <v>29</v>
      </c>
      <c r="E106" s="62"/>
      <c r="F106" s="41">
        <f>SUM(F107:F130)</f>
        <v>150000000</v>
      </c>
      <c r="G106" s="41">
        <f>SUM(G107:G130)</f>
        <v>12688873</v>
      </c>
      <c r="H106" s="1">
        <f t="shared" si="2"/>
        <v>162688873</v>
      </c>
      <c r="I106" s="110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</row>
    <row r="107" spans="1:23" s="4" customFormat="1" x14ac:dyDescent="0.25">
      <c r="A107" s="38"/>
      <c r="B107" s="38"/>
      <c r="C107" s="38"/>
      <c r="D107" s="39"/>
      <c r="E107" s="33" t="s">
        <v>30</v>
      </c>
      <c r="F107" s="41"/>
      <c r="G107" s="41"/>
      <c r="H107" s="1">
        <f t="shared" si="2"/>
        <v>0</v>
      </c>
      <c r="I107" s="110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</row>
    <row r="108" spans="1:23" s="4" customFormat="1" ht="75" x14ac:dyDescent="0.25">
      <c r="A108" s="38"/>
      <c r="B108" s="38"/>
      <c r="C108" s="38"/>
      <c r="D108" s="39"/>
      <c r="E108" s="63" t="s">
        <v>31</v>
      </c>
      <c r="F108" s="14">
        <v>110000000</v>
      </c>
      <c r="G108" s="14"/>
      <c r="H108" s="36">
        <f t="shared" si="2"/>
        <v>110000000</v>
      </c>
      <c r="I108" s="107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</row>
    <row r="109" spans="1:23" s="4" customFormat="1" ht="93.75" x14ac:dyDescent="0.25">
      <c r="A109" s="38"/>
      <c r="B109" s="38"/>
      <c r="C109" s="38"/>
      <c r="D109" s="39"/>
      <c r="E109" s="63" t="s">
        <v>32</v>
      </c>
      <c r="F109" s="14">
        <v>10000000</v>
      </c>
      <c r="G109" s="14"/>
      <c r="H109" s="36">
        <f t="shared" si="2"/>
        <v>10000000</v>
      </c>
      <c r="I109" s="107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</row>
    <row r="110" spans="1:23" s="4" customFormat="1" ht="75" x14ac:dyDescent="0.25">
      <c r="A110" s="38"/>
      <c r="B110" s="38"/>
      <c r="C110" s="38"/>
      <c r="D110" s="39"/>
      <c r="E110" s="63" t="s">
        <v>33</v>
      </c>
      <c r="F110" s="14">
        <v>30000000</v>
      </c>
      <c r="G110" s="14">
        <f>-4305000</f>
        <v>-4305000</v>
      </c>
      <c r="H110" s="36">
        <f t="shared" si="2"/>
        <v>25695000</v>
      </c>
      <c r="I110" s="107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</row>
    <row r="111" spans="1:23" s="4" customFormat="1" ht="37.5" x14ac:dyDescent="0.25">
      <c r="A111" s="38"/>
      <c r="B111" s="38"/>
      <c r="C111" s="38"/>
      <c r="D111" s="39"/>
      <c r="E111" s="100" t="s">
        <v>115</v>
      </c>
      <c r="F111" s="14"/>
      <c r="G111" s="14">
        <f>300000</f>
        <v>300000</v>
      </c>
      <c r="H111" s="36">
        <f t="shared" si="2"/>
        <v>300000</v>
      </c>
      <c r="I111" s="107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</row>
    <row r="112" spans="1:23" s="4" customFormat="1" ht="37.5" x14ac:dyDescent="0.25">
      <c r="A112" s="38"/>
      <c r="B112" s="38"/>
      <c r="C112" s="38"/>
      <c r="D112" s="39"/>
      <c r="E112" s="100" t="s">
        <v>116</v>
      </c>
      <c r="F112" s="14"/>
      <c r="G112" s="14">
        <f>5000000</f>
        <v>5000000</v>
      </c>
      <c r="H112" s="36">
        <f t="shared" si="2"/>
        <v>5000000</v>
      </c>
      <c r="I112" s="107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</row>
    <row r="113" spans="1:23" s="4" customFormat="1" x14ac:dyDescent="0.25">
      <c r="A113" s="38"/>
      <c r="B113" s="38"/>
      <c r="C113" s="38"/>
      <c r="D113" s="39"/>
      <c r="E113" s="20" t="s">
        <v>68</v>
      </c>
      <c r="F113" s="14"/>
      <c r="G113" s="14"/>
      <c r="H113" s="36"/>
      <c r="I113" s="107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</row>
    <row r="114" spans="1:23" s="4" customFormat="1" ht="37.5" x14ac:dyDescent="0.25">
      <c r="A114" s="38"/>
      <c r="B114" s="38"/>
      <c r="C114" s="38"/>
      <c r="D114" s="39"/>
      <c r="E114" s="100" t="s">
        <v>117</v>
      </c>
      <c r="F114" s="14"/>
      <c r="G114" s="14">
        <f>1500</f>
        <v>1500</v>
      </c>
      <c r="H114" s="36">
        <f t="shared" si="2"/>
        <v>1500</v>
      </c>
      <c r="I114" s="107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</row>
    <row r="115" spans="1:23" s="4" customFormat="1" ht="37.5" x14ac:dyDescent="0.25">
      <c r="A115" s="38"/>
      <c r="B115" s="38"/>
      <c r="C115" s="38"/>
      <c r="D115" s="39"/>
      <c r="E115" s="100" t="s">
        <v>70</v>
      </c>
      <c r="F115" s="14"/>
      <c r="G115" s="14">
        <f>804537</f>
        <v>804537</v>
      </c>
      <c r="H115" s="36">
        <f t="shared" si="2"/>
        <v>804537</v>
      </c>
      <c r="I115" s="107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</row>
    <row r="116" spans="1:23" s="4" customFormat="1" ht="56.25" x14ac:dyDescent="0.25">
      <c r="A116" s="38"/>
      <c r="B116" s="38"/>
      <c r="C116" s="38"/>
      <c r="D116" s="39"/>
      <c r="E116" s="100" t="s">
        <v>118</v>
      </c>
      <c r="F116" s="14"/>
      <c r="G116" s="14">
        <f>13050</f>
        <v>13050</v>
      </c>
      <c r="H116" s="36">
        <f t="shared" si="2"/>
        <v>13050</v>
      </c>
      <c r="I116" s="107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</row>
    <row r="117" spans="1:23" s="4" customFormat="1" ht="37.5" x14ac:dyDescent="0.25">
      <c r="A117" s="38"/>
      <c r="B117" s="38"/>
      <c r="C117" s="38"/>
      <c r="D117" s="39"/>
      <c r="E117" s="100" t="s">
        <v>119</v>
      </c>
      <c r="F117" s="14"/>
      <c r="G117" s="14">
        <f>416975</f>
        <v>416975</v>
      </c>
      <c r="H117" s="36">
        <f t="shared" si="2"/>
        <v>416975</v>
      </c>
      <c r="I117" s="107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</row>
    <row r="118" spans="1:23" s="4" customFormat="1" ht="75" x14ac:dyDescent="0.25">
      <c r="A118" s="38"/>
      <c r="B118" s="38"/>
      <c r="C118" s="38"/>
      <c r="D118" s="39"/>
      <c r="E118" s="100" t="s">
        <v>120</v>
      </c>
      <c r="F118" s="14"/>
      <c r="G118" s="14">
        <f>48822</f>
        <v>48822</v>
      </c>
      <c r="H118" s="36">
        <f t="shared" si="2"/>
        <v>48822</v>
      </c>
      <c r="I118" s="107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</row>
    <row r="119" spans="1:23" s="4" customFormat="1" ht="37.5" x14ac:dyDescent="0.25">
      <c r="A119" s="38"/>
      <c r="B119" s="38"/>
      <c r="C119" s="38"/>
      <c r="D119" s="39"/>
      <c r="E119" s="100" t="s">
        <v>69</v>
      </c>
      <c r="F119" s="14"/>
      <c r="G119" s="14">
        <f>87803</f>
        <v>87803</v>
      </c>
      <c r="H119" s="36">
        <f t="shared" si="2"/>
        <v>87803</v>
      </c>
      <c r="I119" s="107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</row>
    <row r="120" spans="1:23" s="4" customFormat="1" ht="37.5" x14ac:dyDescent="0.25">
      <c r="A120" s="38"/>
      <c r="B120" s="38"/>
      <c r="C120" s="38"/>
      <c r="D120" s="39"/>
      <c r="E120" s="62" t="s">
        <v>71</v>
      </c>
      <c r="F120" s="14"/>
      <c r="G120" s="14"/>
      <c r="H120" s="36"/>
      <c r="I120" s="107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</row>
    <row r="121" spans="1:23" s="4" customFormat="1" x14ac:dyDescent="0.25">
      <c r="A121" s="38"/>
      <c r="B121" s="38"/>
      <c r="C121" s="38"/>
      <c r="D121" s="39"/>
      <c r="E121" s="100" t="s">
        <v>121</v>
      </c>
      <c r="F121" s="14"/>
      <c r="G121" s="14">
        <f>9947</f>
        <v>9947</v>
      </c>
      <c r="H121" s="36">
        <f t="shared" si="2"/>
        <v>9947</v>
      </c>
      <c r="I121" s="107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</row>
    <row r="122" spans="1:23" s="4" customFormat="1" ht="37.5" x14ac:dyDescent="0.25">
      <c r="A122" s="38"/>
      <c r="B122" s="38"/>
      <c r="C122" s="38"/>
      <c r="D122" s="39"/>
      <c r="E122" s="100" t="s">
        <v>72</v>
      </c>
      <c r="F122" s="14"/>
      <c r="G122" s="14">
        <f>8370704</f>
        <v>8370704</v>
      </c>
      <c r="H122" s="36">
        <f t="shared" si="2"/>
        <v>8370704</v>
      </c>
      <c r="I122" s="107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</row>
    <row r="123" spans="1:23" s="4" customFormat="1" ht="37.5" x14ac:dyDescent="0.25">
      <c r="A123" s="38"/>
      <c r="B123" s="38"/>
      <c r="C123" s="38"/>
      <c r="D123" s="39"/>
      <c r="E123" s="100" t="s">
        <v>122</v>
      </c>
      <c r="F123" s="14"/>
      <c r="G123" s="14">
        <f>1000000</f>
        <v>1000000</v>
      </c>
      <c r="H123" s="36">
        <f t="shared" si="2"/>
        <v>1000000</v>
      </c>
      <c r="I123" s="107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</row>
    <row r="124" spans="1:23" s="4" customFormat="1" x14ac:dyDescent="0.25">
      <c r="A124" s="38"/>
      <c r="B124" s="38"/>
      <c r="C124" s="38"/>
      <c r="D124" s="39"/>
      <c r="E124" s="100" t="s">
        <v>123</v>
      </c>
      <c r="F124" s="14"/>
      <c r="G124" s="14">
        <f>46505</f>
        <v>46505</v>
      </c>
      <c r="H124" s="36">
        <f t="shared" si="2"/>
        <v>46505</v>
      </c>
      <c r="I124" s="107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</row>
    <row r="125" spans="1:23" s="4" customFormat="1" x14ac:dyDescent="0.25">
      <c r="A125" s="38"/>
      <c r="B125" s="38"/>
      <c r="C125" s="38"/>
      <c r="D125" s="39"/>
      <c r="E125" s="20" t="s">
        <v>124</v>
      </c>
      <c r="F125" s="14"/>
      <c r="G125" s="14"/>
      <c r="H125" s="36"/>
      <c r="I125" s="107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</row>
    <row r="126" spans="1:23" s="4" customFormat="1" ht="37.5" x14ac:dyDescent="0.25">
      <c r="A126" s="38"/>
      <c r="B126" s="38"/>
      <c r="C126" s="38"/>
      <c r="D126" s="39"/>
      <c r="E126" s="100" t="s">
        <v>97</v>
      </c>
      <c r="F126" s="14"/>
      <c r="G126" s="14">
        <f>435538</f>
        <v>435538</v>
      </c>
      <c r="H126" s="36">
        <f t="shared" si="2"/>
        <v>435538</v>
      </c>
      <c r="I126" s="107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</row>
    <row r="127" spans="1:23" s="4" customFormat="1" ht="37.5" x14ac:dyDescent="0.25">
      <c r="A127" s="38"/>
      <c r="B127" s="38"/>
      <c r="C127" s="38"/>
      <c r="D127" s="39"/>
      <c r="E127" s="100" t="s">
        <v>125</v>
      </c>
      <c r="F127" s="14"/>
      <c r="G127" s="14">
        <f>3560</f>
        <v>3560</v>
      </c>
      <c r="H127" s="36">
        <f t="shared" si="2"/>
        <v>3560</v>
      </c>
      <c r="I127" s="107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</row>
    <row r="128" spans="1:23" s="4" customFormat="1" ht="37.5" x14ac:dyDescent="0.25">
      <c r="A128" s="38"/>
      <c r="B128" s="38"/>
      <c r="C128" s="38"/>
      <c r="D128" s="39"/>
      <c r="E128" s="100" t="s">
        <v>126</v>
      </c>
      <c r="F128" s="14"/>
      <c r="G128" s="14">
        <f>384379</f>
        <v>384379</v>
      </c>
      <c r="H128" s="36">
        <f t="shared" si="2"/>
        <v>384379</v>
      </c>
      <c r="I128" s="107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</row>
    <row r="129" spans="1:23" s="4" customFormat="1" ht="37.5" x14ac:dyDescent="0.25">
      <c r="A129" s="38"/>
      <c r="B129" s="38"/>
      <c r="C129" s="38"/>
      <c r="D129" s="39"/>
      <c r="E129" s="100" t="s">
        <v>127</v>
      </c>
      <c r="F129" s="14"/>
      <c r="G129" s="14">
        <f>3560</f>
        <v>3560</v>
      </c>
      <c r="H129" s="36">
        <f t="shared" si="2"/>
        <v>3560</v>
      </c>
      <c r="I129" s="107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</row>
    <row r="130" spans="1:23" s="4" customFormat="1" ht="37.5" x14ac:dyDescent="0.25">
      <c r="A130" s="38"/>
      <c r="B130" s="38"/>
      <c r="C130" s="38"/>
      <c r="D130" s="39"/>
      <c r="E130" s="100" t="s">
        <v>128</v>
      </c>
      <c r="F130" s="14"/>
      <c r="G130" s="14">
        <f>66993</f>
        <v>66993</v>
      </c>
      <c r="H130" s="36">
        <f t="shared" si="2"/>
        <v>66993</v>
      </c>
      <c r="I130" s="107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</row>
    <row r="131" spans="1:23" s="4" customFormat="1" x14ac:dyDescent="0.25">
      <c r="A131" s="38" t="s">
        <v>73</v>
      </c>
      <c r="B131" s="38" t="s">
        <v>46</v>
      </c>
      <c r="C131" s="38" t="s">
        <v>11</v>
      </c>
      <c r="D131" s="39" t="s">
        <v>47</v>
      </c>
      <c r="E131" s="80"/>
      <c r="F131" s="76">
        <f>SUM(F132:F137)</f>
        <v>0</v>
      </c>
      <c r="G131" s="76">
        <f>SUM(G132:G137)</f>
        <v>3500000</v>
      </c>
      <c r="H131" s="76">
        <f t="shared" si="2"/>
        <v>3500000</v>
      </c>
      <c r="I131" s="107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</row>
    <row r="132" spans="1:23" s="4" customFormat="1" x14ac:dyDescent="0.25">
      <c r="A132" s="38"/>
      <c r="B132" s="38"/>
      <c r="C132" s="38"/>
      <c r="D132" s="39"/>
      <c r="E132" s="20" t="s">
        <v>129</v>
      </c>
      <c r="F132" s="14"/>
      <c r="G132" s="14"/>
      <c r="H132" s="36"/>
      <c r="I132" s="107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</row>
    <row r="133" spans="1:23" s="4" customFormat="1" ht="37.5" x14ac:dyDescent="0.25">
      <c r="A133" s="38"/>
      <c r="B133" s="38"/>
      <c r="C133" s="38"/>
      <c r="D133" s="39"/>
      <c r="E133" s="100" t="s">
        <v>74</v>
      </c>
      <c r="F133" s="14"/>
      <c r="G133" s="14">
        <f>500000</f>
        <v>500000</v>
      </c>
      <c r="H133" s="36">
        <f t="shared" si="2"/>
        <v>500000</v>
      </c>
      <c r="I133" s="107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</row>
    <row r="134" spans="1:23" s="4" customFormat="1" x14ac:dyDescent="0.25">
      <c r="A134" s="38"/>
      <c r="B134" s="38"/>
      <c r="C134" s="38"/>
      <c r="D134" s="39"/>
      <c r="E134" s="20" t="s">
        <v>133</v>
      </c>
      <c r="F134" s="14"/>
      <c r="G134" s="14"/>
      <c r="H134" s="36"/>
      <c r="I134" s="107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</row>
    <row r="135" spans="1:23" s="4" customFormat="1" ht="37.5" x14ac:dyDescent="0.25">
      <c r="A135" s="38"/>
      <c r="B135" s="38"/>
      <c r="C135" s="38"/>
      <c r="D135" s="39"/>
      <c r="E135" s="118" t="s">
        <v>130</v>
      </c>
      <c r="F135" s="14"/>
      <c r="G135" s="14">
        <f>1500000</f>
        <v>1500000</v>
      </c>
      <c r="H135" s="36">
        <f t="shared" si="2"/>
        <v>1500000</v>
      </c>
      <c r="I135" s="107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</row>
    <row r="136" spans="1:23" s="4" customFormat="1" x14ac:dyDescent="0.25">
      <c r="A136" s="38"/>
      <c r="B136" s="38"/>
      <c r="C136" s="38"/>
      <c r="D136" s="39"/>
      <c r="E136" s="20" t="s">
        <v>131</v>
      </c>
      <c r="F136" s="14"/>
      <c r="G136" s="14"/>
      <c r="H136" s="36"/>
      <c r="I136" s="107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</row>
    <row r="137" spans="1:23" s="4" customFormat="1" ht="37.5" x14ac:dyDescent="0.25">
      <c r="A137" s="38"/>
      <c r="B137" s="38"/>
      <c r="C137" s="38"/>
      <c r="D137" s="39"/>
      <c r="E137" s="100" t="s">
        <v>132</v>
      </c>
      <c r="F137" s="14"/>
      <c r="G137" s="14">
        <f>1500000</f>
        <v>1500000</v>
      </c>
      <c r="H137" s="36">
        <f t="shared" si="2"/>
        <v>1500000</v>
      </c>
      <c r="I137" s="107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</row>
    <row r="138" spans="1:23" s="4" customFormat="1" x14ac:dyDescent="0.25">
      <c r="A138" s="38" t="s">
        <v>134</v>
      </c>
      <c r="B138" s="38" t="s">
        <v>91</v>
      </c>
      <c r="C138" s="38" t="s">
        <v>11</v>
      </c>
      <c r="D138" s="39" t="s">
        <v>92</v>
      </c>
      <c r="E138" s="80"/>
      <c r="F138" s="76">
        <f>SUM(F139)</f>
        <v>0</v>
      </c>
      <c r="G138" s="76">
        <f>SUM(G139)</f>
        <v>9857</v>
      </c>
      <c r="H138" s="76">
        <f>F138+G138</f>
        <v>9857</v>
      </c>
      <c r="I138" s="107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</row>
    <row r="139" spans="1:23" s="4" customFormat="1" ht="37.5" x14ac:dyDescent="0.25">
      <c r="A139" s="38"/>
      <c r="B139" s="38"/>
      <c r="C139" s="38"/>
      <c r="D139" s="39"/>
      <c r="E139" s="100" t="s">
        <v>135</v>
      </c>
      <c r="F139" s="14"/>
      <c r="G139" s="14">
        <f>9857</f>
        <v>9857</v>
      </c>
      <c r="H139" s="36">
        <f t="shared" si="2"/>
        <v>9857</v>
      </c>
      <c r="I139" s="107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</row>
    <row r="140" spans="1:23" s="9" customFormat="1" x14ac:dyDescent="0.25">
      <c r="A140" s="38" t="s">
        <v>12</v>
      </c>
      <c r="B140" s="38" t="s">
        <v>13</v>
      </c>
      <c r="C140" s="38" t="s">
        <v>11</v>
      </c>
      <c r="D140" s="39" t="s">
        <v>37</v>
      </c>
      <c r="E140" s="40"/>
      <c r="F140" s="41">
        <f>SUM(F141:F143)</f>
        <v>25000000</v>
      </c>
      <c r="G140" s="41">
        <f>SUM(G141:G143)</f>
        <v>-21067078</v>
      </c>
      <c r="H140" s="36">
        <f t="shared" si="2"/>
        <v>3932922</v>
      </c>
      <c r="I140" s="111"/>
      <c r="J140" s="8"/>
      <c r="K140" s="8"/>
    </row>
    <row r="141" spans="1:23" s="47" customFormat="1" x14ac:dyDescent="0.25">
      <c r="A141" s="38"/>
      <c r="B141" s="38"/>
      <c r="C141" s="38"/>
      <c r="D141" s="39"/>
      <c r="E141" s="42" t="s">
        <v>38</v>
      </c>
      <c r="F141" s="1">
        <v>25000000</v>
      </c>
      <c r="G141" s="1">
        <f>-21151998</f>
        <v>-21151998</v>
      </c>
      <c r="H141" s="1">
        <f t="shared" si="2"/>
        <v>3848002</v>
      </c>
      <c r="I141" s="109"/>
      <c r="J141" s="46"/>
      <c r="K141" s="46"/>
      <c r="L141" s="46"/>
    </row>
    <row r="142" spans="1:23" s="47" customFormat="1" ht="37.5" x14ac:dyDescent="0.25">
      <c r="A142" s="38"/>
      <c r="B142" s="38"/>
      <c r="C142" s="38"/>
      <c r="D142" s="39"/>
      <c r="E142" s="119" t="s">
        <v>136</v>
      </c>
      <c r="F142" s="1"/>
      <c r="G142" s="1">
        <f>83140</f>
        <v>83140</v>
      </c>
      <c r="H142" s="1">
        <f t="shared" si="2"/>
        <v>83140</v>
      </c>
      <c r="I142" s="109"/>
      <c r="J142" s="46"/>
      <c r="K142" s="46"/>
      <c r="L142" s="46"/>
    </row>
    <row r="143" spans="1:23" s="47" customFormat="1" ht="37.5" x14ac:dyDescent="0.25">
      <c r="A143" s="38"/>
      <c r="B143" s="38"/>
      <c r="C143" s="38"/>
      <c r="D143" s="39"/>
      <c r="E143" s="120" t="s">
        <v>137</v>
      </c>
      <c r="F143" s="1"/>
      <c r="G143" s="1">
        <f>1780</f>
        <v>1780</v>
      </c>
      <c r="H143" s="1">
        <f t="shared" si="2"/>
        <v>1780</v>
      </c>
      <c r="I143" s="109"/>
      <c r="J143" s="46"/>
      <c r="K143" s="46"/>
      <c r="L143" s="46"/>
    </row>
    <row r="144" spans="1:23" s="4" customFormat="1" ht="37.5" x14ac:dyDescent="0.25">
      <c r="A144" s="38" t="s">
        <v>138</v>
      </c>
      <c r="B144" s="103" t="s">
        <v>139</v>
      </c>
      <c r="C144" s="103" t="s">
        <v>11</v>
      </c>
      <c r="D144" s="104" t="s">
        <v>140</v>
      </c>
      <c r="E144" s="80"/>
      <c r="F144" s="76">
        <f>SUM(F145)</f>
        <v>0</v>
      </c>
      <c r="G144" s="76">
        <f>SUM(G145)</f>
        <v>15733</v>
      </c>
      <c r="H144" s="76">
        <f t="shared" si="2"/>
        <v>15733</v>
      </c>
      <c r="I144" s="107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</row>
    <row r="145" spans="1:23" s="4" customFormat="1" ht="56.25" x14ac:dyDescent="0.25">
      <c r="A145" s="38"/>
      <c r="B145" s="38"/>
      <c r="C145" s="38"/>
      <c r="D145" s="39"/>
      <c r="E145" s="120" t="s">
        <v>141</v>
      </c>
      <c r="F145" s="14"/>
      <c r="G145" s="14">
        <f>15733</f>
        <v>15733</v>
      </c>
      <c r="H145" s="36">
        <f>F145+G145</f>
        <v>15733</v>
      </c>
      <c r="I145" s="107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</row>
    <row r="146" spans="1:23" s="13" customFormat="1" ht="37.5" x14ac:dyDescent="0.25">
      <c r="A146" s="21" t="s">
        <v>16</v>
      </c>
      <c r="B146" s="21" t="s">
        <v>17</v>
      </c>
      <c r="C146" s="21" t="s">
        <v>9</v>
      </c>
      <c r="D146" s="15" t="s">
        <v>18</v>
      </c>
      <c r="E146" s="44"/>
      <c r="F146" s="16">
        <f>F147</f>
        <v>50000000</v>
      </c>
      <c r="G146" s="16">
        <f>G147</f>
        <v>-50000000</v>
      </c>
      <c r="H146" s="16">
        <f t="shared" si="2"/>
        <v>0</v>
      </c>
      <c r="I146" s="112"/>
      <c r="J146" s="12"/>
      <c r="K146" s="12"/>
    </row>
    <row r="147" spans="1:23" s="9" customFormat="1" ht="37.5" x14ac:dyDescent="0.25">
      <c r="A147" s="38"/>
      <c r="B147" s="38"/>
      <c r="C147" s="38"/>
      <c r="D147" s="39"/>
      <c r="E147" s="11" t="s">
        <v>19</v>
      </c>
      <c r="F147" s="14">
        <v>50000000</v>
      </c>
      <c r="G147" s="14">
        <f>-50000000</f>
        <v>-50000000</v>
      </c>
      <c r="H147" s="14">
        <f t="shared" si="2"/>
        <v>0</v>
      </c>
      <c r="I147" s="111"/>
      <c r="J147" s="8"/>
      <c r="K147" s="8"/>
    </row>
    <row r="148" spans="1:23" s="9" customFormat="1" ht="37.5" x14ac:dyDescent="0.25">
      <c r="A148" s="89" t="s">
        <v>142</v>
      </c>
      <c r="B148" s="31"/>
      <c r="C148" s="31"/>
      <c r="D148" s="121" t="s">
        <v>143</v>
      </c>
      <c r="E148" s="68"/>
      <c r="F148" s="69">
        <f>F150</f>
        <v>0</v>
      </c>
      <c r="G148" s="69">
        <f>G150</f>
        <v>21385</v>
      </c>
      <c r="H148" s="69">
        <f t="shared" si="2"/>
        <v>21385</v>
      </c>
      <c r="I148" s="111"/>
      <c r="J148" s="8"/>
      <c r="K148" s="8"/>
    </row>
    <row r="149" spans="1:23" s="9" customFormat="1" ht="37.5" x14ac:dyDescent="0.25">
      <c r="A149" s="89" t="s">
        <v>144</v>
      </c>
      <c r="B149" s="31"/>
      <c r="C149" s="31"/>
      <c r="D149" s="122" t="s">
        <v>143</v>
      </c>
      <c r="E149" s="68"/>
      <c r="F149" s="75"/>
      <c r="G149" s="75"/>
      <c r="H149" s="75"/>
      <c r="I149" s="111"/>
      <c r="J149" s="8"/>
      <c r="K149" s="8"/>
    </row>
    <row r="150" spans="1:23" s="9" customFormat="1" x14ac:dyDescent="0.25">
      <c r="A150" s="73" t="s">
        <v>145</v>
      </c>
      <c r="B150" s="103" t="s">
        <v>13</v>
      </c>
      <c r="C150" s="103" t="s">
        <v>11</v>
      </c>
      <c r="D150" s="104" t="s">
        <v>79</v>
      </c>
      <c r="E150" s="123"/>
      <c r="F150" s="14"/>
      <c r="G150" s="16">
        <f>G151</f>
        <v>21385</v>
      </c>
      <c r="H150" s="16">
        <f>F150+G150</f>
        <v>21385</v>
      </c>
      <c r="I150" s="111"/>
      <c r="J150" s="8"/>
      <c r="K150" s="8"/>
    </row>
    <row r="151" spans="1:23" s="9" customFormat="1" ht="56.25" x14ac:dyDescent="0.25">
      <c r="A151" s="124"/>
      <c r="B151" s="124"/>
      <c r="C151" s="124"/>
      <c r="D151" s="124"/>
      <c r="E151" s="11" t="s">
        <v>146</v>
      </c>
      <c r="F151" s="14"/>
      <c r="G151" s="14">
        <f>21385</f>
        <v>21385</v>
      </c>
      <c r="H151" s="14">
        <f t="shared" si="2"/>
        <v>21385</v>
      </c>
      <c r="I151" s="111"/>
      <c r="J151" s="8"/>
      <c r="K151" s="8"/>
    </row>
    <row r="152" spans="1:23" s="9" customFormat="1" ht="37.5" x14ac:dyDescent="0.25">
      <c r="A152" s="65" t="s">
        <v>147</v>
      </c>
      <c r="B152" s="125"/>
      <c r="C152" s="125"/>
      <c r="D152" s="78" t="s">
        <v>148</v>
      </c>
      <c r="E152" s="35"/>
      <c r="F152" s="105">
        <f>F154</f>
        <v>0</v>
      </c>
      <c r="G152" s="105">
        <f>G154</f>
        <v>3508708</v>
      </c>
      <c r="H152" s="105">
        <f t="shared" si="2"/>
        <v>3508708</v>
      </c>
      <c r="I152" s="111"/>
      <c r="J152" s="8"/>
      <c r="K152" s="8"/>
    </row>
    <row r="153" spans="1:23" s="9" customFormat="1" ht="37.5" x14ac:dyDescent="0.25">
      <c r="A153" s="65" t="s">
        <v>149</v>
      </c>
      <c r="B153" s="125"/>
      <c r="C153" s="125"/>
      <c r="D153" s="79" t="s">
        <v>148</v>
      </c>
      <c r="E153" s="80"/>
      <c r="F153" s="1"/>
      <c r="G153" s="106"/>
      <c r="H153" s="106"/>
      <c r="I153" s="111"/>
      <c r="J153" s="8"/>
      <c r="K153" s="8"/>
    </row>
    <row r="154" spans="1:23" s="9" customFormat="1" ht="37.5" x14ac:dyDescent="0.25">
      <c r="A154" s="38" t="s">
        <v>150</v>
      </c>
      <c r="B154" s="38" t="s">
        <v>28</v>
      </c>
      <c r="C154" s="38" t="s">
        <v>11</v>
      </c>
      <c r="D154" s="39" t="s">
        <v>29</v>
      </c>
      <c r="E154" s="80"/>
      <c r="F154" s="76">
        <f>SUM(F155:F161)</f>
        <v>0</v>
      </c>
      <c r="G154" s="76">
        <f>SUM(G155:G161)</f>
        <v>3508708</v>
      </c>
      <c r="H154" s="76">
        <f>F154+G154</f>
        <v>3508708</v>
      </c>
      <c r="I154" s="111"/>
      <c r="J154" s="8"/>
      <c r="K154" s="8"/>
    </row>
    <row r="155" spans="1:23" s="9" customFormat="1" x14ac:dyDescent="0.25">
      <c r="A155" s="124"/>
      <c r="B155" s="124"/>
      <c r="C155" s="124"/>
      <c r="D155" s="124"/>
      <c r="E155" s="80" t="s">
        <v>151</v>
      </c>
      <c r="F155" s="14"/>
      <c r="G155" s="14">
        <f>106581</f>
        <v>106581</v>
      </c>
      <c r="H155" s="14">
        <f t="shared" si="2"/>
        <v>106581</v>
      </c>
      <c r="I155" s="111"/>
      <c r="J155" s="8"/>
      <c r="K155" s="8"/>
    </row>
    <row r="156" spans="1:23" s="9" customFormat="1" x14ac:dyDescent="0.25">
      <c r="A156" s="124"/>
      <c r="B156" s="124"/>
      <c r="C156" s="124"/>
      <c r="D156" s="124"/>
      <c r="E156" s="80" t="s">
        <v>152</v>
      </c>
      <c r="F156" s="14"/>
      <c r="G156" s="14">
        <f>79576</f>
        <v>79576</v>
      </c>
      <c r="H156" s="14">
        <f t="shared" si="2"/>
        <v>79576</v>
      </c>
      <c r="I156" s="111"/>
      <c r="J156" s="8"/>
      <c r="K156" s="8"/>
    </row>
    <row r="157" spans="1:23" s="9" customFormat="1" x14ac:dyDescent="0.25">
      <c r="A157" s="124"/>
      <c r="B157" s="124"/>
      <c r="C157" s="124"/>
      <c r="D157" s="124"/>
      <c r="E157" s="80" t="s">
        <v>153</v>
      </c>
      <c r="F157" s="14"/>
      <c r="G157" s="14">
        <f>1659815</f>
        <v>1659815</v>
      </c>
      <c r="H157" s="14">
        <f t="shared" si="2"/>
        <v>1659815</v>
      </c>
      <c r="I157" s="111"/>
      <c r="J157" s="8"/>
      <c r="K157" s="8"/>
    </row>
    <row r="158" spans="1:23" s="9" customFormat="1" ht="37.5" x14ac:dyDescent="0.25">
      <c r="A158" s="124"/>
      <c r="B158" s="124"/>
      <c r="C158" s="124"/>
      <c r="D158" s="124"/>
      <c r="E158" s="80" t="s">
        <v>154</v>
      </c>
      <c r="F158" s="14"/>
      <c r="G158" s="14">
        <f>22736</f>
        <v>22736</v>
      </c>
      <c r="H158" s="14">
        <f t="shared" si="2"/>
        <v>22736</v>
      </c>
      <c r="I158" s="111"/>
      <c r="J158" s="8"/>
      <c r="K158" s="8"/>
    </row>
    <row r="159" spans="1:23" s="9" customFormat="1" x14ac:dyDescent="0.25">
      <c r="A159" s="124"/>
      <c r="B159" s="124"/>
      <c r="C159" s="124"/>
      <c r="D159" s="124"/>
      <c r="E159" s="80" t="s">
        <v>155</v>
      </c>
      <c r="F159" s="14"/>
      <c r="G159" s="14">
        <f>1100000</f>
        <v>1100000</v>
      </c>
      <c r="H159" s="14">
        <f t="shared" si="2"/>
        <v>1100000</v>
      </c>
      <c r="I159" s="111"/>
      <c r="J159" s="8"/>
      <c r="K159" s="8"/>
    </row>
    <row r="160" spans="1:23" s="9" customFormat="1" ht="37.5" x14ac:dyDescent="0.25">
      <c r="A160" s="124"/>
      <c r="B160" s="124"/>
      <c r="C160" s="124"/>
      <c r="D160" s="124"/>
      <c r="E160" s="74" t="s">
        <v>82</v>
      </c>
      <c r="F160" s="14"/>
      <c r="G160" s="14">
        <f>480000</f>
        <v>480000</v>
      </c>
      <c r="H160" s="14">
        <f t="shared" si="2"/>
        <v>480000</v>
      </c>
      <c r="I160" s="111"/>
      <c r="J160" s="8"/>
      <c r="K160" s="8"/>
    </row>
    <row r="161" spans="1:23" s="9" customFormat="1" x14ac:dyDescent="0.25">
      <c r="A161" s="124"/>
      <c r="B161" s="124"/>
      <c r="C161" s="124"/>
      <c r="D161" s="124"/>
      <c r="E161" s="114" t="s">
        <v>107</v>
      </c>
      <c r="F161" s="14"/>
      <c r="G161" s="14">
        <f>60000</f>
        <v>60000</v>
      </c>
      <c r="H161" s="14">
        <f t="shared" si="2"/>
        <v>60000</v>
      </c>
      <c r="I161" s="111"/>
      <c r="J161" s="8"/>
      <c r="K161" s="8"/>
    </row>
    <row r="162" spans="1:23" s="26" customFormat="1" ht="40.5" x14ac:dyDescent="0.25">
      <c r="A162" s="23"/>
      <c r="B162" s="23"/>
      <c r="C162" s="23"/>
      <c r="D162" s="23"/>
      <c r="E162" s="54" t="s">
        <v>21</v>
      </c>
      <c r="F162" s="24">
        <f>F54+F59+F64+F68+F73+F92+F104+F148+F152</f>
        <v>225000000</v>
      </c>
      <c r="G162" s="24">
        <f>G54+G59+G64+G68+G73+G92+G104+G148+G152</f>
        <v>-3561592</v>
      </c>
      <c r="H162" s="24">
        <f t="shared" si="2"/>
        <v>221438408</v>
      </c>
      <c r="I162" s="22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</row>
    <row r="163" spans="1:23" s="29" customFormat="1" ht="20.25" x14ac:dyDescent="0.25">
      <c r="A163" s="53"/>
      <c r="B163" s="53"/>
      <c r="C163" s="53"/>
      <c r="D163" s="53"/>
      <c r="E163" s="54" t="s">
        <v>6</v>
      </c>
      <c r="F163" s="52">
        <f>F162+F52</f>
        <v>234500000</v>
      </c>
      <c r="G163" s="52">
        <f>G162+G52</f>
        <v>20957809</v>
      </c>
      <c r="H163" s="52">
        <f t="shared" si="2"/>
        <v>255457809</v>
      </c>
      <c r="I163" s="27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</row>
    <row r="165" spans="1:23" x14ac:dyDescent="0.25">
      <c r="C165" s="29" t="s">
        <v>34</v>
      </c>
      <c r="D165" s="64"/>
      <c r="E165" s="64"/>
      <c r="F165" s="4" t="s">
        <v>35</v>
      </c>
    </row>
  </sheetData>
  <mergeCells count="9">
    <mergeCell ref="A11:H11"/>
    <mergeCell ref="A53:H53"/>
    <mergeCell ref="J1:N1"/>
    <mergeCell ref="F2:H2"/>
    <mergeCell ref="F3:H3"/>
    <mergeCell ref="A5:H5"/>
    <mergeCell ref="A7:B7"/>
    <mergeCell ref="A8:B8"/>
    <mergeCell ref="A30:E30"/>
  </mergeCells>
  <pageMargins left="0.39370078740157483" right="0.39370078740157483" top="1.3779527559055118" bottom="0.39370078740157483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Аркуш1!Заголовки_для_печати</vt:lpstr>
      <vt:lpstr>Аркуш1!Область_печати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Користувач Windows</cp:lastModifiedBy>
  <cp:lastPrinted>2023-07-25T10:22:34Z</cp:lastPrinted>
  <dcterms:created xsi:type="dcterms:W3CDTF">2022-09-07T13:23:25Z</dcterms:created>
  <dcterms:modified xsi:type="dcterms:W3CDTF">2023-07-25T11:41:24Z</dcterms:modified>
</cp:coreProperties>
</file>