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\"/>
    </mc:Choice>
  </mc:AlternateContent>
  <bookViews>
    <workbookView xWindow="0" yWindow="0" windowWidth="28800" windowHeight="11430" tabRatio="582"/>
  </bookViews>
  <sheets>
    <sheet name="Додаток 7" sheetId="6" r:id="rId1"/>
  </sheets>
  <definedNames>
    <definedName name="_xlnm.Print_Titles" localSheetId="0">'Додаток 7'!$8:$10</definedName>
    <definedName name="_xlnm.Print_Area" localSheetId="0">'Додаток 7'!$B$1:$K$178</definedName>
  </definedNames>
  <calcPr calcId="162913" fullCalcOnLoad="1" refMode="R1C1"/>
</workbook>
</file>

<file path=xl/calcChain.xml><?xml version="1.0" encoding="utf-8"?>
<calcChain xmlns="http://schemas.openxmlformats.org/spreadsheetml/2006/main">
  <c r="H33" i="6" l="1"/>
  <c r="H35" i="6"/>
  <c r="H36" i="6"/>
  <c r="K117" i="6"/>
  <c r="J121" i="6"/>
  <c r="H121" i="6"/>
  <c r="J122" i="6"/>
  <c r="H122" i="6"/>
  <c r="H124" i="6"/>
  <c r="J161" i="6"/>
  <c r="J119" i="6"/>
  <c r="H119" i="6"/>
  <c r="J120" i="6"/>
  <c r="H120" i="6"/>
  <c r="H123" i="6"/>
  <c r="I24" i="6"/>
  <c r="H24" i="6"/>
  <c r="I111" i="6"/>
  <c r="H111" i="6"/>
  <c r="I109" i="6"/>
  <c r="I105" i="6"/>
  <c r="H105" i="6"/>
  <c r="I101" i="6"/>
  <c r="H101" i="6"/>
  <c r="I26" i="6"/>
  <c r="H26" i="6"/>
  <c r="I27" i="6"/>
  <c r="I25" i="6"/>
  <c r="H25" i="6"/>
  <c r="I17" i="6"/>
  <c r="H17" i="6"/>
  <c r="I15" i="6"/>
  <c r="H15" i="6"/>
  <c r="I14" i="6"/>
  <c r="I11" i="6"/>
  <c r="H14" i="6"/>
  <c r="I161" i="6"/>
  <c r="H161" i="6"/>
  <c r="H98" i="6"/>
  <c r="H136" i="6"/>
  <c r="H133" i="6"/>
  <c r="H134" i="6"/>
  <c r="H135" i="6"/>
  <c r="H131" i="6"/>
  <c r="H132" i="6"/>
  <c r="H130" i="6"/>
  <c r="H129" i="6"/>
  <c r="H128" i="6"/>
  <c r="H166" i="6"/>
  <c r="I83" i="6"/>
  <c r="H83" i="6"/>
  <c r="I82" i="6"/>
  <c r="H82" i="6"/>
  <c r="I81" i="6"/>
  <c r="I80" i="6"/>
  <c r="I75" i="6"/>
  <c r="H75" i="6"/>
  <c r="H80" i="6"/>
  <c r="I78" i="6"/>
  <c r="I53" i="6"/>
  <c r="H53" i="6"/>
  <c r="I60" i="6"/>
  <c r="H60" i="6"/>
  <c r="I62" i="6"/>
  <c r="J61" i="6"/>
  <c r="J51" i="6"/>
  <c r="H73" i="6"/>
  <c r="I71" i="6"/>
  <c r="H71" i="6"/>
  <c r="J65" i="6"/>
  <c r="J63" i="6"/>
  <c r="H63" i="6"/>
  <c r="H65" i="6"/>
  <c r="I39" i="6"/>
  <c r="I38" i="6"/>
  <c r="J37" i="6"/>
  <c r="H37" i="6"/>
  <c r="I30" i="6"/>
  <c r="H30" i="6"/>
  <c r="H154" i="6"/>
  <c r="K147" i="6"/>
  <c r="K146" i="6"/>
  <c r="K145" i="6"/>
  <c r="K154" i="6"/>
  <c r="K148" i="6"/>
  <c r="K142" i="6"/>
  <c r="K143" i="6"/>
  <c r="K144" i="6"/>
  <c r="I141" i="6"/>
  <c r="K174" i="6"/>
  <c r="K172" i="6"/>
  <c r="K170" i="6"/>
  <c r="K168" i="6"/>
  <c r="K167" i="6"/>
  <c r="K165" i="6"/>
  <c r="K164" i="6"/>
  <c r="K162" i="6"/>
  <c r="K163" i="6"/>
  <c r="J174" i="6"/>
  <c r="H174" i="6"/>
  <c r="J172" i="6"/>
  <c r="H172" i="6"/>
  <c r="J170" i="6"/>
  <c r="H170" i="6"/>
  <c r="J168" i="6"/>
  <c r="H168" i="6"/>
  <c r="J167" i="6"/>
  <c r="H167" i="6"/>
  <c r="J165" i="6"/>
  <c r="H165" i="6"/>
  <c r="J164" i="6"/>
  <c r="H164" i="6"/>
  <c r="J163" i="6"/>
  <c r="H163" i="6"/>
  <c r="I173" i="6"/>
  <c r="H173" i="6"/>
  <c r="I171" i="6"/>
  <c r="H171" i="6"/>
  <c r="I169" i="6"/>
  <c r="H175" i="6"/>
  <c r="J139" i="6"/>
  <c r="H139" i="6"/>
  <c r="J138" i="6"/>
  <c r="H138" i="6"/>
  <c r="K126" i="6"/>
  <c r="J127" i="6"/>
  <c r="I137" i="6"/>
  <c r="H137" i="6"/>
  <c r="H140" i="6"/>
  <c r="J89" i="6"/>
  <c r="J87" i="6"/>
  <c r="I87" i="6"/>
  <c r="J114" i="6"/>
  <c r="H114" i="6"/>
  <c r="H112" i="6"/>
  <c r="K81" i="6"/>
  <c r="K75" i="6"/>
  <c r="J81" i="6"/>
  <c r="J75" i="6"/>
  <c r="K72" i="6"/>
  <c r="J72" i="6"/>
  <c r="H72" i="6"/>
  <c r="K70" i="6"/>
  <c r="J70" i="6"/>
  <c r="H70" i="6"/>
  <c r="K69" i="6"/>
  <c r="J69" i="6"/>
  <c r="H69" i="6"/>
  <c r="K48" i="6"/>
  <c r="J48" i="6"/>
  <c r="H48" i="6"/>
  <c r="K44" i="6"/>
  <c r="J44" i="6"/>
  <c r="H44" i="6"/>
  <c r="J26" i="6"/>
  <c r="J11" i="6"/>
  <c r="K43" i="6"/>
  <c r="J43" i="6"/>
  <c r="H43" i="6"/>
  <c r="J36" i="6"/>
  <c r="J35" i="6"/>
  <c r="J34" i="6"/>
  <c r="H34" i="6"/>
  <c r="J31" i="6"/>
  <c r="H31" i="6"/>
  <c r="K36" i="6"/>
  <c r="K35" i="6"/>
  <c r="K34" i="6"/>
  <c r="K28" i="6"/>
  <c r="K31" i="6"/>
  <c r="K26" i="6"/>
  <c r="K11" i="6"/>
  <c r="K51" i="6"/>
  <c r="I96" i="6"/>
  <c r="I94" i="6"/>
  <c r="H94" i="6"/>
  <c r="H49" i="6"/>
  <c r="I90" i="6"/>
  <c r="H90" i="6"/>
  <c r="H92" i="6"/>
  <c r="H91" i="6"/>
  <c r="H16" i="6"/>
  <c r="H27" i="6"/>
  <c r="I112" i="6"/>
  <c r="H116" i="6"/>
  <c r="H115" i="6"/>
  <c r="I40" i="6"/>
  <c r="H40" i="6"/>
  <c r="J66" i="6"/>
  <c r="H45" i="6"/>
  <c r="H46" i="6"/>
  <c r="H47" i="6"/>
  <c r="H42" i="6"/>
  <c r="H56" i="6"/>
  <c r="H57" i="6"/>
  <c r="I84" i="6"/>
  <c r="J84" i="6"/>
  <c r="H86" i="6"/>
  <c r="H84" i="6"/>
  <c r="I63" i="6"/>
  <c r="H64" i="6"/>
  <c r="H110" i="6"/>
  <c r="H13" i="6"/>
  <c r="J32" i="6"/>
  <c r="K32" i="6"/>
  <c r="I32" i="6"/>
  <c r="J99" i="6"/>
  <c r="H99" i="6"/>
  <c r="K99" i="6"/>
  <c r="I99" i="6"/>
  <c r="H103" i="6"/>
  <c r="H104" i="6"/>
  <c r="J94" i="6"/>
  <c r="K94" i="6"/>
  <c r="H97" i="6"/>
  <c r="H20" i="6"/>
  <c r="H55" i="6"/>
  <c r="H54" i="6"/>
  <c r="H18" i="6"/>
  <c r="H19" i="6"/>
  <c r="K112" i="6"/>
  <c r="K118" i="6"/>
  <c r="H21" i="6"/>
  <c r="H23" i="6"/>
  <c r="K41" i="6"/>
  <c r="K52" i="6"/>
  <c r="H58" i="6"/>
  <c r="H59" i="6"/>
  <c r="K63" i="6"/>
  <c r="K64" i="6"/>
  <c r="K68" i="6"/>
  <c r="K67" i="6"/>
  <c r="H74" i="6"/>
  <c r="H77" i="6"/>
  <c r="H79" i="6"/>
  <c r="J90" i="6"/>
  <c r="K90" i="6"/>
  <c r="J105" i="6"/>
  <c r="K105" i="6"/>
  <c r="K106" i="6"/>
  <c r="H107" i="6"/>
  <c r="H108" i="6"/>
  <c r="H102" i="6"/>
  <c r="H142" i="6"/>
  <c r="H144" i="6"/>
  <c r="H145" i="6"/>
  <c r="H143" i="6"/>
  <c r="H146" i="6"/>
  <c r="H147" i="6"/>
  <c r="H148" i="6"/>
  <c r="J152" i="6"/>
  <c r="H152" i="6"/>
  <c r="J157" i="6"/>
  <c r="H157" i="6"/>
  <c r="J160" i="6"/>
  <c r="H160" i="6"/>
  <c r="J158" i="6"/>
  <c r="H158" i="6"/>
  <c r="J156" i="6"/>
  <c r="H156" i="6"/>
  <c r="J149" i="6"/>
  <c r="H149" i="6"/>
  <c r="J150" i="6"/>
  <c r="H150" i="6"/>
  <c r="J151" i="6"/>
  <c r="H151" i="6"/>
  <c r="J153" i="6"/>
  <c r="H153" i="6"/>
  <c r="J155" i="6"/>
  <c r="H155" i="6"/>
  <c r="I67" i="6"/>
  <c r="H62" i="6"/>
  <c r="I126" i="6"/>
  <c r="I125" i="6"/>
  <c r="J117" i="6"/>
  <c r="I117" i="6"/>
  <c r="H117" i="6"/>
  <c r="H66" i="6"/>
  <c r="H89" i="6"/>
  <c r="H87" i="6"/>
  <c r="H39" i="6"/>
  <c r="J67" i="6"/>
  <c r="H67" i="6"/>
  <c r="K40" i="6"/>
  <c r="I51" i="6"/>
  <c r="H51" i="6"/>
  <c r="H78" i="6"/>
  <c r="H32" i="6"/>
  <c r="H127" i="6"/>
  <c r="J40" i="6"/>
  <c r="H169" i="6"/>
  <c r="H61" i="6"/>
  <c r="I28" i="6"/>
  <c r="H38" i="6"/>
  <c r="I176" i="6"/>
  <c r="H11" i="6"/>
  <c r="H96" i="6"/>
  <c r="J112" i="6"/>
  <c r="J28" i="6"/>
  <c r="J126" i="6"/>
  <c r="H109" i="6"/>
  <c r="I162" i="6"/>
  <c r="H162" i="6"/>
  <c r="J141" i="6"/>
  <c r="H81" i="6"/>
  <c r="J162" i="6"/>
  <c r="J176" i="6"/>
  <c r="H176" i="6"/>
  <c r="J125" i="6"/>
  <c r="H125" i="6"/>
  <c r="H126" i="6"/>
  <c r="K141" i="6"/>
  <c r="K125" i="6"/>
  <c r="K176" i="6"/>
  <c r="H141" i="6"/>
  <c r="H28" i="6"/>
</calcChain>
</file>

<file path=xl/sharedStrings.xml><?xml version="1.0" encoding="utf-8"?>
<sst xmlns="http://schemas.openxmlformats.org/spreadsheetml/2006/main" count="623" uniqueCount="405">
  <si>
    <t>Загальний фонд</t>
  </si>
  <si>
    <t>Спеціальний фонд</t>
  </si>
  <si>
    <t>03</t>
  </si>
  <si>
    <t>Підпрограма "Міський конкурс проектів та програм розвитку місцевого самоврядування та громадянського суспільства"</t>
  </si>
  <si>
    <t>Підпрограма "Фонд міської ради на виконання депутатських повноважень"</t>
  </si>
  <si>
    <t>01</t>
  </si>
  <si>
    <t>08</t>
  </si>
  <si>
    <t>120201</t>
  </si>
  <si>
    <t>200100</t>
  </si>
  <si>
    <t>200600</t>
  </si>
  <si>
    <t>48</t>
  </si>
  <si>
    <t>Секретар міської  ради</t>
  </si>
  <si>
    <t>Виконавчий комітет Івано-Франківської міської ради</t>
  </si>
  <si>
    <t>0133</t>
  </si>
  <si>
    <t>1100000</t>
  </si>
  <si>
    <t>1110000</t>
  </si>
  <si>
    <t>0810</t>
  </si>
  <si>
    <t>0921</t>
  </si>
  <si>
    <t>1090</t>
  </si>
  <si>
    <t>1010</t>
  </si>
  <si>
    <t>1060</t>
  </si>
  <si>
    <t>1030</t>
  </si>
  <si>
    <t>0511</t>
  </si>
  <si>
    <t>Охорона та раціональне використання природних ресурсів</t>
  </si>
  <si>
    <t>0490</t>
  </si>
  <si>
    <t>0411</t>
  </si>
  <si>
    <t>Сприяння розвитку малого та середнього підприємництва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</si>
  <si>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</t>
  </si>
  <si>
    <t>грн.</t>
  </si>
  <si>
    <t>0320</t>
  </si>
  <si>
    <t>0813031</t>
  </si>
  <si>
    <t>3031</t>
  </si>
  <si>
    <t>0813032</t>
  </si>
  <si>
    <t>3032</t>
  </si>
  <si>
    <t>1070</t>
  </si>
  <si>
    <t>Надання інших пільг окремим атегоріям громадян відповідно до законодавства</t>
  </si>
  <si>
    <t>Надання пільг окремим атегоріям громадян з послуг звязку</t>
  </si>
  <si>
    <t>8410</t>
  </si>
  <si>
    <t>0830</t>
  </si>
  <si>
    <t>Фінансова підтримка засобів масової інформації</t>
  </si>
  <si>
    <t>1115061</t>
  </si>
  <si>
    <t>1115021</t>
  </si>
  <si>
    <t>1115022</t>
  </si>
  <si>
    <t>Забезпечення діяльності місцевих центрів фізичного здоров'я населення «Спорт для всіх» та проведення  фізкультурно-масових заходів серед населення регіону</t>
  </si>
  <si>
    <t>5021</t>
  </si>
  <si>
    <t>5022</t>
  </si>
  <si>
    <t>5061</t>
  </si>
  <si>
    <t>0900000</t>
  </si>
  <si>
    <t>0910000</t>
  </si>
  <si>
    <t>0800000</t>
  </si>
  <si>
    <t>0810000</t>
  </si>
  <si>
    <t>0218130</t>
  </si>
  <si>
    <t>8130</t>
  </si>
  <si>
    <t>0200000</t>
  </si>
  <si>
    <t>0210000</t>
  </si>
  <si>
    <t>1050</t>
  </si>
  <si>
    <t>Організація та проведення громадських робіт</t>
  </si>
  <si>
    <t>0218110</t>
  </si>
  <si>
    <t>8110</t>
  </si>
  <si>
    <t>Заходи запобігання та ліквідації надзвичайних ситуацій та наслідків стихійного лиха</t>
  </si>
  <si>
    <t>0218220</t>
  </si>
  <si>
    <t>8220</t>
  </si>
  <si>
    <t>0380</t>
  </si>
  <si>
    <t>Заходи та роботи з мобілізаційної підготовки місцевого значення</t>
  </si>
  <si>
    <t>0218210</t>
  </si>
  <si>
    <t>8210</t>
  </si>
  <si>
    <t>Муніципальні формування з охорони громадського порядку</t>
  </si>
  <si>
    <t>0210180</t>
  </si>
  <si>
    <t>0180</t>
  </si>
  <si>
    <t>Інша діяльність у сфері державного управління</t>
  </si>
  <si>
    <t>Реалізація інших заходів щодо соціально-економічного розвитку територій</t>
  </si>
  <si>
    <t>2717610</t>
  </si>
  <si>
    <t>7610</t>
  </si>
  <si>
    <t>2717640</t>
  </si>
  <si>
    <t>7640</t>
  </si>
  <si>
    <t>0470</t>
  </si>
  <si>
    <t>Заходи з енергозбереження</t>
  </si>
  <si>
    <t>7622</t>
  </si>
  <si>
    <t>Інші заходи, пов'язані з економічною діяльністю</t>
  </si>
  <si>
    <t>3710180</t>
  </si>
  <si>
    <t>Іншi діяльність у сфері державного управління</t>
  </si>
  <si>
    <t>0990</t>
  </si>
  <si>
    <t>0611020</t>
  </si>
  <si>
    <t>0700000</t>
  </si>
  <si>
    <t>0710000</t>
  </si>
  <si>
    <t>8311</t>
  </si>
  <si>
    <t>0763</t>
  </si>
  <si>
    <t>5041</t>
  </si>
  <si>
    <t>Утримання та фінансова підтримка спортивних споруд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</si>
  <si>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</si>
  <si>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</si>
  <si>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Додаток 7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</si>
  <si>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</si>
  <si>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</si>
  <si>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</si>
  <si>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у тому числі бюджет розвитку</t>
  </si>
  <si>
    <t>0717691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</si>
  <si>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</si>
  <si>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0810180</t>
  </si>
  <si>
    <t>від__________ №______</t>
  </si>
  <si>
    <t>0617691</t>
  </si>
  <si>
    <t>0817691</t>
  </si>
  <si>
    <t>7691</t>
  </si>
  <si>
    <t>0917691</t>
  </si>
  <si>
    <t>1017691</t>
  </si>
  <si>
    <t>0712152</t>
  </si>
  <si>
    <t>2152</t>
  </si>
  <si>
    <t>Інші програми та заходи у сфері  охорона здоров'я</t>
  </si>
  <si>
    <t>Утримання центрів фізичної культури і спорту осіб з інвалідністю і реабілітаційних шкіл</t>
  </si>
  <si>
    <t>Проведення навчально-тренувальних зборiв i змагань та заходiв зі спорту осіб з інвалідністю</t>
  </si>
  <si>
    <t>1115011</t>
  </si>
  <si>
    <t>1115012</t>
  </si>
  <si>
    <t xml:space="preserve">Проведення навчально-тренувальних зборiв i змагань з олімпійських видів спорту </t>
  </si>
  <si>
    <t xml:space="preserve">Проведення навчально-тренувальних зборiв i змагань з неолімпійських видів спорту </t>
  </si>
  <si>
    <t>5011</t>
  </si>
  <si>
    <t>5012</t>
  </si>
  <si>
    <t>0813242</t>
  </si>
  <si>
    <t>3242</t>
  </si>
  <si>
    <t xml:space="preserve">Інші заходи у сфері соціального захисту і соціального забезпечення </t>
  </si>
  <si>
    <t>0813160</t>
  </si>
  <si>
    <t>3160</t>
  </si>
  <si>
    <t>Надання соціальних гарантій фізмчним особам , які надають соціальні послуги громадянам похилого віку , особам з інвалідністю, дітям з інвалідністю, хворим,які не здатні до самообслуговування і потребують сторонньої допомоги</t>
  </si>
  <si>
    <t>0813180</t>
  </si>
  <si>
    <t>3180</t>
  </si>
  <si>
    <t>Довгострокова програма фінансування мобілізаційних заходів та оборонної роботи Івано-Франківської міської ради на 2019-2023 роки</t>
  </si>
  <si>
    <t>Програма розвитку інвалідного спорту на 2018 - 2023 роки</t>
  </si>
  <si>
    <r>
      <t>Програма</t>
    </r>
    <r>
      <rPr>
        <sz val="12"/>
        <rFont val="Arial"/>
        <family val="2"/>
        <charset val="204"/>
      </rPr>
      <t> </t>
    </r>
    <r>
      <rPr>
        <sz val="12"/>
        <rFont val="Times New Roman"/>
        <family val="1"/>
        <charset val="204"/>
      </rPr>
      <t>розвитку масового спорту за місцем проживання та у місцях масового відпочинку населення на 2018 - 2023 роки</t>
    </r>
  </si>
  <si>
    <t>Комплексна  програма профілактики злочинності в місті до 2024 року</t>
  </si>
  <si>
    <t>Департамент освіти та науки  Івано-Франківської міської ради</t>
  </si>
  <si>
    <t xml:space="preserve">Управління охорони здоров'я Івано-Франківської міської ради </t>
  </si>
  <si>
    <t>Департамент соціальної політики виконкому Івано-Франківської міської ради</t>
  </si>
  <si>
    <t>Служба у справах дітей виконавчого комітету Івано-Франківської міської ради</t>
  </si>
  <si>
    <t>Департамент культури  Івано-Франківської міської ради</t>
  </si>
  <si>
    <t>Департамент молодіжної політики та спорту Івано-Франківської міської ради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</si>
  <si>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</si>
  <si>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</si>
  <si>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</si>
  <si>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</si>
  <si>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Програма фінансової підтримки громадських організацій фізкультурно-спортивного спрямування, спортивних клубів та федерацій з видів спорту міста Івано-Франківська на   2020-2024 роки</t>
  </si>
  <si>
    <t>0712010</t>
  </si>
  <si>
    <t>2010</t>
  </si>
  <si>
    <t>0731</t>
  </si>
  <si>
    <t>Багатопрофільна стаціонарна медична допомога населенню</t>
  </si>
  <si>
    <t>0712030</t>
  </si>
  <si>
    <t>2030</t>
  </si>
  <si>
    <t>0733</t>
  </si>
  <si>
    <t>Лікарсько-акушерська допомога  вагітним, породіллям та новонародженим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</si>
  <si>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</si>
  <si>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</si>
  <si>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</si>
  <si>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</si>
  <si>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3100000</t>
  </si>
  <si>
    <t>3110000</t>
  </si>
  <si>
    <t>7693</t>
  </si>
  <si>
    <t>0217693</t>
  </si>
  <si>
    <t>0829</t>
  </si>
  <si>
    <t>Підпрограма "Доступ громадян до публічної інформації органів місцевого самоврядування міста Івано-Франківська"</t>
  </si>
  <si>
    <t>РАЗОМ  по програмах</t>
  </si>
  <si>
    <t>Програма розвитку місцевого самоврядування та громадянського суспільства в м.Івано-Франківську на 2020-2025 роки, у тому числі:</t>
  </si>
  <si>
    <t>Програма "Духовне життя на 2020-2025 роки"</t>
  </si>
  <si>
    <t>Програма поліпшення стану безпеки гігієни праці та виробничого середовища на 2020-2023 роки Івано-Франківської міської ОТГ</t>
  </si>
  <si>
    <t>Цільова програма Івано-Франківської територіальної громади організації та відзначення в місті  загальнодержавних,  свят територіальної громади,  державних пам'ятних дат, релігійних та історичних подій на 2021-2025 роки</t>
  </si>
  <si>
    <t>Комплексна програма підтримки та розвитку культури Івано-Франківської міської територіальної громади на 2021-2025 роки</t>
  </si>
  <si>
    <t>Програма міжнародної співпраці медичної галузі  Івано-Франківської міської територіальної громади на 2021-2023 роки</t>
  </si>
  <si>
    <t>Комплексна програма підтримки та розвитку культури Івано-Франківської міської територіальної громади на 2021-2025 роки ( п.5 Засоби масової інформації)</t>
  </si>
  <si>
    <t>Програма промоції Івано-Франківської міської територіальної громади на 2021-2025 роки</t>
  </si>
  <si>
    <t>Програма розвитку дитячо-юнацького футболу департаменту освіти та науки Івано-Франківської міської ради на 2021-2025 роки</t>
  </si>
  <si>
    <t>Департамент стратегічного розвитку, цифрових трансформацій, роботи із засобами масової інформації, комунікації з мешканцями Івано-Франківської міської ради</t>
  </si>
  <si>
    <t>2300000</t>
  </si>
  <si>
    <t>2310000</t>
  </si>
  <si>
    <t xml:space="preserve">Програма зайнятості населення Івано-Франківської міської територіальної громади на 2021-2025 роки </t>
  </si>
  <si>
    <t>Програма легалізації заробітної плати та найманої праці  на 2021-2025 роки</t>
  </si>
  <si>
    <t>Програма щодо співпраці між професійно-технічними навчальними закладами та промисловими підприємствами і  МСП Івано-Франківської міської територіальної громади</t>
  </si>
  <si>
    <t>Програма забезпечення виконання рішень суду щодо безспірного списання коштів з розпорядника бюджетних коштів департаменту соціальної політики виконкому міської ради на 2021-2025 роки</t>
  </si>
  <si>
    <t>2318410</t>
  </si>
  <si>
    <t>4082</t>
  </si>
  <si>
    <t>Інші заходи в галузі культури і мистецтва</t>
  </si>
  <si>
    <t>Департамент інвестиційної політики, проєктів, міжнародних звязків, туризму та промоцій міста Івано-Франківської міської ради</t>
  </si>
  <si>
    <t>2500000</t>
  </si>
  <si>
    <t>2510000</t>
  </si>
  <si>
    <t>2517622</t>
  </si>
  <si>
    <t xml:space="preserve">Реалізація програм і заходів в галузі туризму та курортів </t>
  </si>
  <si>
    <t>Програма розвитку туристичної галузі Івано-Франківської міської територіальної громади на 2021-2025 роки</t>
  </si>
  <si>
    <t>Комплексна  програма  сприяння залученню інвестицій в економіку Івано-Франківської міської територіальної громади та проєктної діяльності на  2021 – 2025 роки</t>
  </si>
  <si>
    <t>2517693</t>
  </si>
  <si>
    <t>Департамент економічного  розвитку, екології  та енергозбереження Івано-Франківської  міської ради</t>
  </si>
  <si>
    <t>Департамент комунальних ресурсів Івано-Франківської міської ради</t>
  </si>
  <si>
    <t>Фінансове управління Івано-Франківської міської ради</t>
  </si>
  <si>
    <t xml:space="preserve">Програма цільового використання коштів, що надходять у порядку відшкодування втрат сільськогосподарського і лісогосподарського виробництва на 2021-2030 роки
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</si>
  <si>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</si>
  <si>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</si>
  <si>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</si>
  <si>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(медико-санітарної)допомоги</t>
  </si>
  <si>
    <t>програма "Здоров'я  громади Івано-Франківська 2021-2023 рр.", Програма розвитку та фінансової підтримки закладів охорони здоров'я Івано-Франківської міської ради"</t>
  </si>
  <si>
    <t>0611021</t>
  </si>
  <si>
    <t>Надання загальної середньої освіти  за рахунок місцевого бюджету</t>
  </si>
  <si>
    <t>0611142</t>
  </si>
  <si>
    <t>1142</t>
  </si>
  <si>
    <t>0611140</t>
  </si>
  <si>
    <t>1140</t>
  </si>
  <si>
    <t>Іншi програми, заклади та заходи у сфері освіти</t>
  </si>
  <si>
    <t>0712100</t>
  </si>
  <si>
    <t>2100</t>
  </si>
  <si>
    <t>Стоматологічна допомога населенню</t>
  </si>
  <si>
    <t>0722</t>
  </si>
  <si>
    <t>Програма освіта Івано-Франківської міської територіальної громади 2021-2025 роки</t>
  </si>
  <si>
    <t xml:space="preserve"> Надання загальної середньої освіти закладами загальної середньої освіти</t>
  </si>
  <si>
    <t>Інші програми та заходи у сфері освіти</t>
  </si>
  <si>
    <t>7370</t>
  </si>
  <si>
    <t>2717370</t>
  </si>
  <si>
    <t>3210</t>
  </si>
  <si>
    <t>0213210</t>
  </si>
  <si>
    <t>0610180</t>
  </si>
  <si>
    <t>Програма забезпечення виконання рішень суду щодо безспірного списання коштів з розпорядника бюджетних коштів Департаменту  освіти та науки Івано-Франківської  міської ради на 2021-2025 роки</t>
  </si>
  <si>
    <t>Рішення міської ради від 28.01.2021 р.  №14-4</t>
  </si>
  <si>
    <t>Рішення  міської ради від 28.01.2021р. №7-4</t>
  </si>
  <si>
    <t>Рішення  міської ради від 24.12.2020р.  №335-3</t>
  </si>
  <si>
    <t>Рішення міської ради від 24.12.2020р. № 362-3</t>
  </si>
  <si>
    <t>Рішення  міської ради від 24.12.2020р. № 374-3</t>
  </si>
  <si>
    <t>Програма розвитку професіоналізму і компетентності депутатів місцевих рад та посадових осіб місцевого самоврядування на 2021-2025 роки</t>
  </si>
  <si>
    <t>Рішення  міської ради від 08.07.2021р. №269-11</t>
  </si>
  <si>
    <t>Рішення  міської ради від 24.12.2020р. № 373-3</t>
  </si>
  <si>
    <t>Рішення   міської ради від 24.12.2020р. № 372-3</t>
  </si>
  <si>
    <t>Рішення  міської ради від 21.08.2020р.  № 231-43</t>
  </si>
  <si>
    <t>Комплексна цільова соціальна програма розвитку цивільного захисту населення і  території Івано-Франківської міської територіальної громади  від надзвичайних ситуацій, забезпечення техногенної та пожежної безпеки на 2021-2025 роки</t>
  </si>
  <si>
    <t>Рішення  міської ради від 12.04.2021Рр. №126-6</t>
  </si>
  <si>
    <t>Комплексна програма запобігання виникненню надзвичайних ситуацій природного і техногенного характеру та підвищення рівня готовності аварійно-рятувальної служби м.Івано-Франківська до дій за призначенням на 2021-2025 роки</t>
  </si>
  <si>
    <t>Комплексна цільова соціальна програма розвитку цивільного захисту населення і  території Івано-Франківської міської територіальної громади  від надзвичайних ситуацій, забезпечення техногенної та пожежної безпеки на 2021-2025 роки (підпрограма забезпечення функціонування діючих підрозділів місцевої пожежної охорони)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</si>
  <si>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</si>
  <si>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</si>
  <si>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</si>
  <si>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</si>
  <si>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Рішення  міської ради від 24.12.2020р.  №332-3</t>
  </si>
  <si>
    <t>Рішення  міської ради від 24.12.2020р.  №333-3</t>
  </si>
  <si>
    <t>Рішення  міської ради від 24.12.2020р.  №331-3</t>
  </si>
  <si>
    <t>Рішення  міської ради від 29.04.2021р. №152-8</t>
  </si>
  <si>
    <t>Програма розвитку соціального підприємництва в Івано-Франківській міській територіальній громаді на 2021-2023 роки</t>
  </si>
  <si>
    <t>Програма сталого енергетичного розвитку Івано-франківської міської територіальної громади до 2030 року</t>
  </si>
  <si>
    <t>Рішення міської ради від 26.11.2021р. №395-18</t>
  </si>
  <si>
    <t>Програма поетапного відключення (відокремлення ) споживачів теплової енергії що постачається котелнею на вул. Індустріальній 34 від системи централізованого опалення</t>
  </si>
  <si>
    <t>Рішення міської ради від 28.01.2021р. №54-4</t>
  </si>
  <si>
    <t>Міська програма з реалізації Конвенції ООН про права дитини на 2021-2025 роки.</t>
  </si>
  <si>
    <t>Комплексна програма профілактики злочинності в місті до 2024 року</t>
  </si>
  <si>
    <t>0600000</t>
  </si>
  <si>
    <t>0610000</t>
  </si>
  <si>
    <t>Департамент інфраструктури, житлової та комунальної політики  Івано-Франківської міської ради</t>
  </si>
  <si>
    <t>1218311</t>
  </si>
  <si>
    <t>Програма охорони навколишнього природного середовища Івано-Франківської міської територіальної громади на 2021-2025 роки</t>
  </si>
  <si>
    <t>Рішення міської ради від 24.12.2020р. № 407-3</t>
  </si>
  <si>
    <t>0813192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</si>
  <si>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</si>
  <si>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 xml:space="preserve">до рішення____міської ради </t>
  </si>
  <si>
    <t>Рішення  міської ради від 24.12.2020 р. №354-3</t>
  </si>
  <si>
    <t>Рішення  міської ради 24.12.2020 р. №358-3; 359-3</t>
  </si>
  <si>
    <t>Рішення  міської ради від 24.12.2020р. №362-3</t>
  </si>
  <si>
    <t>Рішення міської ради від 18.12.2019 р.  №378-34 (зі змінами)</t>
  </si>
  <si>
    <t>Рішення  міської ради від 24.12.2020р. №344-3</t>
  </si>
  <si>
    <t>Рішення  міської ради від 15.12.2017р.  № 330-17</t>
  </si>
  <si>
    <t>Рішення  міської ради від 08.11.2019р.  № 270-32</t>
  </si>
  <si>
    <t>Рішення  міської ради від 15.12.2017р.  № 329-17</t>
  </si>
  <si>
    <t>Рішення міської ради від 26.11.2021р. № 396-18</t>
  </si>
  <si>
    <t>Рішення  міської ради від 12.04.2021р. №126-6</t>
  </si>
  <si>
    <t xml:space="preserve">Рішення міської ради від 18.12.2019р. №334-34 </t>
  </si>
  <si>
    <t xml:space="preserve">Рішення міської ради від 18.12.2019р. №334-35 </t>
  </si>
  <si>
    <t>Програма розвитку електронного урядування в Івано-Франківській міській територіальній громаді на 2022-2024 роки</t>
  </si>
  <si>
    <t>Рішення  міської ради від 26.11.2021р. №381-18</t>
  </si>
  <si>
    <t>програма "Здоров'я  громади Івано-Франківська 2021-2023 рр."</t>
  </si>
  <si>
    <t xml:space="preserve">Рішення міської ради від 24.12.2020 р.  № 349-3
</t>
  </si>
  <si>
    <t>Розподіл витрат місцевого бюджету на реалізацію місцевих/регіональних програм у 2023 році</t>
  </si>
  <si>
    <t>7110</t>
  </si>
  <si>
    <t xml:space="preserve">Програма розвитку сільського господарства Івано-Франківської міської територіальної громади на 2022-2025 роки
</t>
  </si>
  <si>
    <t>Рішення міської ради від 09.09.2022р. № 166-29</t>
  </si>
  <si>
    <t>3192</t>
  </si>
  <si>
    <t>Програма розвитку фізичної культури і спорту міста Івано-Франківська на 2023-2026 роки</t>
  </si>
  <si>
    <t>Рішення  міської ради від 23.02.2022р. №18-20</t>
  </si>
  <si>
    <t>Програма сприяння розвитку підприємництва в Івано-Франківській міській територіальній громаді на 2022-2025 роки</t>
  </si>
  <si>
    <t>Рішення  міської ради від 28.01.2021р. №52-4</t>
  </si>
  <si>
    <t>0813230</t>
  </si>
  <si>
    <t>3230</t>
  </si>
  <si>
    <t>Видатки пов'язані з наданням підтримки внутрішньо переміщеним та/або евакуйованим особам у зв’язку із введенням воєнного стану в Україні</t>
  </si>
  <si>
    <t>2310180</t>
  </si>
  <si>
    <t>Програма сприяння розвитку волонтерства Івано-Франківської міської територіальної громади  на 2021-2025 роки</t>
  </si>
  <si>
    <t>Рішення  міської ради від 06.09.2022 р. №142-28/1</t>
  </si>
  <si>
    <t>Програма розвитку міжнародного і транскордонного співробітництва Івано-Франківської міської територіальної громади  на 2023-2027 роки</t>
  </si>
  <si>
    <t xml:space="preserve">Програма розвитку комунального підприємства "Франківськ АГРО" Івано-Франківської міської ради  на 2022-2026 роки
</t>
  </si>
  <si>
    <t>Рішення міської ради від 26.11.2021р. № 403-18</t>
  </si>
  <si>
    <t>Забезпечення діяльності місцевої та добровільної пожежної охорони</t>
  </si>
  <si>
    <t>Рішення  міської ради від 18.11.2022р.  № 176-30</t>
  </si>
  <si>
    <t xml:space="preserve"> Заходи та роботи з територіальної оборони</t>
  </si>
  <si>
    <t>8240</t>
  </si>
  <si>
    <t>0381</t>
  </si>
  <si>
    <t>0218240</t>
  </si>
  <si>
    <t>Програма забезпечення виконання рішень суду щодо безспірного списання коштів з розпорядника бюджетних коштів Виконавчого комітету Івано-Франківської міської ради на 2022-2025 роки</t>
  </si>
  <si>
    <t>Рішення  міської ради від 15.07.2022р. №131-27</t>
  </si>
  <si>
    <t>Департамент містобудування та архітектури Івано-Франківської міської ради</t>
  </si>
  <si>
    <t>1610180</t>
  </si>
  <si>
    <t>Програма розвитку Комунального виробничого підприємства "Архітектурно-планувальне бюро - ІФ"</t>
  </si>
  <si>
    <t>Рішення 22 сесії міської ради  від 13.04.2022р.  № 70-22</t>
  </si>
  <si>
    <t>Програма економічного і соціального розвитку Івано-Франківської міської територіальної громади на 2021-2023 роки</t>
  </si>
  <si>
    <t xml:space="preserve">Програма “Івано-Франківськ – місто героїв на 2023-2025 роки” </t>
  </si>
  <si>
    <t>Програма соціальної підтримки окремих категорій громадян в Івано-Франківській міській територіальній громаді на 2023-2025 роки ,  Міська програма соціального захисту членів сімей загиблих (померлих) учасників АТО/ООС, членів сімей загиблих (померлих) Захисників і Захисниць України на 2023-2025 роки</t>
  </si>
  <si>
    <t>Рішення міської ради від 22.12.2022р №222-32; Рішення міської ради від 22.12.2022р №223-32</t>
  </si>
  <si>
    <t>Програма заходів національного спротиву Івано-Франківської міської територіальної громади та підтримки добровольчих формувань територіальної громади на 2023 рік</t>
  </si>
  <si>
    <t>Рішення міської ради від 14.12.2018 р. № 366-22 зі змінами</t>
  </si>
  <si>
    <t>Рішення  міської ради від 24.12.2020р №355-3</t>
  </si>
  <si>
    <t>Рішення міської ради від 18.12.2019р №378-34 (зі змінами)</t>
  </si>
  <si>
    <t>Рішення  міської ради від 24.12.2020р №344-3</t>
  </si>
  <si>
    <t>Рішення  міської ради від 22.12.2022р №233-32</t>
  </si>
  <si>
    <t>Рішення  міської ради від 22.12.2022р.  №236-32</t>
  </si>
  <si>
    <t>Рішення міської ради від 22.12.2022 р. № 246-32</t>
  </si>
  <si>
    <t>Іншi заходи, пов'язані з економічною діяльністю</t>
  </si>
  <si>
    <t>0611010</t>
  </si>
  <si>
    <t>0910</t>
  </si>
  <si>
    <t>Надання дошкільної освіти</t>
  </si>
  <si>
    <t>0613230</t>
  </si>
  <si>
    <t>Видатки пов'язані з наданням підтримки внутрішньо переміщеним та/або евакуйованим особам у звязку із введенням военного стану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</si>
  <si>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</si>
  <si>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</si>
  <si>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</si>
  <si>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0617321</t>
  </si>
  <si>
    <t>7321</t>
  </si>
  <si>
    <t>0443</t>
  </si>
  <si>
    <t>Будівництво освітніх установ та закладів</t>
  </si>
  <si>
    <t>0717322</t>
  </si>
  <si>
    <t>7322</t>
  </si>
  <si>
    <t>Будівництво медичних установ та закладів</t>
  </si>
  <si>
    <t>1080</t>
  </si>
  <si>
    <t>0960</t>
  </si>
  <si>
    <t>Надання спеціалізованої освіти мистецькими школами</t>
  </si>
  <si>
    <t>0824</t>
  </si>
  <si>
    <t>Забезпечення діяльності бібліотек</t>
  </si>
  <si>
    <t>4030</t>
  </si>
  <si>
    <t>1017324</t>
  </si>
  <si>
    <t>7324</t>
  </si>
  <si>
    <t>Будівництво установ та закладів культури</t>
  </si>
  <si>
    <t xml:space="preserve"> Департамент благоустрою Івано-Франківської міської ради</t>
  </si>
  <si>
    <t>1418311</t>
  </si>
  <si>
    <t>Всього</t>
  </si>
  <si>
    <t>1216011</t>
  </si>
  <si>
    <t>6011</t>
  </si>
  <si>
    <t>0620</t>
  </si>
  <si>
    <t>Експлуатація та технічне обслуговування житлового фонду</t>
  </si>
  <si>
    <t>1217310</t>
  </si>
  <si>
    <t>7310</t>
  </si>
  <si>
    <t>Будівництво об'єктів житлово-комунального господарства</t>
  </si>
  <si>
    <t>1417310</t>
  </si>
  <si>
    <t>Надання загальної середньої освіти закладами загальної середньої освіти</t>
  </si>
  <si>
    <t>0611070</t>
  </si>
  <si>
    <t>Надання позашкільної освіти  закладами позашкільної освіти, заходи із позашкільної роботи з дітьми</t>
  </si>
  <si>
    <t>1416030</t>
  </si>
  <si>
    <t>6030</t>
  </si>
  <si>
    <t>Організація благоустрою населених пунктів</t>
  </si>
  <si>
    <t>1216030</t>
  </si>
  <si>
    <t>1516030</t>
  </si>
  <si>
    <t>1917310</t>
  </si>
  <si>
    <t>0613132</t>
  </si>
  <si>
    <t>3132</t>
  </si>
  <si>
    <t>1040</t>
  </si>
  <si>
    <t>Утримання клубів для підлітків за місцем проживання</t>
  </si>
  <si>
    <t>Лікарсько-акушерська допомога вагітним, породіллям та новонародженим</t>
  </si>
  <si>
    <t>Первинна медична допомога населенню, що надається центрами первинної медичної (медико-санітарної) допомоги</t>
  </si>
  <si>
    <t>1011080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</si>
  <si>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</si>
  <si>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</si>
  <si>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</si>
  <si>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</si>
  <si>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</si>
  <si>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</si>
  <si>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</si>
  <si>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</si>
  <si>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</si>
  <si>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1115062</t>
  </si>
  <si>
    <t>1210160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</si>
  <si>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</si>
  <si>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</si>
  <si>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</si>
  <si>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0611151</t>
  </si>
  <si>
    <t>Забезпечення діяльності інклюзивно-ресурсних центрів за рахунок коштів місцевого бюджету</t>
  </si>
  <si>
    <t>1151</t>
  </si>
  <si>
    <t>0610</t>
  </si>
  <si>
    <t>Міська цільова програма «Партиципаторне бюджетування (бюджет участі)  у Івано-Франківській міській територіальній громаді»</t>
  </si>
  <si>
    <t xml:space="preserve">Рішення міської ради від 28.01.2021р. № 15-4 </t>
  </si>
  <si>
    <t>0611025</t>
  </si>
  <si>
    <t>1025</t>
  </si>
  <si>
    <t>0922</t>
  </si>
  <si>
    <t xml:space="preserve"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 </t>
  </si>
  <si>
    <t>Інші програми  та заходи у сфері  охорона здоров'я</t>
  </si>
  <si>
    <t>Забезпечення діяльності бiблiотек</t>
  </si>
  <si>
    <t>Забезпечення діяльності палаців і будинків культури, клубів, центрів дозвілля та інших клубних закладів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</si>
  <si>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</si>
  <si>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</si>
  <si>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2318420</t>
  </si>
  <si>
    <t>8420</t>
  </si>
  <si>
    <t>Інші заходи у сфері засобів масової інформації</t>
  </si>
  <si>
    <t>Програма розвитку місцевого самоврядування та громадянського суспільства в м.Івано-Франківську на 2020-2025 роки   Підпрограма "Доступ громадян до публічної інформації органів місцевого самоврядування міста Івано-Франківська"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</si>
  <si>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</si>
  <si>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</si>
  <si>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</si>
  <si>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міської ради від 14.12.2018 р. № 366-22( зі змінами)</t>
  </si>
  <si>
    <t>Рішення  міської ради від 29.04.2021р. №169-8 (зі змінами)</t>
  </si>
  <si>
    <t>Програма створення розвинутої інформаційної інфраструктури   Головного управління ДПС в Івано-Франківській області  на 2023-2025 роки</t>
  </si>
  <si>
    <t>Програма поетапного відключення (відокремлення) споживачів теплової енергії, що постачається котельнею на вул. Індустріальній, 34, від системи централізованого опалення та переведення їх на альтернативні джерела теплопостачання</t>
  </si>
  <si>
    <t>Рішення  міської ради від 28.01.2021 №54-4 (зі змінами)</t>
  </si>
  <si>
    <t xml:space="preserve">проект Рішення міської ради </t>
  </si>
  <si>
    <t>Віктор 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</si>
</sst>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₴_-;\-* #,##0.00\ _₴_-;_-* &quot;-&quot;??\ _₴_-;_-@_-"/>
    <numFmt numFmtId="179" formatCode="_-* #,##0.00\ _₽_-;\-* #,##0.00\ _₽_-;_-* &quot;-&quot;??\ _₽_-;_-@_-"/>
    <numFmt numFmtId="185" formatCode="_-* #,##0_р_._-;\-* #,##0_р_._-;_-* &quot;-&quot;_р_._-;_-@_-"/>
    <numFmt numFmtId="194" formatCode="_-* #,##0.00\ &quot;грн.&quot;_-;\-* #,##0.00\ &quot;грн.&quot;_-;_-* &quot;-&quot;??\ &quot;грн.&quot;_-;_-@_-"/>
    <numFmt numFmtId="196" formatCode="_-* #,##0.00\ _р_._-;\-* #,##0.00\ _р_._-;_-* &quot;-&quot;??\ _р_._-;_-@_-"/>
    <numFmt numFmtId="197" formatCode="#,##0.0"/>
    <numFmt numFmtId="198" formatCode="0.0"/>
    <numFmt numFmtId="212" formatCode="#,##0_ ;\-#,##0\ "/>
  </numFmts>
  <fonts count="39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49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UkrainianPragmatica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23"/>
      </left>
      <right style="double">
        <color indexed="23"/>
      </right>
      <top style="double">
        <color indexed="23"/>
      </top>
      <bottom style="double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0" fontId="1" fillId="0" borderId="0"/>
    <xf numFmtId="0" fontId="3" fillId="2" borderId="1" applyNumberFormat="0" applyAlignment="0" applyProtection="0"/>
    <xf numFmtId="0" fontId="4" fillId="3" borderId="2" applyNumberFormat="0" applyAlignment="0" applyProtection="0"/>
    <xf numFmtId="0" fontId="4" fillId="3" borderId="2" applyNumberFormat="0" applyAlignment="0" applyProtection="0"/>
    <xf numFmtId="194" fontId="35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35" fillId="0" borderId="0" applyFont="0" applyFill="0" applyBorder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/>
    <xf numFmtId="0" fontId="31" fillId="0" borderId="0"/>
    <xf numFmtId="0" fontId="34" fillId="0" borderId="0"/>
    <xf numFmtId="0" fontId="31" fillId="0" borderId="0"/>
    <xf numFmtId="0" fontId="31" fillId="0" borderId="0"/>
    <xf numFmtId="0" fontId="25" fillId="0" borderId="0"/>
    <xf numFmtId="0" fontId="16" fillId="0" borderId="0">
      <alignment vertical="top"/>
    </xf>
    <xf numFmtId="0" fontId="9" fillId="0" borderId="6" applyNumberFormat="0" applyFill="0" applyAlignment="0" applyProtection="0"/>
    <xf numFmtId="0" fontId="10" fillId="5" borderId="7" applyNumberFormat="0" applyAlignment="0" applyProtection="0"/>
    <xf numFmtId="0" fontId="10" fillId="5" borderId="8" applyNumberFormat="0" applyAlignment="0" applyProtection="0"/>
    <xf numFmtId="0" fontId="10" fillId="5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5" fillId="0" borderId="0"/>
    <xf numFmtId="0" fontId="30" fillId="0" borderId="0"/>
    <xf numFmtId="0" fontId="25" fillId="0" borderId="0"/>
    <xf numFmtId="0" fontId="36" fillId="0" borderId="0"/>
    <xf numFmtId="0" fontId="31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1" fillId="0" borderId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3" fillId="3" borderId="0" applyNumberFormat="0" applyBorder="0" applyAlignment="0" applyProtection="0"/>
    <xf numFmtId="0" fontId="2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196" fontId="15" fillId="0" borderId="0" applyFont="0" applyFill="0" applyBorder="0" applyAlignment="0" applyProtection="0"/>
    <xf numFmtId="179" fontId="31" fillId="0" borderId="0" applyFont="0" applyFill="0" applyBorder="0" applyAlignment="0" applyProtection="0"/>
    <xf numFmtId="179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</cellStyleXfs>
  <cellXfs count="161">
    <xf numFmtId="0" fontId="0" fillId="0" borderId="0" xfId="0"/>
    <xf numFmtId="49" fontId="19" fillId="6" borderId="10" xfId="0" applyNumberFormat="1" applyFont="1" applyFill="1" applyBorder="1" applyAlignment="1">
      <alignment horizontal="center" vertical="center"/>
    </xf>
    <xf numFmtId="49" fontId="19" fillId="6" borderId="10" xfId="29" applyNumberFormat="1" applyFont="1" applyFill="1" applyBorder="1" applyAlignment="1">
      <alignment horizontal="center" vertical="center" wrapText="1" shrinkToFit="1"/>
    </xf>
    <xf numFmtId="0" fontId="19" fillId="6" borderId="10" xfId="29" applyFont="1" applyFill="1" applyBorder="1" applyAlignment="1">
      <alignment horizontal="center" vertical="center" wrapText="1" shrinkToFit="1"/>
    </xf>
    <xf numFmtId="0" fontId="19" fillId="6" borderId="10" xfId="0" applyFont="1" applyFill="1" applyBorder="1" applyAlignment="1">
      <alignment vertical="center" wrapText="1"/>
    </xf>
    <xf numFmtId="0" fontId="18" fillId="6" borderId="10" xfId="0" applyFont="1" applyFill="1" applyBorder="1" applyAlignment="1">
      <alignment horizontal="center" vertical="center" wrapText="1"/>
    </xf>
    <xf numFmtId="3" fontId="19" fillId="6" borderId="10" xfId="0" applyNumberFormat="1" applyFont="1" applyFill="1" applyBorder="1" applyAlignment="1">
      <alignment horizontal="center" vertical="center" wrapText="1" shrinkToFit="1"/>
    </xf>
    <xf numFmtId="198" fontId="19" fillId="6" borderId="10" xfId="42" applyNumberFormat="1" applyFont="1" applyFill="1" applyBorder="1" applyAlignment="1">
      <alignment horizontal="left" vertical="center" wrapText="1"/>
    </xf>
    <xf numFmtId="3" fontId="19" fillId="6" borderId="10" xfId="21" applyNumberFormat="1" applyFont="1" applyFill="1" applyBorder="1" applyAlignment="1">
      <alignment horizontal="center" vertical="center" wrapText="1" shrinkToFit="1"/>
    </xf>
    <xf numFmtId="49" fontId="19" fillId="6" borderId="10" xfId="0" applyNumberFormat="1" applyFont="1" applyFill="1" applyBorder="1" applyAlignment="1">
      <alignment horizontal="center" vertical="center" wrapText="1" shrinkToFit="1"/>
    </xf>
    <xf numFmtId="0" fontId="19" fillId="6" borderId="10" xfId="0" applyFont="1" applyFill="1" applyBorder="1" applyAlignment="1">
      <alignment horizontal="left" vertical="center" wrapText="1"/>
    </xf>
    <xf numFmtId="49" fontId="19" fillId="6" borderId="10" xfId="0" applyNumberFormat="1" applyFont="1" applyFill="1" applyBorder="1" applyAlignment="1">
      <alignment horizontal="center" vertical="center" wrapText="1"/>
    </xf>
    <xf numFmtId="3" fontId="18" fillId="6" borderId="10" xfId="0" applyNumberFormat="1" applyFont="1" applyFill="1" applyBorder="1" applyAlignment="1">
      <alignment horizontal="center" vertical="center" wrapText="1"/>
    </xf>
    <xf numFmtId="49" fontId="19" fillId="6" borderId="10" xfId="0" applyNumberFormat="1" applyFont="1" applyFill="1" applyBorder="1" applyAlignment="1">
      <alignment vertical="center" wrapText="1" shrinkToFit="1"/>
    </xf>
    <xf numFmtId="0" fontId="19" fillId="6" borderId="0" xfId="0" applyFont="1" applyFill="1"/>
    <xf numFmtId="0" fontId="19" fillId="6" borderId="0" xfId="0" applyFont="1" applyFill="1" applyAlignment="1">
      <alignment horizontal="center" vertical="center"/>
    </xf>
    <xf numFmtId="197" fontId="19" fillId="6" borderId="0" xfId="0" applyNumberFormat="1" applyFont="1" applyFill="1" applyAlignment="1">
      <alignment horizontal="center" vertical="center"/>
    </xf>
    <xf numFmtId="0" fontId="19" fillId="6" borderId="0" xfId="0" applyFont="1" applyFill="1" applyAlignment="1"/>
    <xf numFmtId="0" fontId="19" fillId="6" borderId="0" xfId="0" applyFont="1" applyFill="1" applyAlignment="1">
      <alignment horizontal="center"/>
    </xf>
    <xf numFmtId="0" fontId="18" fillId="6" borderId="0" xfId="0" applyFont="1" applyFill="1" applyAlignment="1"/>
    <xf numFmtId="0" fontId="22" fillId="6" borderId="0" xfId="0" applyFont="1" applyFill="1" applyAlignment="1"/>
    <xf numFmtId="0" fontId="19" fillId="6" borderId="0" xfId="0" applyFont="1" applyFill="1" applyBorder="1"/>
    <xf numFmtId="0" fontId="22" fillId="6" borderId="0" xfId="0" applyFont="1" applyFill="1"/>
    <xf numFmtId="197" fontId="19" fillId="6" borderId="0" xfId="0" applyNumberFormat="1" applyFont="1" applyFill="1"/>
    <xf numFmtId="197" fontId="19" fillId="6" borderId="0" xfId="0" applyNumberFormat="1" applyFont="1" applyFill="1" applyAlignment="1">
      <alignment horizontal="center"/>
    </xf>
    <xf numFmtId="197" fontId="18" fillId="6" borderId="0" xfId="0" applyNumberFormat="1" applyFont="1" applyFill="1"/>
    <xf numFmtId="197" fontId="18" fillId="6" borderId="0" xfId="0" applyNumberFormat="1" applyFont="1" applyFill="1" applyAlignment="1">
      <alignment horizontal="right"/>
    </xf>
    <xf numFmtId="0" fontId="19" fillId="6" borderId="0" xfId="0" applyNumberFormat="1" applyFont="1" applyFill="1" applyBorder="1" applyAlignment="1" applyProtection="1"/>
    <xf numFmtId="0" fontId="19" fillId="6" borderId="0" xfId="0" applyNumberFormat="1" applyFont="1" applyFill="1" applyBorder="1" applyAlignment="1" applyProtection="1">
      <alignment horizontal="center"/>
    </xf>
    <xf numFmtId="0" fontId="18" fillId="6" borderId="10" xfId="0" applyNumberFormat="1" applyFont="1" applyFill="1" applyBorder="1" applyAlignment="1" applyProtection="1">
      <alignment horizontal="center" vertical="center" wrapText="1"/>
    </xf>
    <xf numFmtId="0" fontId="19" fillId="6" borderId="0" xfId="0" applyFont="1" applyFill="1" applyBorder="1" applyAlignment="1">
      <alignment horizontal="center"/>
    </xf>
    <xf numFmtId="49" fontId="18" fillId="6" borderId="11" xfId="0" applyNumberFormat="1" applyFont="1" applyFill="1" applyBorder="1" applyAlignment="1">
      <alignment horizontal="center" vertical="top"/>
    </xf>
    <xf numFmtId="49" fontId="18" fillId="6" borderId="10" xfId="0" applyNumberFormat="1" applyFont="1" applyFill="1" applyBorder="1" applyAlignment="1">
      <alignment horizontal="center" vertical="center" wrapText="1"/>
    </xf>
    <xf numFmtId="3" fontId="18" fillId="6" borderId="10" xfId="21" applyNumberFormat="1" applyFont="1" applyFill="1" applyBorder="1" applyAlignment="1">
      <alignment horizontal="center" vertical="center"/>
    </xf>
    <xf numFmtId="0" fontId="18" fillId="6" borderId="0" xfId="0" applyFont="1" applyFill="1"/>
    <xf numFmtId="0" fontId="18" fillId="6" borderId="0" xfId="0" applyFont="1" applyFill="1" applyBorder="1"/>
    <xf numFmtId="49" fontId="19" fillId="6" borderId="10" xfId="0" applyNumberFormat="1" applyFont="1" applyFill="1" applyBorder="1" applyAlignment="1">
      <alignment horizontal="left" vertical="center" wrapText="1"/>
    </xf>
    <xf numFmtId="3" fontId="19" fillId="6" borderId="10" xfId="21" applyNumberFormat="1" applyFont="1" applyFill="1" applyBorder="1" applyAlignment="1">
      <alignment horizontal="center" vertical="center"/>
    </xf>
    <xf numFmtId="0" fontId="19" fillId="6" borderId="10" xfId="0" applyFont="1" applyFill="1" applyBorder="1" applyAlignment="1">
      <alignment horizontal="center" vertical="center" wrapText="1"/>
    </xf>
    <xf numFmtId="198" fontId="29" fillId="6" borderId="10" xfId="42" applyNumberFormat="1" applyFont="1" applyFill="1" applyBorder="1" applyAlignment="1">
      <alignment horizontal="left" vertical="center" wrapText="1"/>
    </xf>
    <xf numFmtId="0" fontId="26" fillId="6" borderId="0" xfId="0" applyFont="1" applyFill="1"/>
    <xf numFmtId="49" fontId="19" fillId="6" borderId="11" xfId="0" applyNumberFormat="1" applyFont="1" applyFill="1" applyBorder="1" applyAlignment="1">
      <alignment horizontal="center" vertical="top"/>
    </xf>
    <xf numFmtId="49" fontId="19" fillId="6" borderId="12" xfId="0" applyNumberFormat="1" applyFont="1" applyFill="1" applyBorder="1" applyAlignment="1">
      <alignment horizontal="center" vertical="top"/>
    </xf>
    <xf numFmtId="49" fontId="19" fillId="6" borderId="10" xfId="17" applyNumberFormat="1" applyFont="1" applyFill="1" applyBorder="1" applyAlignment="1">
      <alignment horizontal="center" vertical="center" wrapText="1"/>
    </xf>
    <xf numFmtId="49" fontId="19" fillId="6" borderId="10" xfId="0" applyNumberFormat="1" applyFont="1" applyFill="1" applyBorder="1" applyAlignment="1">
      <alignment vertical="center" wrapText="1"/>
    </xf>
    <xf numFmtId="0" fontId="18" fillId="6" borderId="10" xfId="0" applyNumberFormat="1" applyFont="1" applyFill="1" applyBorder="1" applyAlignment="1">
      <alignment horizontal="center" vertical="center" wrapText="1"/>
    </xf>
    <xf numFmtId="3" fontId="18" fillId="6" borderId="10" xfId="0" applyNumberFormat="1" applyFont="1" applyFill="1" applyBorder="1" applyAlignment="1">
      <alignment horizontal="left" vertical="center" wrapText="1"/>
    </xf>
    <xf numFmtId="49" fontId="37" fillId="6" borderId="10" xfId="0" applyNumberFormat="1" applyFont="1" applyFill="1" applyBorder="1" applyAlignment="1">
      <alignment horizontal="center" vertical="center" wrapText="1"/>
    </xf>
    <xf numFmtId="0" fontId="37" fillId="6" borderId="10" xfId="0" applyFont="1" applyFill="1" applyBorder="1" applyAlignment="1">
      <alignment horizontal="left" vertical="center" wrapText="1"/>
    </xf>
    <xf numFmtId="49" fontId="19" fillId="6" borderId="10" xfId="38" applyNumberFormat="1" applyFont="1" applyFill="1" applyBorder="1" applyAlignment="1">
      <alignment horizontal="center" vertical="center" wrapText="1"/>
    </xf>
    <xf numFmtId="0" fontId="19" fillId="6" borderId="10" xfId="38" applyFont="1" applyFill="1" applyBorder="1" applyAlignment="1">
      <alignment horizontal="center" vertical="center" wrapText="1"/>
    </xf>
    <xf numFmtId="0" fontId="25" fillId="6" borderId="10" xfId="0" applyFont="1" applyFill="1" applyBorder="1" applyAlignment="1">
      <alignment horizontal="left" vertical="center" wrapText="1"/>
    </xf>
    <xf numFmtId="197" fontId="19" fillId="6" borderId="0" xfId="0" applyNumberFormat="1" applyFont="1" applyFill="1" applyBorder="1" applyAlignment="1">
      <alignment vertical="center" wrapText="1"/>
    </xf>
    <xf numFmtId="3" fontId="19" fillId="6" borderId="10" xfId="21" applyNumberFormat="1" applyFont="1" applyFill="1" applyBorder="1" applyAlignment="1">
      <alignment vertical="center"/>
    </xf>
    <xf numFmtId="0" fontId="19" fillId="6" borderId="10" xfId="29" applyFont="1" applyFill="1" applyBorder="1" applyAlignment="1">
      <alignment horizontal="left" vertical="center" wrapText="1" shrinkToFit="1"/>
    </xf>
    <xf numFmtId="3" fontId="19" fillId="6" borderId="10" xfId="0" applyNumberFormat="1" applyFont="1" applyFill="1" applyBorder="1" applyAlignment="1">
      <alignment horizontal="center" vertical="center" wrapText="1"/>
    </xf>
    <xf numFmtId="49" fontId="18" fillId="6" borderId="10" xfId="0" applyNumberFormat="1" applyFont="1" applyFill="1" applyBorder="1" applyAlignment="1">
      <alignment horizontal="center" vertical="center"/>
    </xf>
    <xf numFmtId="49" fontId="18" fillId="6" borderId="10" xfId="0" applyNumberFormat="1" applyFont="1" applyFill="1" applyBorder="1" applyAlignment="1">
      <alignment horizontal="left" vertical="center" wrapText="1"/>
    </xf>
    <xf numFmtId="0" fontId="19" fillId="6" borderId="11" xfId="0" applyFont="1" applyFill="1" applyBorder="1" applyAlignment="1">
      <alignment horizontal="center" vertical="top"/>
    </xf>
    <xf numFmtId="212" fontId="18" fillId="6" borderId="10" xfId="6" applyNumberFormat="1" applyFont="1" applyFill="1" applyBorder="1" applyAlignment="1">
      <alignment horizontal="center" vertical="center" wrapText="1"/>
    </xf>
    <xf numFmtId="3" fontId="18" fillId="6" borderId="10" xfId="38" applyNumberFormat="1" applyFont="1" applyFill="1" applyBorder="1" applyAlignment="1">
      <alignment horizontal="center" vertical="center" wrapText="1"/>
    </xf>
    <xf numFmtId="3" fontId="38" fillId="6" borderId="10" xfId="38" applyNumberFormat="1" applyFont="1" applyFill="1" applyBorder="1" applyAlignment="1">
      <alignment horizontal="center" vertical="center" wrapText="1"/>
    </xf>
    <xf numFmtId="0" fontId="29" fillId="6" borderId="10" xfId="38" applyFont="1" applyFill="1" applyBorder="1" applyAlignment="1">
      <alignment horizontal="left" vertical="center" wrapText="1"/>
    </xf>
    <xf numFmtId="3" fontId="19" fillId="6" borderId="10" xfId="38" applyNumberFormat="1" applyFont="1" applyFill="1" applyBorder="1" applyAlignment="1">
      <alignment vertical="center" wrapText="1"/>
    </xf>
    <xf numFmtId="1" fontId="18" fillId="6" borderId="10" xfId="0" applyNumberFormat="1" applyFon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top"/>
    </xf>
    <xf numFmtId="0" fontId="19" fillId="6" borderId="10" xfId="29" applyFont="1" applyFill="1" applyBorder="1" applyAlignment="1">
      <alignment horizontal="center" vertical="center" wrapText="1"/>
    </xf>
    <xf numFmtId="3" fontId="19" fillId="6" borderId="10" xfId="0" applyNumberFormat="1" applyFont="1" applyFill="1" applyBorder="1" applyAlignment="1">
      <alignment vertical="center" wrapText="1"/>
    </xf>
    <xf numFmtId="3" fontId="19" fillId="6" borderId="10" xfId="0" applyNumberFormat="1" applyFont="1" applyFill="1" applyBorder="1" applyAlignment="1">
      <alignment horizontal="left" vertical="center" wrapText="1"/>
    </xf>
    <xf numFmtId="198" fontId="19" fillId="6" borderId="10" xfId="42" applyNumberFormat="1" applyFont="1" applyFill="1" applyBorder="1" applyAlignment="1">
      <alignment vertical="center" wrapText="1"/>
    </xf>
    <xf numFmtId="198" fontId="19" fillId="6" borderId="10" xfId="42" applyNumberFormat="1" applyFont="1" applyFill="1" applyBorder="1" applyAlignment="1">
      <alignment horizontal="center" vertical="center" wrapText="1"/>
    </xf>
    <xf numFmtId="3" fontId="18" fillId="6" borderId="10" xfId="42" applyNumberFormat="1" applyFont="1" applyFill="1" applyBorder="1" applyAlignment="1">
      <alignment horizontal="center" vertical="center" wrapText="1"/>
    </xf>
    <xf numFmtId="3" fontId="18" fillId="6" borderId="10" xfId="0" applyNumberFormat="1" applyFont="1" applyFill="1" applyBorder="1" applyAlignment="1">
      <alignment wrapText="1"/>
    </xf>
    <xf numFmtId="3" fontId="18" fillId="6" borderId="10" xfId="0" applyNumberFormat="1" applyFont="1" applyFill="1" applyBorder="1" applyAlignment="1">
      <alignment horizontal="center" wrapText="1"/>
    </xf>
    <xf numFmtId="1" fontId="19" fillId="6" borderId="10" xfId="0" applyNumberFormat="1" applyFont="1" applyFill="1" applyBorder="1" applyAlignment="1">
      <alignment horizontal="center" vertical="center"/>
    </xf>
    <xf numFmtId="0" fontId="32" fillId="6" borderId="10" xfId="0" applyFont="1" applyFill="1" applyBorder="1" applyAlignment="1">
      <alignment horizontal="left" vertical="center" wrapText="1" shrinkToFit="1"/>
    </xf>
    <xf numFmtId="0" fontId="29" fillId="6" borderId="10" xfId="0" applyFont="1" applyFill="1" applyBorder="1" applyAlignment="1">
      <alignment horizontal="left" vertical="center" wrapText="1" shrinkToFit="1"/>
    </xf>
    <xf numFmtId="0" fontId="27" fillId="6" borderId="0" xfId="0" applyFont="1" applyFill="1"/>
    <xf numFmtId="3" fontId="38" fillId="6" borderId="10" xfId="0" applyNumberFormat="1" applyFont="1" applyFill="1" applyBorder="1" applyAlignment="1">
      <alignment horizontal="center" vertical="center" wrapText="1"/>
    </xf>
    <xf numFmtId="3" fontId="37" fillId="6" borderId="10" xfId="21" applyNumberFormat="1" applyFont="1" applyFill="1" applyBorder="1" applyAlignment="1">
      <alignment horizontal="center" vertical="center"/>
    </xf>
    <xf numFmtId="3" fontId="38" fillId="6" borderId="10" xfId="21" applyNumberFormat="1" applyFont="1" applyFill="1" applyBorder="1" applyAlignment="1">
      <alignment horizontal="center" vertical="center"/>
    </xf>
    <xf numFmtId="3" fontId="19" fillId="6" borderId="10" xfId="0" applyNumberFormat="1" applyFont="1" applyFill="1" applyBorder="1" applyAlignment="1">
      <alignment horizontal="center" vertical="center"/>
    </xf>
    <xf numFmtId="49" fontId="18" fillId="6" borderId="11" xfId="0" applyNumberFormat="1" applyFont="1" applyFill="1" applyBorder="1" applyAlignment="1">
      <alignment horizontal="center" vertical="center" wrapText="1" shrinkToFit="1"/>
    </xf>
    <xf numFmtId="49" fontId="29" fillId="6" borderId="10" xfId="0" applyNumberFormat="1" applyFont="1" applyFill="1" applyBorder="1" applyAlignment="1">
      <alignment horizontal="center" vertical="center" wrapText="1" shrinkToFit="1"/>
    </xf>
    <xf numFmtId="3" fontId="18" fillId="6" borderId="10" xfId="0" applyNumberFormat="1" applyFont="1" applyFill="1" applyBorder="1" applyAlignment="1">
      <alignment horizontal="center" vertical="center" wrapText="1" shrinkToFit="1"/>
    </xf>
    <xf numFmtId="49" fontId="19" fillId="6" borderId="0" xfId="0" applyNumberFormat="1" applyFont="1" applyFill="1" applyAlignment="1">
      <alignment vertical="center" wrapText="1" shrinkToFit="1"/>
    </xf>
    <xf numFmtId="49" fontId="19" fillId="6" borderId="0" xfId="0" applyNumberFormat="1" applyFont="1" applyFill="1" applyBorder="1" applyAlignment="1">
      <alignment vertical="center" wrapText="1" shrinkToFit="1"/>
    </xf>
    <xf numFmtId="49" fontId="19" fillId="6" borderId="13" xfId="0" applyNumberFormat="1" applyFont="1" applyFill="1" applyBorder="1" applyAlignment="1" applyProtection="1">
      <alignment horizontal="center" vertical="center" wrapText="1" shrinkToFit="1"/>
    </xf>
    <xf numFmtId="0" fontId="29" fillId="6" borderId="10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left" vertical="center" wrapText="1"/>
    </xf>
    <xf numFmtId="49" fontId="19" fillId="6" borderId="13" xfId="0" applyNumberFormat="1" applyFont="1" applyFill="1" applyBorder="1" applyAlignment="1">
      <alignment horizontal="center" vertical="center" wrapText="1" shrinkToFit="1"/>
    </xf>
    <xf numFmtId="49" fontId="19" fillId="6" borderId="0" xfId="0" applyNumberFormat="1" applyFont="1" applyFill="1" applyBorder="1" applyAlignment="1">
      <alignment horizontal="center" vertical="center" wrapText="1" shrinkToFit="1"/>
    </xf>
    <xf numFmtId="49" fontId="19" fillId="6" borderId="0" xfId="0" applyNumberFormat="1" applyFont="1" applyFill="1" applyAlignment="1" applyProtection="1">
      <alignment vertical="center" wrapText="1" shrinkToFit="1"/>
    </xf>
    <xf numFmtId="49" fontId="18" fillId="6" borderId="10" xfId="33" applyNumberFormat="1" applyFont="1" applyFill="1" applyBorder="1" applyAlignment="1">
      <alignment horizontal="center" vertical="center"/>
    </xf>
    <xf numFmtId="49" fontId="18" fillId="6" borderId="10" xfId="33" applyNumberFormat="1" applyFont="1" applyFill="1" applyBorder="1" applyAlignment="1">
      <alignment horizontal="center" vertical="center" wrapText="1"/>
    </xf>
    <xf numFmtId="0" fontId="18" fillId="6" borderId="10" xfId="33" applyNumberFormat="1" applyFont="1" applyFill="1" applyBorder="1" applyAlignment="1">
      <alignment horizontal="center" vertical="center" wrapText="1"/>
    </xf>
    <xf numFmtId="0" fontId="29" fillId="6" borderId="10" xfId="0" applyFont="1" applyFill="1" applyBorder="1" applyAlignment="1">
      <alignment horizontal="center" vertical="center" wrapText="1"/>
    </xf>
    <xf numFmtId="3" fontId="32" fillId="6" borderId="10" xfId="0" applyNumberFormat="1" applyFont="1" applyFill="1" applyBorder="1" applyAlignment="1">
      <alignment horizontal="center" vertical="center" wrapText="1"/>
    </xf>
    <xf numFmtId="3" fontId="29" fillId="6" borderId="10" xfId="0" applyNumberFormat="1" applyFont="1" applyFill="1" applyBorder="1" applyAlignment="1">
      <alignment horizontal="center" vertical="center" wrapText="1"/>
    </xf>
    <xf numFmtId="49" fontId="28" fillId="6" borderId="0" xfId="0" applyNumberFormat="1" applyFont="1" applyFill="1" applyAlignment="1">
      <alignment vertical="center" wrapText="1" shrinkToFit="1"/>
    </xf>
    <xf numFmtId="3" fontId="29" fillId="6" borderId="10" xfId="0" applyNumberFormat="1" applyFont="1" applyFill="1" applyBorder="1" applyAlignment="1">
      <alignment horizontal="center" vertical="center" wrapText="1" shrinkToFit="1"/>
    </xf>
    <xf numFmtId="49" fontId="18" fillId="6" borderId="0" xfId="0" applyNumberFormat="1" applyFont="1" applyFill="1" applyAlignment="1" applyProtection="1">
      <alignment vertical="center" wrapText="1" shrinkToFit="1"/>
    </xf>
    <xf numFmtId="49" fontId="18" fillId="6" borderId="0" xfId="0" applyNumberFormat="1" applyFont="1" applyFill="1" applyAlignment="1">
      <alignment vertical="center" wrapText="1" shrinkToFit="1"/>
    </xf>
    <xf numFmtId="49" fontId="18" fillId="6" borderId="0" xfId="0" applyNumberFormat="1" applyFont="1" applyFill="1" applyBorder="1" applyAlignment="1">
      <alignment vertical="center" wrapText="1" shrinkToFit="1"/>
    </xf>
    <xf numFmtId="49" fontId="19" fillId="6" borderId="10" xfId="0" applyNumberFormat="1" applyFont="1" applyFill="1" applyBorder="1" applyAlignment="1">
      <alignment vertical="center"/>
    </xf>
    <xf numFmtId="0" fontId="18" fillId="6" borderId="10" xfId="0" applyFont="1" applyFill="1" applyBorder="1" applyAlignment="1">
      <alignment horizontal="left" vertical="center" wrapText="1"/>
    </xf>
    <xf numFmtId="49" fontId="19" fillId="6" borderId="14" xfId="0" applyNumberFormat="1" applyFont="1" applyFill="1" applyBorder="1" applyAlignment="1">
      <alignment horizontal="center" vertical="center"/>
    </xf>
    <xf numFmtId="49" fontId="20" fillId="6" borderId="10" xfId="0" applyNumberFormat="1" applyFont="1" applyFill="1" applyBorder="1" applyAlignment="1">
      <alignment horizontal="center" vertical="center" wrapText="1"/>
    </xf>
    <xf numFmtId="3" fontId="20" fillId="6" borderId="10" xfId="0" applyNumberFormat="1" applyFont="1" applyFill="1" applyBorder="1" applyAlignment="1">
      <alignment horizontal="center" vertical="center" wrapText="1" shrinkToFit="1"/>
    </xf>
    <xf numFmtId="0" fontId="19" fillId="6" borderId="0" xfId="0" applyNumberFormat="1" applyFont="1" applyFill="1" applyAlignment="1" applyProtection="1"/>
    <xf numFmtId="0" fontId="19" fillId="6" borderId="0" xfId="0" applyNumberFormat="1" applyFont="1" applyFill="1" applyAlignment="1" applyProtection="1">
      <alignment horizontal="center" vertical="center"/>
    </xf>
    <xf numFmtId="0" fontId="19" fillId="6" borderId="0" xfId="0" applyNumberFormat="1" applyFont="1" applyFill="1" applyAlignment="1" applyProtection="1">
      <alignment horizontal="center"/>
    </xf>
    <xf numFmtId="0" fontId="18" fillId="6" borderId="0" xfId="0" applyNumberFormat="1" applyFont="1" applyFill="1" applyAlignment="1" applyProtection="1"/>
    <xf numFmtId="3" fontId="19" fillId="6" borderId="0" xfId="0" applyNumberFormat="1" applyFont="1" applyFill="1" applyAlignment="1" applyProtection="1"/>
    <xf numFmtId="197" fontId="19" fillId="6" borderId="0" xfId="0" applyNumberFormat="1" applyFont="1" applyFill="1" applyAlignment="1" applyProtection="1"/>
    <xf numFmtId="0" fontId="23" fillId="6" borderId="0" xfId="0" applyNumberFormat="1" applyFont="1" applyFill="1" applyAlignment="1" applyProtection="1"/>
    <xf numFmtId="0" fontId="23" fillId="6" borderId="0" xfId="0" applyNumberFormat="1" applyFont="1" applyFill="1" applyAlignment="1" applyProtection="1">
      <alignment horizontal="center"/>
    </xf>
    <xf numFmtId="0" fontId="24" fillId="6" borderId="0" xfId="0" applyNumberFormat="1" applyFont="1" applyFill="1" applyAlignment="1" applyProtection="1"/>
    <xf numFmtId="0" fontId="23" fillId="6" borderId="0" xfId="0" applyFont="1" applyFill="1" applyAlignment="1">
      <alignment horizontal="left"/>
    </xf>
    <xf numFmtId="0" fontId="23" fillId="6" borderId="0" xfId="0" applyFont="1" applyFill="1" applyAlignment="1">
      <alignment horizontal="right"/>
    </xf>
    <xf numFmtId="0" fontId="19" fillId="6" borderId="15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 wrapText="1"/>
    </xf>
    <xf numFmtId="197" fontId="19" fillId="6" borderId="10" xfId="0" applyNumberFormat="1" applyFont="1" applyFill="1" applyBorder="1" applyAlignment="1">
      <alignment horizontal="left" vertical="center" wrapText="1"/>
    </xf>
    <xf numFmtId="197" fontId="19" fillId="6" borderId="10" xfId="0" applyNumberFormat="1" applyFont="1" applyFill="1" applyBorder="1" applyAlignment="1">
      <alignment horizontal="center" vertical="center" wrapText="1"/>
    </xf>
    <xf numFmtId="49" fontId="19" fillId="6" borderId="10" xfId="0" applyNumberFormat="1" applyFont="1" applyFill="1" applyBorder="1" applyAlignment="1">
      <alignment horizontal="center" vertical="center" wrapText="1"/>
    </xf>
    <xf numFmtId="3" fontId="19" fillId="6" borderId="10" xfId="0" applyNumberFormat="1" applyFont="1" applyFill="1" applyBorder="1" applyAlignment="1">
      <alignment horizontal="center" vertical="center" wrapText="1"/>
    </xf>
    <xf numFmtId="212" fontId="18" fillId="6" borderId="10" xfId="6" applyNumberFormat="1" applyFont="1" applyFill="1" applyBorder="1" applyAlignment="1">
      <alignment horizontal="center" vertical="center" wrapText="1"/>
    </xf>
    <xf numFmtId="3" fontId="19" fillId="6" borderId="10" xfId="21" applyNumberFormat="1" applyFont="1" applyFill="1" applyBorder="1" applyAlignment="1">
      <alignment horizontal="center" vertical="center"/>
    </xf>
    <xf numFmtId="0" fontId="19" fillId="6" borderId="10" xfId="0" applyFont="1" applyFill="1" applyBorder="1" applyAlignment="1">
      <alignment horizontal="center" vertical="center" wrapText="1"/>
    </xf>
    <xf numFmtId="49" fontId="19" fillId="6" borderId="10" xfId="38" applyNumberFormat="1" applyFont="1" applyFill="1" applyBorder="1" applyAlignment="1">
      <alignment horizontal="center" vertical="center" wrapText="1"/>
    </xf>
    <xf numFmtId="49" fontId="19" fillId="6" borderId="10" xfId="0" applyNumberFormat="1" applyFont="1" applyFill="1" applyBorder="1" applyAlignment="1">
      <alignment horizontal="center" vertical="center"/>
    </xf>
    <xf numFmtId="49" fontId="19" fillId="6" borderId="10" xfId="0" applyNumberFormat="1" applyFont="1" applyFill="1" applyBorder="1" applyAlignment="1">
      <alignment horizontal="left" vertical="center" wrapText="1"/>
    </xf>
    <xf numFmtId="0" fontId="19" fillId="6" borderId="10" xfId="38" applyFont="1" applyFill="1" applyBorder="1" applyAlignment="1">
      <alignment horizontal="center" vertical="center" wrapText="1"/>
    </xf>
    <xf numFmtId="198" fontId="19" fillId="6" borderId="10" xfId="42" applyNumberFormat="1" applyFont="1" applyFill="1" applyBorder="1" applyAlignment="1">
      <alignment horizontal="center" vertical="center" wrapText="1"/>
    </xf>
    <xf numFmtId="0" fontId="24" fillId="6" borderId="0" xfId="0" applyFont="1" applyFill="1" applyAlignment="1">
      <alignment horizontal="center"/>
    </xf>
    <xf numFmtId="0" fontId="18" fillId="6" borderId="10" xfId="0" applyNumberFormat="1" applyFont="1" applyFill="1" applyBorder="1" applyAlignment="1" applyProtection="1">
      <alignment horizontal="center" vertical="center" wrapText="1"/>
    </xf>
    <xf numFmtId="0" fontId="18" fillId="6" borderId="10" xfId="0" applyFont="1" applyFill="1" applyBorder="1" applyAlignment="1">
      <alignment horizontal="center" vertical="center" wrapText="1"/>
    </xf>
    <xf numFmtId="0" fontId="22" fillId="6" borderId="0" xfId="0" applyFont="1" applyFill="1" applyAlignment="1">
      <alignment horizontal="left"/>
    </xf>
    <xf numFmtId="3" fontId="18" fillId="6" borderId="10" xfId="0" applyNumberFormat="1" applyFont="1" applyFill="1" applyBorder="1" applyAlignment="1">
      <alignment horizontal="center" vertical="center" wrapText="1"/>
    </xf>
    <xf numFmtId="0" fontId="19" fillId="6" borderId="10" xfId="38" applyFont="1" applyFill="1" applyBorder="1" applyAlignment="1">
      <alignment horizontal="left" vertical="center" wrapText="1"/>
    </xf>
    <xf numFmtId="0" fontId="19" fillId="6" borderId="10" xfId="0" applyFont="1" applyFill="1" applyBorder="1" applyAlignment="1">
      <alignment horizontal="left" vertical="center" wrapText="1"/>
    </xf>
    <xf numFmtId="49" fontId="19" fillId="6" borderId="15" xfId="16" applyNumberFormat="1" applyFont="1" applyFill="1" applyBorder="1" applyAlignment="1">
      <alignment horizontal="center" vertical="center" wrapText="1"/>
    </xf>
    <xf numFmtId="49" fontId="19" fillId="6" borderId="17" xfId="16" applyNumberFormat="1" applyFont="1" applyFill="1" applyBorder="1" applyAlignment="1">
      <alignment horizontal="center" vertical="center" wrapText="1"/>
    </xf>
    <xf numFmtId="49" fontId="19" fillId="6" borderId="16" xfId="16" applyNumberFormat="1" applyFont="1" applyFill="1" applyBorder="1" applyAlignment="1">
      <alignment horizontal="center" vertical="center" wrapText="1"/>
    </xf>
    <xf numFmtId="49" fontId="19" fillId="6" borderId="15" xfId="16" applyNumberFormat="1" applyFont="1" applyFill="1" applyBorder="1" applyAlignment="1">
      <alignment horizontal="center" vertical="center"/>
    </xf>
    <xf numFmtId="49" fontId="19" fillId="6" borderId="17" xfId="16" applyNumberFormat="1" applyFont="1" applyFill="1" applyBorder="1" applyAlignment="1">
      <alignment horizontal="center" vertical="center"/>
    </xf>
    <xf numFmtId="49" fontId="19" fillId="6" borderId="16" xfId="16" applyNumberFormat="1" applyFont="1" applyFill="1" applyBorder="1" applyAlignment="1">
      <alignment horizontal="center" vertical="center"/>
    </xf>
    <xf numFmtId="198" fontId="19" fillId="6" borderId="15" xfId="42" applyNumberFormat="1" applyFont="1" applyFill="1" applyBorder="1" applyAlignment="1">
      <alignment horizontal="center" vertical="center" wrapText="1"/>
    </xf>
    <xf numFmtId="198" fontId="19" fillId="6" borderId="17" xfId="42" applyNumberFormat="1" applyFont="1" applyFill="1" applyBorder="1" applyAlignment="1">
      <alignment horizontal="center" vertical="center" wrapText="1"/>
    </xf>
    <xf numFmtId="198" fontId="19" fillId="6" borderId="16" xfId="42" applyNumberFormat="1" applyFont="1" applyFill="1" applyBorder="1" applyAlignment="1">
      <alignment horizontal="center" vertical="center" wrapText="1"/>
    </xf>
    <xf numFmtId="3" fontId="19" fillId="6" borderId="15" xfId="21" applyNumberFormat="1" applyFont="1" applyFill="1" applyBorder="1" applyAlignment="1">
      <alignment horizontal="center" vertical="center"/>
    </xf>
    <xf numFmtId="3" fontId="19" fillId="6" borderId="16" xfId="21" applyNumberFormat="1" applyFont="1" applyFill="1" applyBorder="1" applyAlignment="1">
      <alignment horizontal="center" vertical="center"/>
    </xf>
    <xf numFmtId="0" fontId="23" fillId="6" borderId="0" xfId="0" applyFont="1" applyFill="1" applyAlignment="1">
      <alignment horizontal="center"/>
    </xf>
    <xf numFmtId="49" fontId="20" fillId="6" borderId="10" xfId="0" applyNumberFormat="1" applyFont="1" applyFill="1" applyBorder="1" applyAlignment="1">
      <alignment horizontal="center" vertical="center" wrapText="1"/>
    </xf>
    <xf numFmtId="0" fontId="19" fillId="6" borderId="15" xfId="38" applyFont="1" applyFill="1" applyBorder="1" applyAlignment="1">
      <alignment horizontal="center" vertical="center" wrapText="1"/>
    </xf>
    <xf numFmtId="0" fontId="19" fillId="6" borderId="16" xfId="38" applyFont="1" applyFill="1" applyBorder="1" applyAlignment="1">
      <alignment horizontal="center" vertical="center" wrapText="1"/>
    </xf>
    <xf numFmtId="49" fontId="19" fillId="6" borderId="15" xfId="0" applyNumberFormat="1" applyFont="1" applyFill="1" applyBorder="1" applyAlignment="1">
      <alignment horizontal="center" vertical="center" wrapText="1"/>
    </xf>
    <xf numFmtId="49" fontId="19" fillId="6" borderId="16" xfId="0" applyNumberFormat="1" applyFont="1" applyFill="1" applyBorder="1" applyAlignment="1">
      <alignment horizontal="center" vertical="center" wrapText="1"/>
    </xf>
    <xf numFmtId="3" fontId="18" fillId="6" borderId="15" xfId="0" applyNumberFormat="1" applyFont="1" applyFill="1" applyBorder="1" applyAlignment="1">
      <alignment horizontal="center" vertical="center" wrapText="1"/>
    </xf>
    <xf numFmtId="3" fontId="18" fillId="6" borderId="16" xfId="0" applyNumberFormat="1" applyFont="1" applyFill="1" applyBorder="1" applyAlignment="1">
      <alignment horizontal="center" vertical="center" wrapText="1"/>
    </xf>
  </cellXfs>
  <cellStyles count="56">
    <cellStyle name="Normal_meresha_07" xfId="1"/>
    <cellStyle name="Ввід" xfId="2"/>
    <cellStyle name="Ввод " xfId="3" builtinId="20" customBuiltin="1"/>
    <cellStyle name="Ввод  2" xfId="4"/>
    <cellStyle name="Грошовий 2" xfId="5"/>
    <cellStyle name="Денежный" xfId="6" builtinId="4"/>
    <cellStyle name="Денежный 2" xfId="7"/>
    <cellStyle name="Добре" xfId="8"/>
    <cellStyle name="Заголовок 1" xfId="9" builtinId="16" customBuiltin="1"/>
    <cellStyle name="Заголовок 2" xfId="10" builtinId="17" customBuiltin="1"/>
    <cellStyle name="Заголовок 3" xfId="11" builtinId="18" customBuiltin="1"/>
    <cellStyle name="Заголовок 4" xfId="12" builtinId="19" customBuiltin="1"/>
    <cellStyle name="Звичайний 2" xfId="13"/>
    <cellStyle name="Звичайний 2 2" xfId="14"/>
    <cellStyle name="Звичайний 2 3" xfId="15"/>
    <cellStyle name="Звичайний 3" xfId="16"/>
    <cellStyle name="Звичайний 4" xfId="17"/>
    <cellStyle name="Звичайний 4 2" xfId="18"/>
    <cellStyle name="Звичайний 4 3" xfId="19"/>
    <cellStyle name="Звичайний 4 4" xfId="20"/>
    <cellStyle name="Звичайний_Додаток _ 3 зм_ни 4575" xfId="21"/>
    <cellStyle name="Зв'язана клітинка" xfId="22"/>
    <cellStyle name="Контрольна клітинка" xfId="23"/>
    <cellStyle name="Контрольная ячейка" xfId="24" builtinId="23" customBuiltin="1"/>
    <cellStyle name="Контрольная ячейка 2" xfId="25"/>
    <cellStyle name="Назва" xfId="26"/>
    <cellStyle name="Название" xfId="27" builtinId="15" customBuiltin="1"/>
    <cellStyle name="Название 2" xfId="28"/>
    <cellStyle name="Обычный" xfId="0" builtinId="0"/>
    <cellStyle name="Обычный 2" xfId="29"/>
    <cellStyle name="Обычный 3" xfId="30"/>
    <cellStyle name="Обычный 3 2" xfId="31"/>
    <cellStyle name="Обычный 3 3" xfId="32"/>
    <cellStyle name="Обычный 4" xfId="33"/>
    <cellStyle name="Обычный 4 2" xfId="34"/>
    <cellStyle name="Обычный 5" xfId="35"/>
    <cellStyle name="Обычный 5 2" xfId="36"/>
    <cellStyle name="Обычный 5 3" xfId="37"/>
    <cellStyle name="Обычный_СОЦ-ЕКОН.РОЗВ.2009" xfId="38"/>
    <cellStyle name="Связанная ячейка" xfId="39" builtinId="24" customBuiltin="1"/>
    <cellStyle name="Связанная ячейка 2" xfId="40"/>
    <cellStyle name="Середній" xfId="41"/>
    <cellStyle name="Стиль 1" xfId="42"/>
    <cellStyle name="Текст попередження" xfId="43"/>
    <cellStyle name="Текст предупреждения" xfId="44" builtinId="11" customBuiltin="1"/>
    <cellStyle name="Текст предупреждения 2" xfId="45"/>
    <cellStyle name="Тысячи [0]_Розподіл (2)" xfId="46"/>
    <cellStyle name="Тысячи_бюджет 1998 по клас." xfId="47"/>
    <cellStyle name="Фінансовий 2" xfId="48"/>
    <cellStyle name="Фінансовий 2 2" xfId="49"/>
    <cellStyle name="Фінансовий 2 3" xfId="50"/>
    <cellStyle name="Фінансовий 3" xfId="51"/>
    <cellStyle name="Фінансовий 3 2" xfId="52"/>
    <cellStyle name="Фінансовий 4" xfId="53"/>
    <cellStyle name="Фінансовий 4 2" xfId="54"/>
    <cellStyle name="Фінансовий 4 3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showZeros="0" tabSelected="1" view="pageBreakPreview" topLeftCell="B1" zoomScale="70" zoomScaleNormal="76" zoomScaleSheetLayoutView="70" workbookViewId="0">
      <pane xSplit="6" ySplit="10" topLeftCell="H11" activePane="bottomRight" state="frozen"/>
      <selection activeCell="B1" sqref="B1"/>
      <selection pane="topRight" activeCell="H1" sqref="H1"/>
      <selection pane="bottomLeft" activeCell="B11" sqref="B11"/>
      <selection pane="bottomRight" activeCell="C11" sqref="C11"/>
    </sheetView>
  </sheetViews>
  <sheetFormatPr defaultColWidth="8.85546875" defaultRowHeight="15.75"/>
  <cols>
    <col min="1" max="1" width="14.28515625" style="109" hidden="1" customWidth="1"/>
    <col min="2" max="2" width="19.140625" style="110" customWidth="1"/>
    <col min="3" max="3" width="16.42578125" style="110" customWidth="1"/>
    <col min="4" max="4" width="14.5703125" style="110" customWidth="1"/>
    <col min="5" max="5" width="43.7109375" style="109" customWidth="1"/>
    <col min="6" max="6" width="57.28515625" style="109" customWidth="1"/>
    <col min="7" max="7" width="36.85546875" style="111" customWidth="1"/>
    <col min="8" max="8" width="20.28515625" style="112" customWidth="1"/>
    <col min="9" max="9" width="19.28515625" style="109" customWidth="1"/>
    <col min="10" max="10" width="19.28515625" style="113" customWidth="1"/>
    <col min="11" max="11" width="19.28515625" style="109" customWidth="1"/>
    <col min="12" max="12" width="39.5703125" style="14" customWidth="1"/>
    <col min="13" max="13" width="16.7109375" style="14" customWidth="1"/>
    <col min="14" max="14" width="9.140625" style="21" customWidth="1"/>
    <col min="15" max="16384" width="8.85546875" style="14"/>
  </cols>
  <sheetData>
    <row r="1" spans="1:14" ht="18.75">
      <c r="A1" s="14"/>
      <c r="B1" s="15"/>
      <c r="C1" s="15"/>
      <c r="D1" s="16"/>
      <c r="E1" s="17"/>
      <c r="F1" s="17"/>
      <c r="G1" s="18"/>
      <c r="H1" s="19"/>
      <c r="I1" s="20" t="s">
        <v>91</v>
      </c>
      <c r="J1" s="20"/>
      <c r="K1" s="20"/>
    </row>
    <row r="2" spans="1:14" ht="18.75">
      <c r="A2" s="14"/>
      <c r="B2" s="15"/>
      <c r="C2" s="15"/>
      <c r="D2" s="16"/>
      <c r="E2" s="17"/>
      <c r="F2" s="17"/>
      <c r="G2" s="18"/>
      <c r="H2" s="19"/>
      <c r="I2" s="138" t="s">
        <v>251</v>
      </c>
      <c r="J2" s="138"/>
      <c r="K2" s="138"/>
    </row>
    <row r="3" spans="1:14" ht="18.75">
      <c r="A3" s="14"/>
      <c r="B3" s="15"/>
      <c r="C3" s="15"/>
      <c r="D3" s="16"/>
      <c r="E3" s="17"/>
      <c r="F3" s="17"/>
      <c r="G3" s="18"/>
      <c r="H3" s="19"/>
      <c r="I3" s="20" t="s">
        <v>99</v>
      </c>
      <c r="J3" s="20"/>
      <c r="K3" s="22"/>
    </row>
    <row r="4" spans="1:14">
      <c r="A4" s="14"/>
      <c r="B4" s="15"/>
      <c r="C4" s="15"/>
      <c r="D4" s="16"/>
      <c r="E4" s="17"/>
      <c r="F4" s="23"/>
      <c r="G4" s="24"/>
      <c r="H4" s="25"/>
      <c r="I4" s="25"/>
      <c r="J4" s="14"/>
      <c r="K4" s="14"/>
    </row>
    <row r="5" spans="1:14">
      <c r="A5" s="14"/>
      <c r="B5" s="15"/>
      <c r="C5" s="15"/>
      <c r="D5" s="16"/>
      <c r="E5" s="17"/>
      <c r="F5" s="23"/>
      <c r="G5" s="24"/>
      <c r="H5" s="25"/>
      <c r="I5" s="25"/>
      <c r="J5" s="14"/>
      <c r="K5" s="14"/>
    </row>
    <row r="6" spans="1:14" ht="20.25">
      <c r="A6" s="14"/>
      <c r="B6" s="135" t="s">
        <v>268</v>
      </c>
      <c r="C6" s="135"/>
      <c r="D6" s="135"/>
      <c r="E6" s="135"/>
      <c r="F6" s="135"/>
      <c r="G6" s="135"/>
      <c r="H6" s="135"/>
      <c r="I6" s="135"/>
      <c r="J6" s="135"/>
      <c r="K6" s="135"/>
    </row>
    <row r="7" spans="1:14">
      <c r="A7" s="14"/>
      <c r="B7" s="15"/>
      <c r="C7" s="15"/>
      <c r="D7" s="16"/>
      <c r="E7" s="17"/>
      <c r="F7" s="23"/>
      <c r="G7" s="24"/>
      <c r="H7" s="25"/>
      <c r="I7" s="14"/>
      <c r="J7" s="14"/>
      <c r="K7" s="26" t="s">
        <v>28</v>
      </c>
    </row>
    <row r="8" spans="1:14" ht="68.25" customHeight="1">
      <c r="A8" s="27"/>
      <c r="B8" s="136" t="s">
        <v>136</v>
      </c>
      <c r="C8" s="136" t="s">
        <v>134</v>
      </c>
      <c r="D8" s="136" t="s">
        <v>135</v>
      </c>
      <c r="E8" s="136" t="s">
        <v>137</v>
      </c>
      <c r="F8" s="137" t="s">
        <v>92</v>
      </c>
      <c r="G8" s="137" t="s">
        <v>93</v>
      </c>
      <c r="H8" s="137" t="s">
        <v>94</v>
      </c>
      <c r="I8" s="136" t="s">
        <v>0</v>
      </c>
      <c r="J8" s="139" t="s">
        <v>1</v>
      </c>
      <c r="K8" s="139"/>
    </row>
    <row r="9" spans="1:14" ht="68.25" customHeight="1">
      <c r="A9" s="27"/>
      <c r="B9" s="136"/>
      <c r="C9" s="136"/>
      <c r="D9" s="136"/>
      <c r="E9" s="136"/>
      <c r="F9" s="137"/>
      <c r="G9" s="137"/>
      <c r="H9" s="137"/>
      <c r="I9" s="136"/>
      <c r="J9" s="12" t="s">
        <v>94</v>
      </c>
      <c r="K9" s="5" t="s">
        <v>95</v>
      </c>
    </row>
    <row r="10" spans="1:14" s="18" customFormat="1">
      <c r="A10" s="28"/>
      <c r="B10" s="29">
        <v>1</v>
      </c>
      <c r="C10" s="29">
        <v>2</v>
      </c>
      <c r="D10" s="29">
        <v>3</v>
      </c>
      <c r="E10" s="29">
        <v>4</v>
      </c>
      <c r="F10" s="5">
        <v>5</v>
      </c>
      <c r="G10" s="5">
        <v>6</v>
      </c>
      <c r="H10" s="5">
        <v>7</v>
      </c>
      <c r="I10" s="29">
        <v>8</v>
      </c>
      <c r="J10" s="12">
        <v>9</v>
      </c>
      <c r="K10" s="5">
        <v>10</v>
      </c>
      <c r="N10" s="30"/>
    </row>
    <row r="11" spans="1:14" s="34" customFormat="1" ht="31.5">
      <c r="A11" s="31" t="s">
        <v>5</v>
      </c>
      <c r="B11" s="32" t="s">
        <v>53</v>
      </c>
      <c r="C11" s="32"/>
      <c r="D11" s="32"/>
      <c r="E11" s="32" t="s">
        <v>12</v>
      </c>
      <c r="F11" s="32"/>
      <c r="G11" s="32"/>
      <c r="H11" s="12">
        <f>I11+J11</f>
        <v>69748884</v>
      </c>
      <c r="I11" s="33">
        <f>I13+I14+I15+I17+I18+I19+I20+I21+I22+I23+I24+I25+I26+I27+I16</f>
        <v>58758241</v>
      </c>
      <c r="J11" s="33">
        <f>J13+J14+J15+J17+J18+J19+J20+J21+J22+J23+J24+J25+J26+J27+J16</f>
        <v>10990643</v>
      </c>
      <c r="K11" s="33">
        <f>K13+K14+K15+K17+K18+K19+K20+K21+K22+K23+K24+K25+K26+K27+K16</f>
        <v>10990643</v>
      </c>
      <c r="N11" s="35"/>
    </row>
    <row r="12" spans="1:14" s="34" customFormat="1" ht="31.5">
      <c r="A12" s="31"/>
      <c r="B12" s="32" t="s">
        <v>54</v>
      </c>
      <c r="C12" s="32"/>
      <c r="D12" s="32"/>
      <c r="E12" s="32" t="s">
        <v>12</v>
      </c>
      <c r="F12" s="32"/>
      <c r="G12" s="32"/>
      <c r="H12" s="12"/>
      <c r="I12" s="33"/>
      <c r="J12" s="33"/>
      <c r="K12" s="33"/>
      <c r="N12" s="35"/>
    </row>
    <row r="13" spans="1:14" s="34" customFormat="1" ht="47.25">
      <c r="A13" s="31"/>
      <c r="B13" s="11" t="s">
        <v>228</v>
      </c>
      <c r="C13" s="11" t="s">
        <v>229</v>
      </c>
      <c r="D13" s="11" t="s">
        <v>230</v>
      </c>
      <c r="E13" s="11" t="s">
        <v>231</v>
      </c>
      <c r="F13" s="36" t="s">
        <v>219</v>
      </c>
      <c r="G13" s="11" t="s">
        <v>220</v>
      </c>
      <c r="H13" s="12">
        <f>I13+J13</f>
        <v>396000</v>
      </c>
      <c r="I13" s="37">
        <v>396000</v>
      </c>
      <c r="J13" s="33"/>
      <c r="K13" s="33"/>
      <c r="N13" s="35"/>
    </row>
    <row r="14" spans="1:14" s="34" customFormat="1" ht="78.75">
      <c r="A14" s="31"/>
      <c r="B14" s="131" t="s">
        <v>67</v>
      </c>
      <c r="C14" s="125" t="s">
        <v>68</v>
      </c>
      <c r="D14" s="125" t="s">
        <v>13</v>
      </c>
      <c r="E14" s="129" t="s">
        <v>69</v>
      </c>
      <c r="F14" s="36" t="s">
        <v>161</v>
      </c>
      <c r="G14" s="11" t="s">
        <v>217</v>
      </c>
      <c r="H14" s="12">
        <f>I14+J14</f>
        <v>1650000</v>
      </c>
      <c r="I14" s="37">
        <f>1000000+650000</f>
        <v>1650000</v>
      </c>
      <c r="J14" s="37"/>
      <c r="K14" s="37"/>
      <c r="N14" s="35"/>
    </row>
    <row r="15" spans="1:14" s="34" customFormat="1" ht="47.25">
      <c r="A15" s="31"/>
      <c r="B15" s="131"/>
      <c r="C15" s="125"/>
      <c r="D15" s="125"/>
      <c r="E15" s="129"/>
      <c r="F15" s="36" t="s">
        <v>264</v>
      </c>
      <c r="G15" s="11" t="s">
        <v>265</v>
      </c>
      <c r="H15" s="12">
        <f t="shared" ref="H15:H27" si="0">I15+J15</f>
        <v>10000</v>
      </c>
      <c r="I15" s="37">
        <f>500000-490000</f>
        <v>10000</v>
      </c>
      <c r="J15" s="37"/>
      <c r="K15" s="37"/>
      <c r="N15" s="35"/>
    </row>
    <row r="16" spans="1:14" s="34" customFormat="1" ht="63">
      <c r="A16" s="31"/>
      <c r="B16" s="1"/>
      <c r="C16" s="11"/>
      <c r="D16" s="11"/>
      <c r="E16" s="38"/>
      <c r="F16" s="36" t="s">
        <v>292</v>
      </c>
      <c r="G16" s="11" t="s">
        <v>293</v>
      </c>
      <c r="H16" s="12">
        <f t="shared" si="0"/>
        <v>4800000</v>
      </c>
      <c r="I16" s="37">
        <v>4800000</v>
      </c>
      <c r="J16" s="37"/>
      <c r="K16" s="37"/>
      <c r="N16" s="35"/>
    </row>
    <row r="17" spans="1:14" s="34" customFormat="1" ht="31.5">
      <c r="A17" s="31"/>
      <c r="B17" s="1" t="s">
        <v>211</v>
      </c>
      <c r="C17" s="11" t="s">
        <v>210</v>
      </c>
      <c r="D17" s="11" t="s">
        <v>55</v>
      </c>
      <c r="E17" s="38" t="s">
        <v>56</v>
      </c>
      <c r="F17" s="10" t="s">
        <v>170</v>
      </c>
      <c r="G17" s="38" t="s">
        <v>218</v>
      </c>
      <c r="H17" s="12">
        <f>I17+J17</f>
        <v>400000</v>
      </c>
      <c r="I17" s="37">
        <f>200000+200000</f>
        <v>400000</v>
      </c>
      <c r="J17" s="37"/>
      <c r="K17" s="37"/>
      <c r="N17" s="35"/>
    </row>
    <row r="18" spans="1:14" s="34" customFormat="1" ht="31.5">
      <c r="A18" s="31"/>
      <c r="B18" s="131" t="s">
        <v>154</v>
      </c>
      <c r="C18" s="125" t="s">
        <v>153</v>
      </c>
      <c r="D18" s="125" t="s">
        <v>24</v>
      </c>
      <c r="E18" s="129" t="s">
        <v>310</v>
      </c>
      <c r="F18" s="39" t="s">
        <v>171</v>
      </c>
      <c r="G18" s="38" t="s">
        <v>221</v>
      </c>
      <c r="H18" s="12">
        <f>I18+J18</f>
        <v>100000</v>
      </c>
      <c r="I18" s="37">
        <v>100000</v>
      </c>
      <c r="J18" s="37"/>
      <c r="K18" s="37"/>
      <c r="L18" s="40"/>
      <c r="N18" s="35"/>
    </row>
    <row r="19" spans="1:14" s="34" customFormat="1" ht="63">
      <c r="A19" s="31"/>
      <c r="B19" s="131"/>
      <c r="C19" s="125"/>
      <c r="D19" s="125"/>
      <c r="E19" s="129"/>
      <c r="F19" s="39" t="s">
        <v>172</v>
      </c>
      <c r="G19" s="38" t="s">
        <v>222</v>
      </c>
      <c r="H19" s="12">
        <f>I19+J19</f>
        <v>75000</v>
      </c>
      <c r="I19" s="37">
        <v>75000</v>
      </c>
      <c r="J19" s="37"/>
      <c r="K19" s="37"/>
      <c r="L19" s="40"/>
      <c r="N19" s="35"/>
    </row>
    <row r="20" spans="1:14" s="34" customFormat="1" ht="47.25">
      <c r="A20" s="31"/>
      <c r="B20" s="131"/>
      <c r="C20" s="125"/>
      <c r="D20" s="125"/>
      <c r="E20" s="129"/>
      <c r="F20" s="7" t="s">
        <v>160</v>
      </c>
      <c r="G20" s="38" t="s">
        <v>223</v>
      </c>
      <c r="H20" s="12">
        <f>I20+J20</f>
        <v>85000</v>
      </c>
      <c r="I20" s="37">
        <v>85000</v>
      </c>
      <c r="J20" s="37"/>
      <c r="K20" s="37"/>
      <c r="L20" s="40"/>
      <c r="N20" s="35"/>
    </row>
    <row r="21" spans="1:14" ht="78.75" customHeight="1">
      <c r="A21" s="41"/>
      <c r="B21" s="131" t="s">
        <v>57</v>
      </c>
      <c r="C21" s="125" t="s">
        <v>58</v>
      </c>
      <c r="D21" s="125" t="s">
        <v>29</v>
      </c>
      <c r="E21" s="125" t="s">
        <v>59</v>
      </c>
      <c r="F21" s="155" t="s">
        <v>224</v>
      </c>
      <c r="G21" s="157" t="s">
        <v>261</v>
      </c>
      <c r="H21" s="159">
        <f t="shared" si="0"/>
        <v>90000</v>
      </c>
      <c r="I21" s="151">
        <v>90000</v>
      </c>
      <c r="J21" s="151"/>
      <c r="K21" s="151"/>
    </row>
    <row r="22" spans="1:14">
      <c r="A22" s="41"/>
      <c r="B22" s="131"/>
      <c r="C22" s="125"/>
      <c r="D22" s="125"/>
      <c r="E22" s="125"/>
      <c r="F22" s="156"/>
      <c r="G22" s="158"/>
      <c r="H22" s="160"/>
      <c r="I22" s="152"/>
      <c r="J22" s="152"/>
      <c r="K22" s="152"/>
    </row>
    <row r="23" spans="1:14" ht="110.25">
      <c r="A23" s="42"/>
      <c r="B23" s="1" t="s">
        <v>51</v>
      </c>
      <c r="C23" s="11" t="s">
        <v>52</v>
      </c>
      <c r="D23" s="11" t="s">
        <v>29</v>
      </c>
      <c r="E23" s="11" t="s">
        <v>286</v>
      </c>
      <c r="F23" s="10" t="s">
        <v>227</v>
      </c>
      <c r="G23" s="11" t="s">
        <v>225</v>
      </c>
      <c r="H23" s="12">
        <f t="shared" si="0"/>
        <v>6200000</v>
      </c>
      <c r="I23" s="37">
        <v>6200000</v>
      </c>
      <c r="J23" s="37"/>
      <c r="K23" s="37"/>
    </row>
    <row r="24" spans="1:14" ht="31.5">
      <c r="A24" s="41"/>
      <c r="B24" s="1" t="s">
        <v>64</v>
      </c>
      <c r="C24" s="11" t="s">
        <v>65</v>
      </c>
      <c r="D24" s="11" t="s">
        <v>62</v>
      </c>
      <c r="E24" s="11" t="s">
        <v>66</v>
      </c>
      <c r="F24" s="10" t="s">
        <v>127</v>
      </c>
      <c r="G24" s="11" t="s">
        <v>255</v>
      </c>
      <c r="H24" s="12">
        <f t="shared" si="0"/>
        <v>35400000</v>
      </c>
      <c r="I24" s="37">
        <f>35000000+400000</f>
        <v>35400000</v>
      </c>
      <c r="J24" s="37"/>
      <c r="K24" s="37"/>
    </row>
    <row r="25" spans="1:14" ht="31.5">
      <c r="A25" s="41"/>
      <c r="B25" s="1" t="s">
        <v>60</v>
      </c>
      <c r="C25" s="11" t="s">
        <v>61</v>
      </c>
      <c r="D25" s="11" t="s">
        <v>62</v>
      </c>
      <c r="E25" s="11" t="s">
        <v>63</v>
      </c>
      <c r="F25" s="129" t="s">
        <v>124</v>
      </c>
      <c r="G25" s="125" t="s">
        <v>303</v>
      </c>
      <c r="H25" s="12">
        <f t="shared" si="0"/>
        <v>1486200</v>
      </c>
      <c r="I25" s="37">
        <f>20000000-18513800</f>
        <v>1486200</v>
      </c>
      <c r="J25" s="37"/>
      <c r="K25" s="37"/>
    </row>
    <row r="26" spans="1:14" ht="31.5">
      <c r="A26" s="42"/>
      <c r="B26" s="1" t="s">
        <v>291</v>
      </c>
      <c r="C26" s="11" t="s">
        <v>289</v>
      </c>
      <c r="D26" s="11" t="s">
        <v>290</v>
      </c>
      <c r="E26" s="43" t="s">
        <v>288</v>
      </c>
      <c r="F26" s="129"/>
      <c r="G26" s="125"/>
      <c r="H26" s="12">
        <f t="shared" si="0"/>
        <v>17504484</v>
      </c>
      <c r="I26" s="37">
        <f>20000000-13486159</f>
        <v>6513841</v>
      </c>
      <c r="J26" s="37">
        <f>10990643</f>
        <v>10990643</v>
      </c>
      <c r="K26" s="37">
        <f>10990643</f>
        <v>10990643</v>
      </c>
    </row>
    <row r="27" spans="1:14" ht="63">
      <c r="A27" s="42"/>
      <c r="B27" s="1" t="s">
        <v>291</v>
      </c>
      <c r="C27" s="11" t="s">
        <v>289</v>
      </c>
      <c r="D27" s="11" t="s">
        <v>290</v>
      </c>
      <c r="E27" s="43" t="s">
        <v>288</v>
      </c>
      <c r="F27" s="4" t="s">
        <v>302</v>
      </c>
      <c r="G27" s="44" t="s">
        <v>309</v>
      </c>
      <c r="H27" s="12">
        <f t="shared" si="0"/>
        <v>1552200</v>
      </c>
      <c r="I27" s="37">
        <f>1700000-147800</f>
        <v>1552200</v>
      </c>
      <c r="J27" s="37"/>
      <c r="K27" s="37"/>
    </row>
    <row r="28" spans="1:14" ht="31.5">
      <c r="A28" s="42"/>
      <c r="B28" s="32" t="s">
        <v>243</v>
      </c>
      <c r="C28" s="1"/>
      <c r="D28" s="1"/>
      <c r="E28" s="45" t="s">
        <v>128</v>
      </c>
      <c r="F28" s="4"/>
      <c r="G28" s="44"/>
      <c r="H28" s="12">
        <f>I28+J28</f>
        <v>24937542</v>
      </c>
      <c r="I28" s="33">
        <f>I32+I37+I38+I30+I34+I35+I36+I31</f>
        <v>17483590</v>
      </c>
      <c r="J28" s="33">
        <f>J32+J37+J38+J30+J34+J35+J36+J31</f>
        <v>7453952</v>
      </c>
      <c r="K28" s="33">
        <f>K32+K37+K38+K30+K34+K35+K36+K31</f>
        <v>6548580</v>
      </c>
    </row>
    <row r="29" spans="1:14" ht="31.5">
      <c r="A29" s="42"/>
      <c r="B29" s="32" t="s">
        <v>244</v>
      </c>
      <c r="C29" s="1"/>
      <c r="D29" s="1"/>
      <c r="E29" s="45" t="s">
        <v>128</v>
      </c>
      <c r="F29" s="10"/>
      <c r="G29" s="38"/>
      <c r="H29" s="46"/>
      <c r="I29" s="37"/>
      <c r="J29" s="37"/>
      <c r="K29" s="37"/>
    </row>
    <row r="30" spans="1:14" ht="63">
      <c r="A30" s="42"/>
      <c r="B30" s="1" t="s">
        <v>212</v>
      </c>
      <c r="C30" s="1" t="s">
        <v>68</v>
      </c>
      <c r="D30" s="47" t="s">
        <v>13</v>
      </c>
      <c r="E30" s="48" t="s">
        <v>69</v>
      </c>
      <c r="F30" s="48" t="s">
        <v>213</v>
      </c>
      <c r="G30" s="11" t="s">
        <v>214</v>
      </c>
      <c r="H30" s="12">
        <f t="shared" ref="H30:H39" si="1">I30+J30</f>
        <v>11481776</v>
      </c>
      <c r="I30" s="37">
        <f>7000000+4481776</f>
        <v>11481776</v>
      </c>
      <c r="J30" s="37"/>
      <c r="K30" s="37"/>
    </row>
    <row r="31" spans="1:14">
      <c r="A31" s="42"/>
      <c r="B31" s="1" t="s">
        <v>311</v>
      </c>
      <c r="C31" s="1">
        <v>1010</v>
      </c>
      <c r="D31" s="47" t="s">
        <v>312</v>
      </c>
      <c r="E31" s="48" t="s">
        <v>313</v>
      </c>
      <c r="F31" s="123" t="s">
        <v>205</v>
      </c>
      <c r="G31" s="124" t="s">
        <v>215</v>
      </c>
      <c r="H31" s="12">
        <f t="shared" si="1"/>
        <v>216250</v>
      </c>
      <c r="I31" s="37"/>
      <c r="J31" s="37">
        <f>216250</f>
        <v>216250</v>
      </c>
      <c r="K31" s="37">
        <f>216250</f>
        <v>216250</v>
      </c>
    </row>
    <row r="32" spans="1:14" ht="31.5">
      <c r="A32" s="42"/>
      <c r="B32" s="1" t="s">
        <v>82</v>
      </c>
      <c r="C32" s="11">
        <v>1020</v>
      </c>
      <c r="D32" s="11" t="s">
        <v>17</v>
      </c>
      <c r="E32" s="10" t="s">
        <v>195</v>
      </c>
      <c r="F32" s="123"/>
      <c r="G32" s="124"/>
      <c r="H32" s="12">
        <f t="shared" si="1"/>
        <v>7380063</v>
      </c>
      <c r="I32" s="37">
        <f>I33</f>
        <v>6000000</v>
      </c>
      <c r="J32" s="37">
        <f>J33</f>
        <v>1380063</v>
      </c>
      <c r="K32" s="37">
        <f>K33</f>
        <v>1380063</v>
      </c>
    </row>
    <row r="33" spans="1:14" ht="31.5">
      <c r="A33" s="42"/>
      <c r="B33" s="1" t="s">
        <v>194</v>
      </c>
      <c r="C33" s="11">
        <v>1021</v>
      </c>
      <c r="D33" s="11" t="s">
        <v>17</v>
      </c>
      <c r="E33" s="10" t="s">
        <v>206</v>
      </c>
      <c r="F33" s="123"/>
      <c r="G33" s="124"/>
      <c r="H33" s="12">
        <f t="shared" si="1"/>
        <v>7380063</v>
      </c>
      <c r="I33" s="37">
        <v>6000000</v>
      </c>
      <c r="J33" s="37">
        <v>1380063</v>
      </c>
      <c r="K33" s="37">
        <v>1380063</v>
      </c>
    </row>
    <row r="34" spans="1:14" ht="63">
      <c r="A34" s="42"/>
      <c r="B34" s="1" t="s">
        <v>314</v>
      </c>
      <c r="C34" s="11" t="s">
        <v>278</v>
      </c>
      <c r="D34" s="11" t="s">
        <v>34</v>
      </c>
      <c r="E34" s="10" t="s">
        <v>315</v>
      </c>
      <c r="F34" s="123"/>
      <c r="G34" s="124"/>
      <c r="H34" s="12">
        <f t="shared" si="1"/>
        <v>249300</v>
      </c>
      <c r="I34" s="37"/>
      <c r="J34" s="37">
        <f>249300</f>
        <v>249300</v>
      </c>
      <c r="K34" s="37">
        <f>249300</f>
        <v>249300</v>
      </c>
    </row>
    <row r="35" spans="1:14" ht="47.25">
      <c r="A35" s="42"/>
      <c r="B35" s="1" t="s">
        <v>316</v>
      </c>
      <c r="C35" s="11" t="s">
        <v>317</v>
      </c>
      <c r="D35" s="11" t="s">
        <v>16</v>
      </c>
      <c r="E35" s="10" t="s">
        <v>318</v>
      </c>
      <c r="F35" s="123"/>
      <c r="G35" s="124"/>
      <c r="H35" s="12">
        <f t="shared" si="1"/>
        <v>2260000</v>
      </c>
      <c r="I35" s="37"/>
      <c r="J35" s="37">
        <f>2260000</f>
        <v>2260000</v>
      </c>
      <c r="K35" s="37">
        <f>2260000</f>
        <v>2260000</v>
      </c>
    </row>
    <row r="36" spans="1:14">
      <c r="A36" s="42"/>
      <c r="B36" s="1" t="s">
        <v>319</v>
      </c>
      <c r="C36" s="11" t="s">
        <v>320</v>
      </c>
      <c r="D36" s="11" t="s">
        <v>321</v>
      </c>
      <c r="E36" s="10" t="s">
        <v>322</v>
      </c>
      <c r="F36" s="123"/>
      <c r="G36" s="124"/>
      <c r="H36" s="12">
        <f t="shared" si="1"/>
        <v>2442967</v>
      </c>
      <c r="I36" s="37"/>
      <c r="J36" s="37">
        <f>2442967</f>
        <v>2442967</v>
      </c>
      <c r="K36" s="37">
        <f>2442967</f>
        <v>2442967</v>
      </c>
    </row>
    <row r="37" spans="1:14" ht="102">
      <c r="A37" s="42"/>
      <c r="B37" s="49" t="s">
        <v>100</v>
      </c>
      <c r="C37" s="50">
        <v>7691</v>
      </c>
      <c r="D37" s="49" t="s">
        <v>24</v>
      </c>
      <c r="E37" s="51" t="s">
        <v>97</v>
      </c>
      <c r="F37" s="123"/>
      <c r="G37" s="124"/>
      <c r="H37" s="12">
        <f t="shared" si="1"/>
        <v>905372</v>
      </c>
      <c r="I37" s="37"/>
      <c r="J37" s="37">
        <f>1000000-94628</f>
        <v>905372</v>
      </c>
      <c r="K37" s="37"/>
      <c r="N37" s="52"/>
    </row>
    <row r="38" spans="1:14" ht="31.5">
      <c r="A38" s="42"/>
      <c r="B38" s="1" t="s">
        <v>198</v>
      </c>
      <c r="C38" s="11" t="s">
        <v>199</v>
      </c>
      <c r="D38" s="11"/>
      <c r="E38" s="10" t="s">
        <v>200</v>
      </c>
      <c r="F38" s="123" t="s">
        <v>166</v>
      </c>
      <c r="G38" s="124" t="s">
        <v>216</v>
      </c>
      <c r="H38" s="12">
        <f t="shared" si="1"/>
        <v>1814</v>
      </c>
      <c r="I38" s="33">
        <f>I39</f>
        <v>1814</v>
      </c>
      <c r="J38" s="53">
        <v>0</v>
      </c>
      <c r="K38" s="53">
        <v>0</v>
      </c>
      <c r="N38" s="52"/>
    </row>
    <row r="39" spans="1:14">
      <c r="A39" s="42"/>
      <c r="B39" s="1" t="s">
        <v>196</v>
      </c>
      <c r="C39" s="11" t="s">
        <v>197</v>
      </c>
      <c r="D39" s="11" t="s">
        <v>81</v>
      </c>
      <c r="E39" s="54" t="s">
        <v>207</v>
      </c>
      <c r="F39" s="123"/>
      <c r="G39" s="124"/>
      <c r="H39" s="55">
        <f t="shared" si="1"/>
        <v>1814</v>
      </c>
      <c r="I39" s="37">
        <f>900000-832318-40000-12000-9738-4130</f>
        <v>1814</v>
      </c>
      <c r="J39" s="53"/>
      <c r="K39" s="53"/>
      <c r="N39" s="52"/>
    </row>
    <row r="40" spans="1:14" s="34" customFormat="1" ht="31.5">
      <c r="A40" s="31" t="s">
        <v>2</v>
      </c>
      <c r="B40" s="56" t="s">
        <v>83</v>
      </c>
      <c r="C40" s="56"/>
      <c r="D40" s="56"/>
      <c r="E40" s="5" t="s">
        <v>129</v>
      </c>
      <c r="F40" s="57"/>
      <c r="G40" s="32"/>
      <c r="H40" s="12">
        <f>I40+J40</f>
        <v>95131814</v>
      </c>
      <c r="I40" s="33">
        <f>SUM(I42:I49)</f>
        <v>91022914</v>
      </c>
      <c r="J40" s="33">
        <f>SUM(J42:J50)</f>
        <v>4108900</v>
      </c>
      <c r="K40" s="33">
        <f>SUM(K42:K50)</f>
        <v>2793900</v>
      </c>
      <c r="N40" s="52"/>
    </row>
    <row r="41" spans="1:14" ht="31.5">
      <c r="A41" s="31" t="s">
        <v>2</v>
      </c>
      <c r="B41" s="32" t="s">
        <v>84</v>
      </c>
      <c r="C41" s="32"/>
      <c r="D41" s="32"/>
      <c r="E41" s="5" t="s">
        <v>129</v>
      </c>
      <c r="F41" s="36"/>
      <c r="G41" s="11"/>
      <c r="H41" s="12"/>
      <c r="I41" s="37"/>
      <c r="J41" s="37"/>
      <c r="K41" s="37">
        <f>I41+J41</f>
        <v>0</v>
      </c>
      <c r="N41" s="52"/>
    </row>
    <row r="42" spans="1:14" ht="47.25">
      <c r="A42" s="58">
        <v>250404</v>
      </c>
      <c r="B42" s="1" t="s">
        <v>105</v>
      </c>
      <c r="C42" s="11" t="s">
        <v>106</v>
      </c>
      <c r="D42" s="11" t="s">
        <v>86</v>
      </c>
      <c r="E42" s="10" t="s">
        <v>107</v>
      </c>
      <c r="F42" s="36" t="s">
        <v>163</v>
      </c>
      <c r="G42" s="11" t="s">
        <v>252</v>
      </c>
      <c r="H42" s="59">
        <f t="shared" ref="H42:H49" si="2">I42+J42</f>
        <v>200000</v>
      </c>
      <c r="I42" s="37">
        <v>200000</v>
      </c>
      <c r="J42" s="37"/>
      <c r="K42" s="37"/>
      <c r="N42" s="52"/>
    </row>
    <row r="43" spans="1:14" ht="31.5">
      <c r="A43" s="58"/>
      <c r="B43" s="2" t="s">
        <v>139</v>
      </c>
      <c r="C43" s="2" t="s">
        <v>140</v>
      </c>
      <c r="D43" s="2" t="s">
        <v>141</v>
      </c>
      <c r="E43" s="3" t="s">
        <v>142</v>
      </c>
      <c r="F43" s="124" t="s">
        <v>193</v>
      </c>
      <c r="G43" s="125" t="s">
        <v>253</v>
      </c>
      <c r="H43" s="59">
        <f t="shared" si="2"/>
        <v>36184564</v>
      </c>
      <c r="I43" s="37">
        <v>35059564</v>
      </c>
      <c r="J43" s="37">
        <f>1125000</f>
        <v>1125000</v>
      </c>
      <c r="K43" s="37">
        <f>1125000</f>
        <v>1125000</v>
      </c>
      <c r="N43" s="52"/>
    </row>
    <row r="44" spans="1:14" ht="31.5">
      <c r="A44" s="58"/>
      <c r="B44" s="2" t="s">
        <v>143</v>
      </c>
      <c r="C44" s="2" t="s">
        <v>144</v>
      </c>
      <c r="D44" s="2" t="s">
        <v>145</v>
      </c>
      <c r="E44" s="3" t="s">
        <v>146</v>
      </c>
      <c r="F44" s="124"/>
      <c r="G44" s="125"/>
      <c r="H44" s="59">
        <f t="shared" si="2"/>
        <v>15263245</v>
      </c>
      <c r="I44" s="37">
        <v>15044345</v>
      </c>
      <c r="J44" s="37">
        <f>218900</f>
        <v>218900</v>
      </c>
      <c r="K44" s="37">
        <f>218900</f>
        <v>218900</v>
      </c>
      <c r="N44" s="52"/>
    </row>
    <row r="45" spans="1:14">
      <c r="A45" s="58"/>
      <c r="B45" s="2" t="s">
        <v>201</v>
      </c>
      <c r="C45" s="2" t="s">
        <v>202</v>
      </c>
      <c r="D45" s="2" t="s">
        <v>204</v>
      </c>
      <c r="E45" s="3" t="s">
        <v>203</v>
      </c>
      <c r="F45" s="124"/>
      <c r="G45" s="125"/>
      <c r="H45" s="59">
        <f t="shared" si="2"/>
        <v>9422390</v>
      </c>
      <c r="I45" s="37">
        <v>9422390</v>
      </c>
      <c r="J45" s="37"/>
      <c r="K45" s="37"/>
    </row>
    <row r="46" spans="1:14" ht="47.25">
      <c r="A46" s="58"/>
      <c r="B46" s="2" t="s">
        <v>147</v>
      </c>
      <c r="C46" s="2" t="s">
        <v>148</v>
      </c>
      <c r="D46" s="2" t="s">
        <v>149</v>
      </c>
      <c r="E46" s="3" t="s">
        <v>150</v>
      </c>
      <c r="F46" s="124"/>
      <c r="G46" s="125"/>
      <c r="H46" s="59">
        <f t="shared" si="2"/>
        <v>18728351</v>
      </c>
      <c r="I46" s="37">
        <v>18728351</v>
      </c>
      <c r="J46" s="37"/>
      <c r="K46" s="37"/>
    </row>
    <row r="47" spans="1:14" ht="47.25">
      <c r="A47" s="58"/>
      <c r="B47" s="2" t="s">
        <v>189</v>
      </c>
      <c r="C47" s="2" t="s">
        <v>190</v>
      </c>
      <c r="D47" s="2" t="s">
        <v>191</v>
      </c>
      <c r="E47" s="3" t="s">
        <v>192</v>
      </c>
      <c r="F47" s="124"/>
      <c r="G47" s="125"/>
      <c r="H47" s="59">
        <f t="shared" si="2"/>
        <v>12568264</v>
      </c>
      <c r="I47" s="37">
        <v>12568264</v>
      </c>
      <c r="J47" s="37"/>
      <c r="K47" s="37"/>
    </row>
    <row r="48" spans="1:14" ht="31.5">
      <c r="A48" s="58"/>
      <c r="B48" s="2" t="s">
        <v>323</v>
      </c>
      <c r="C48" s="2" t="s">
        <v>324</v>
      </c>
      <c r="D48" s="2" t="s">
        <v>321</v>
      </c>
      <c r="E48" s="3" t="s">
        <v>325</v>
      </c>
      <c r="F48" s="124"/>
      <c r="G48" s="125"/>
      <c r="H48" s="59">
        <f t="shared" si="2"/>
        <v>1450000</v>
      </c>
      <c r="I48" s="37"/>
      <c r="J48" s="37">
        <f>1450000</f>
        <v>1450000</v>
      </c>
      <c r="K48" s="37">
        <f>1450000</f>
        <v>1450000</v>
      </c>
    </row>
    <row r="49" spans="1:14">
      <c r="A49" s="58"/>
      <c r="B49" s="130" t="s">
        <v>96</v>
      </c>
      <c r="C49" s="133">
        <v>7691</v>
      </c>
      <c r="D49" s="130" t="s">
        <v>24</v>
      </c>
      <c r="E49" s="129" t="s">
        <v>97</v>
      </c>
      <c r="F49" s="123" t="s">
        <v>266</v>
      </c>
      <c r="G49" s="125" t="s">
        <v>253</v>
      </c>
      <c r="H49" s="127">
        <f t="shared" si="2"/>
        <v>1315000</v>
      </c>
      <c r="I49" s="128">
        <v>0</v>
      </c>
      <c r="J49" s="128">
        <v>1315000</v>
      </c>
      <c r="K49" s="128"/>
    </row>
    <row r="50" spans="1:14">
      <c r="A50" s="58"/>
      <c r="B50" s="130"/>
      <c r="C50" s="133"/>
      <c r="D50" s="130"/>
      <c r="E50" s="129"/>
      <c r="F50" s="123"/>
      <c r="G50" s="125"/>
      <c r="H50" s="127"/>
      <c r="I50" s="128"/>
      <c r="J50" s="128"/>
      <c r="K50" s="128"/>
    </row>
    <row r="51" spans="1:14" ht="47.25">
      <c r="A51" s="58">
        <v>250404</v>
      </c>
      <c r="B51" s="56" t="s">
        <v>49</v>
      </c>
      <c r="C51" s="1"/>
      <c r="D51" s="1"/>
      <c r="E51" s="5" t="s">
        <v>130</v>
      </c>
      <c r="F51" s="11"/>
      <c r="G51" s="11"/>
      <c r="H51" s="33">
        <f>I51+J51</f>
        <v>148722400</v>
      </c>
      <c r="I51" s="33">
        <f>I53+I54+I55+I58+I59+I61+I62+I57+I60</f>
        <v>147872400</v>
      </c>
      <c r="J51" s="33">
        <f>J53+J54+J55+J58+J59+J61+J62+J57+J60</f>
        <v>850000</v>
      </c>
      <c r="K51" s="33">
        <f>K53+K54+K55+K58+K59+K61+K62+K57+K60</f>
        <v>0</v>
      </c>
    </row>
    <row r="52" spans="1:14" ht="47.25">
      <c r="A52" s="58"/>
      <c r="B52" s="56" t="s">
        <v>50</v>
      </c>
      <c r="C52" s="56"/>
      <c r="D52" s="56"/>
      <c r="E52" s="5" t="s">
        <v>130</v>
      </c>
      <c r="F52" s="32"/>
      <c r="G52" s="32"/>
      <c r="H52" s="12"/>
      <c r="I52" s="33"/>
      <c r="J52" s="33"/>
      <c r="K52" s="37">
        <f>I52+J52</f>
        <v>0</v>
      </c>
    </row>
    <row r="53" spans="1:14" ht="31.5">
      <c r="A53" s="58"/>
      <c r="B53" s="11" t="s">
        <v>116</v>
      </c>
      <c r="C53" s="1" t="s">
        <v>117</v>
      </c>
      <c r="D53" s="1" t="s">
        <v>18</v>
      </c>
      <c r="E53" s="11" t="s">
        <v>118</v>
      </c>
      <c r="F53" s="140" t="s">
        <v>300</v>
      </c>
      <c r="G53" s="133" t="s">
        <v>301</v>
      </c>
      <c r="H53" s="60">
        <f t="shared" ref="H53:H66" si="3">I53+J53</f>
        <v>120000000</v>
      </c>
      <c r="I53" s="37">
        <f>65000000+15000000+40000000</f>
        <v>120000000</v>
      </c>
      <c r="J53" s="37"/>
      <c r="K53" s="37"/>
    </row>
    <row r="54" spans="1:14" s="34" customFormat="1" ht="110.25">
      <c r="A54" s="31" t="s">
        <v>6</v>
      </c>
      <c r="B54" s="11" t="s">
        <v>119</v>
      </c>
      <c r="C54" s="1" t="s">
        <v>120</v>
      </c>
      <c r="D54" s="1" t="s">
        <v>19</v>
      </c>
      <c r="E54" s="38" t="s">
        <v>121</v>
      </c>
      <c r="F54" s="140"/>
      <c r="G54" s="133"/>
      <c r="H54" s="60">
        <f t="shared" si="3"/>
        <v>7000000</v>
      </c>
      <c r="I54" s="37">
        <v>7000000</v>
      </c>
      <c r="J54" s="37"/>
      <c r="K54" s="37"/>
      <c r="N54" s="35"/>
    </row>
    <row r="55" spans="1:14" ht="94.5">
      <c r="A55" s="31" t="s">
        <v>6</v>
      </c>
      <c r="B55" s="11" t="s">
        <v>122</v>
      </c>
      <c r="C55" s="11" t="s">
        <v>123</v>
      </c>
      <c r="D55" s="11" t="s">
        <v>20</v>
      </c>
      <c r="E55" s="38" t="s">
        <v>27</v>
      </c>
      <c r="F55" s="140"/>
      <c r="G55" s="133"/>
      <c r="H55" s="60">
        <f t="shared" si="3"/>
        <v>16000000</v>
      </c>
      <c r="I55" s="37">
        <v>16000000</v>
      </c>
      <c r="J55" s="37"/>
      <c r="K55" s="37"/>
    </row>
    <row r="56" spans="1:14" hidden="1">
      <c r="A56" s="41" t="s">
        <v>7</v>
      </c>
      <c r="B56" s="11"/>
      <c r="C56" s="1"/>
      <c r="D56" s="1"/>
      <c r="E56" s="38"/>
      <c r="F56" s="140"/>
      <c r="G56" s="133"/>
      <c r="H56" s="60">
        <f t="shared" si="3"/>
        <v>0</v>
      </c>
      <c r="I56" s="37"/>
      <c r="J56" s="37"/>
      <c r="K56" s="37"/>
    </row>
    <row r="57" spans="1:14" ht="63">
      <c r="A57" s="41"/>
      <c r="B57" s="11" t="s">
        <v>249</v>
      </c>
      <c r="C57" s="1" t="s">
        <v>272</v>
      </c>
      <c r="D57" s="1" t="s">
        <v>21</v>
      </c>
      <c r="E57" s="38" t="s">
        <v>250</v>
      </c>
      <c r="F57" s="140"/>
      <c r="G57" s="133"/>
      <c r="H57" s="60">
        <f t="shared" si="3"/>
        <v>100000</v>
      </c>
      <c r="I57" s="37">
        <v>100000</v>
      </c>
      <c r="J57" s="37"/>
      <c r="K57" s="37"/>
    </row>
    <row r="58" spans="1:14" ht="31.5">
      <c r="A58" s="41"/>
      <c r="B58" s="11" t="s">
        <v>30</v>
      </c>
      <c r="C58" s="1" t="s">
        <v>31</v>
      </c>
      <c r="D58" s="1" t="s">
        <v>21</v>
      </c>
      <c r="E58" s="38" t="s">
        <v>35</v>
      </c>
      <c r="F58" s="140"/>
      <c r="G58" s="133"/>
      <c r="H58" s="60">
        <f t="shared" si="3"/>
        <v>250000</v>
      </c>
      <c r="I58" s="37">
        <v>250000</v>
      </c>
      <c r="J58" s="37"/>
      <c r="K58" s="37"/>
    </row>
    <row r="59" spans="1:14" ht="31.5">
      <c r="A59" s="41"/>
      <c r="B59" s="11" t="s">
        <v>32</v>
      </c>
      <c r="C59" s="1" t="s">
        <v>33</v>
      </c>
      <c r="D59" s="1" t="s">
        <v>34</v>
      </c>
      <c r="E59" s="38" t="s">
        <v>36</v>
      </c>
      <c r="F59" s="140"/>
      <c r="G59" s="133"/>
      <c r="H59" s="60">
        <f t="shared" si="3"/>
        <v>850000</v>
      </c>
      <c r="I59" s="37">
        <v>850000</v>
      </c>
      <c r="J59" s="37"/>
      <c r="K59" s="37"/>
    </row>
    <row r="60" spans="1:14" ht="63">
      <c r="A60" s="41"/>
      <c r="B60" s="1" t="s">
        <v>277</v>
      </c>
      <c r="C60" s="11" t="s">
        <v>278</v>
      </c>
      <c r="D60" s="11" t="s">
        <v>34</v>
      </c>
      <c r="E60" s="38" t="s">
        <v>279</v>
      </c>
      <c r="F60" s="140"/>
      <c r="G60" s="133"/>
      <c r="H60" s="61">
        <f t="shared" si="3"/>
        <v>709500</v>
      </c>
      <c r="I60" s="37">
        <f>200000+509500</f>
        <v>709500</v>
      </c>
      <c r="J60" s="37"/>
      <c r="K60" s="37"/>
    </row>
    <row r="61" spans="1:14" ht="141.75">
      <c r="A61" s="58">
        <v>250404</v>
      </c>
      <c r="B61" s="11" t="s">
        <v>101</v>
      </c>
      <c r="C61" s="1" t="s">
        <v>102</v>
      </c>
      <c r="D61" s="1" t="s">
        <v>24</v>
      </c>
      <c r="E61" s="10" t="s">
        <v>97</v>
      </c>
      <c r="F61" s="140"/>
      <c r="G61" s="133"/>
      <c r="H61" s="60">
        <f t="shared" si="3"/>
        <v>850000</v>
      </c>
      <c r="I61" s="37"/>
      <c r="J61" s="37">
        <f>1000000-150000</f>
        <v>850000</v>
      </c>
      <c r="K61" s="37"/>
    </row>
    <row r="62" spans="1:14" ht="63">
      <c r="A62" s="58"/>
      <c r="B62" s="38" t="s">
        <v>98</v>
      </c>
      <c r="C62" s="38" t="s">
        <v>68</v>
      </c>
      <c r="D62" s="38" t="s">
        <v>13</v>
      </c>
      <c r="E62" s="38" t="s">
        <v>69</v>
      </c>
      <c r="F62" s="62" t="s">
        <v>173</v>
      </c>
      <c r="G62" s="50" t="s">
        <v>267</v>
      </c>
      <c r="H62" s="60">
        <f t="shared" si="3"/>
        <v>2962900</v>
      </c>
      <c r="I62" s="37">
        <f>100000+2862900</f>
        <v>2962900</v>
      </c>
      <c r="J62" s="37"/>
      <c r="K62" s="37"/>
    </row>
    <row r="63" spans="1:14" ht="47.25">
      <c r="A63" s="58">
        <v>250404</v>
      </c>
      <c r="B63" s="56" t="s">
        <v>47</v>
      </c>
      <c r="C63" s="1"/>
      <c r="D63" s="1"/>
      <c r="E63" s="5" t="s">
        <v>131</v>
      </c>
      <c r="F63" s="11"/>
      <c r="G63" s="11"/>
      <c r="H63" s="12">
        <f t="shared" si="3"/>
        <v>635000</v>
      </c>
      <c r="I63" s="33">
        <f>I65</f>
        <v>0</v>
      </c>
      <c r="J63" s="33">
        <f>J65+J66</f>
        <v>635000</v>
      </c>
      <c r="K63" s="33">
        <f>K65</f>
        <v>0</v>
      </c>
    </row>
    <row r="64" spans="1:14" ht="47.25">
      <c r="A64" s="58">
        <v>45</v>
      </c>
      <c r="B64" s="56" t="s">
        <v>48</v>
      </c>
      <c r="C64" s="1"/>
      <c r="D64" s="1"/>
      <c r="E64" s="5" t="s">
        <v>131</v>
      </c>
      <c r="F64" s="11"/>
      <c r="G64" s="11"/>
      <c r="H64" s="12">
        <f>I64+J64</f>
        <v>0</v>
      </c>
      <c r="I64" s="33"/>
      <c r="J64" s="33"/>
      <c r="K64" s="37">
        <f>I64+J64</f>
        <v>0</v>
      </c>
    </row>
    <row r="65" spans="1:14" ht="31.5">
      <c r="A65" s="58">
        <v>45</v>
      </c>
      <c r="B65" s="125" t="s">
        <v>103</v>
      </c>
      <c r="C65" s="131" t="s">
        <v>102</v>
      </c>
      <c r="D65" s="131" t="s">
        <v>24</v>
      </c>
      <c r="E65" s="129" t="s">
        <v>97</v>
      </c>
      <c r="F65" s="63" t="s">
        <v>241</v>
      </c>
      <c r="G65" s="11" t="s">
        <v>304</v>
      </c>
      <c r="H65" s="12">
        <f t="shared" si="3"/>
        <v>605000</v>
      </c>
      <c r="I65" s="37"/>
      <c r="J65" s="37">
        <f>570000-115000+150000</f>
        <v>605000</v>
      </c>
      <c r="K65" s="37"/>
    </row>
    <row r="66" spans="1:14" ht="31.5">
      <c r="A66" s="58"/>
      <c r="B66" s="125"/>
      <c r="C66" s="131"/>
      <c r="D66" s="131"/>
      <c r="E66" s="129"/>
      <c r="F66" s="63" t="s">
        <v>242</v>
      </c>
      <c r="G66" s="11" t="s">
        <v>305</v>
      </c>
      <c r="H66" s="12">
        <f t="shared" si="3"/>
        <v>30000</v>
      </c>
      <c r="I66" s="37"/>
      <c r="J66" s="37">
        <f>27000+3000</f>
        <v>30000</v>
      </c>
      <c r="K66" s="37"/>
    </row>
    <row r="67" spans="1:14" ht="31.5">
      <c r="A67" s="58">
        <v>56</v>
      </c>
      <c r="B67" s="64">
        <v>1000000</v>
      </c>
      <c r="C67" s="1"/>
      <c r="D67" s="1"/>
      <c r="E67" s="45" t="s">
        <v>132</v>
      </c>
      <c r="F67" s="11"/>
      <c r="G67" s="11"/>
      <c r="H67" s="12">
        <f>I67+J67</f>
        <v>7000948</v>
      </c>
      <c r="I67" s="33">
        <f>SUM(I68:I74)</f>
        <v>6320000</v>
      </c>
      <c r="J67" s="33">
        <f>SUM(J68:J74)</f>
        <v>680948</v>
      </c>
      <c r="K67" s="33">
        <f>SUM(K68:K74)</f>
        <v>180948</v>
      </c>
    </row>
    <row r="68" spans="1:14" ht="31.5">
      <c r="A68" s="65">
        <v>56</v>
      </c>
      <c r="B68" s="64">
        <v>1010000</v>
      </c>
      <c r="C68" s="1"/>
      <c r="D68" s="1"/>
      <c r="E68" s="45" t="s">
        <v>132</v>
      </c>
      <c r="F68" s="32"/>
      <c r="G68" s="32"/>
      <c r="H68" s="12"/>
      <c r="I68" s="37"/>
      <c r="J68" s="37"/>
      <c r="K68" s="37">
        <f>I68+J68</f>
        <v>0</v>
      </c>
    </row>
    <row r="69" spans="1:14" ht="31.5">
      <c r="A69" s="65"/>
      <c r="B69" s="66">
        <v>1011080</v>
      </c>
      <c r="C69" s="11" t="s">
        <v>326</v>
      </c>
      <c r="D69" s="11" t="s">
        <v>327</v>
      </c>
      <c r="E69" s="10" t="s">
        <v>328</v>
      </c>
      <c r="F69" s="126" t="s">
        <v>162</v>
      </c>
      <c r="G69" s="125" t="s">
        <v>306</v>
      </c>
      <c r="H69" s="12">
        <f t="shared" ref="H69:H74" si="4">I69+J69</f>
        <v>24500</v>
      </c>
      <c r="I69" s="37"/>
      <c r="J69" s="37">
        <f>24500</f>
        <v>24500</v>
      </c>
      <c r="K69" s="37">
        <f>24500</f>
        <v>24500</v>
      </c>
    </row>
    <row r="70" spans="1:14">
      <c r="A70" s="65"/>
      <c r="B70" s="66">
        <v>1014030</v>
      </c>
      <c r="C70" s="11" t="s">
        <v>331</v>
      </c>
      <c r="D70" s="11" t="s">
        <v>329</v>
      </c>
      <c r="E70" s="10" t="s">
        <v>330</v>
      </c>
      <c r="F70" s="126"/>
      <c r="G70" s="125"/>
      <c r="H70" s="12">
        <f t="shared" si="4"/>
        <v>3000</v>
      </c>
      <c r="I70" s="37"/>
      <c r="J70" s="37">
        <f>3000</f>
        <v>3000</v>
      </c>
      <c r="K70" s="37">
        <f>3000</f>
        <v>3000</v>
      </c>
    </row>
    <row r="71" spans="1:14">
      <c r="A71" s="65"/>
      <c r="B71" s="66">
        <v>1014082</v>
      </c>
      <c r="C71" s="11" t="s">
        <v>175</v>
      </c>
      <c r="D71" s="11" t="s">
        <v>155</v>
      </c>
      <c r="E71" s="10" t="s">
        <v>176</v>
      </c>
      <c r="F71" s="126"/>
      <c r="G71" s="125"/>
      <c r="H71" s="12">
        <f t="shared" si="4"/>
        <v>6320000</v>
      </c>
      <c r="I71" s="37">
        <f>6500000-180000</f>
        <v>6320000</v>
      </c>
      <c r="J71" s="37"/>
      <c r="K71" s="37"/>
    </row>
    <row r="72" spans="1:14">
      <c r="A72" s="65"/>
      <c r="B72" s="66" t="s">
        <v>332</v>
      </c>
      <c r="C72" s="11" t="s">
        <v>333</v>
      </c>
      <c r="D72" s="11" t="s">
        <v>321</v>
      </c>
      <c r="E72" s="10" t="s">
        <v>334</v>
      </c>
      <c r="F72" s="126"/>
      <c r="G72" s="125"/>
      <c r="H72" s="12">
        <f t="shared" si="4"/>
        <v>153448</v>
      </c>
      <c r="I72" s="37"/>
      <c r="J72" s="37">
        <f>153448</f>
        <v>153448</v>
      </c>
      <c r="K72" s="37">
        <f>153448</f>
        <v>153448</v>
      </c>
    </row>
    <row r="73" spans="1:14" ht="47.25">
      <c r="A73" s="41" t="s">
        <v>8</v>
      </c>
      <c r="B73" s="131" t="s">
        <v>104</v>
      </c>
      <c r="C73" s="131" t="s">
        <v>102</v>
      </c>
      <c r="D73" s="131" t="s">
        <v>24</v>
      </c>
      <c r="E73" s="132" t="s">
        <v>97</v>
      </c>
      <c r="F73" s="67" t="s">
        <v>162</v>
      </c>
      <c r="G73" s="11" t="s">
        <v>256</v>
      </c>
      <c r="H73" s="12">
        <f t="shared" si="4"/>
        <v>400000</v>
      </c>
      <c r="I73" s="37"/>
      <c r="J73" s="37">
        <v>400000</v>
      </c>
      <c r="K73" s="37"/>
    </row>
    <row r="74" spans="1:14" ht="31.5">
      <c r="A74" s="41" t="s">
        <v>9</v>
      </c>
      <c r="B74" s="131"/>
      <c r="C74" s="131"/>
      <c r="D74" s="131"/>
      <c r="E74" s="132"/>
      <c r="F74" s="68" t="s">
        <v>299</v>
      </c>
      <c r="G74" s="11" t="s">
        <v>307</v>
      </c>
      <c r="H74" s="12">
        <f t="shared" si="4"/>
        <v>100000</v>
      </c>
      <c r="I74" s="37"/>
      <c r="J74" s="37">
        <v>100000</v>
      </c>
      <c r="K74" s="37"/>
    </row>
    <row r="75" spans="1:14" s="34" customFormat="1" ht="31.5">
      <c r="A75" s="31" t="s">
        <v>2</v>
      </c>
      <c r="B75" s="56" t="s">
        <v>14</v>
      </c>
      <c r="C75" s="56"/>
      <c r="D75" s="56"/>
      <c r="E75" s="45" t="s">
        <v>133</v>
      </c>
      <c r="F75" s="32"/>
      <c r="G75" s="32"/>
      <c r="H75" s="12">
        <f>I75+J75</f>
        <v>54117000</v>
      </c>
      <c r="I75" s="33">
        <f>SUM(I77:I83)</f>
        <v>53906000</v>
      </c>
      <c r="J75" s="33">
        <f>SUM(J77:J83)</f>
        <v>211000</v>
      </c>
      <c r="K75" s="33">
        <f>SUM(K77:K83)</f>
        <v>211000</v>
      </c>
      <c r="N75" s="35"/>
    </row>
    <row r="76" spans="1:14" ht="31.5">
      <c r="A76" s="31" t="s">
        <v>2</v>
      </c>
      <c r="B76" s="32" t="s">
        <v>15</v>
      </c>
      <c r="C76" s="32"/>
      <c r="D76" s="32"/>
      <c r="E76" s="45" t="s">
        <v>133</v>
      </c>
      <c r="F76" s="11"/>
      <c r="G76" s="11"/>
      <c r="H76" s="12"/>
      <c r="I76" s="37"/>
      <c r="J76" s="37"/>
      <c r="K76" s="37"/>
    </row>
    <row r="77" spans="1:14" ht="47.25">
      <c r="A77" s="31"/>
      <c r="B77" s="11" t="s">
        <v>110</v>
      </c>
      <c r="C77" s="11" t="s">
        <v>114</v>
      </c>
      <c r="D77" s="11" t="s">
        <v>16</v>
      </c>
      <c r="E77" s="10" t="s">
        <v>112</v>
      </c>
      <c r="F77" s="132" t="s">
        <v>273</v>
      </c>
      <c r="G77" s="129" t="s">
        <v>287</v>
      </c>
      <c r="H77" s="12">
        <f t="shared" ref="H77:H83" si="5">I77+J77</f>
        <v>1300000</v>
      </c>
      <c r="I77" s="37">
        <v>1300000</v>
      </c>
      <c r="J77" s="37"/>
      <c r="K77" s="37"/>
    </row>
    <row r="78" spans="1:14" ht="47.25">
      <c r="A78" s="31"/>
      <c r="B78" s="11" t="s">
        <v>111</v>
      </c>
      <c r="C78" s="11" t="s">
        <v>115</v>
      </c>
      <c r="D78" s="11" t="s">
        <v>16</v>
      </c>
      <c r="E78" s="10" t="s">
        <v>113</v>
      </c>
      <c r="F78" s="132"/>
      <c r="G78" s="129"/>
      <c r="H78" s="12">
        <f t="shared" si="5"/>
        <v>745000</v>
      </c>
      <c r="I78" s="37">
        <f>700000+45000</f>
        <v>745000</v>
      </c>
      <c r="J78" s="37"/>
      <c r="K78" s="37"/>
    </row>
    <row r="79" spans="1:14" ht="47.25">
      <c r="A79" s="31"/>
      <c r="B79" s="11" t="s">
        <v>41</v>
      </c>
      <c r="C79" s="11" t="s">
        <v>44</v>
      </c>
      <c r="D79" s="11" t="s">
        <v>16</v>
      </c>
      <c r="E79" s="10" t="s">
        <v>108</v>
      </c>
      <c r="F79" s="141" t="s">
        <v>125</v>
      </c>
      <c r="G79" s="129" t="s">
        <v>257</v>
      </c>
      <c r="H79" s="12">
        <f t="shared" si="5"/>
        <v>1136000</v>
      </c>
      <c r="I79" s="37">
        <v>1136000</v>
      </c>
      <c r="J79" s="37"/>
      <c r="K79" s="37"/>
    </row>
    <row r="80" spans="1:14" ht="47.25">
      <c r="A80" s="31"/>
      <c r="B80" s="11" t="s">
        <v>42</v>
      </c>
      <c r="C80" s="11" t="s">
        <v>45</v>
      </c>
      <c r="D80" s="11" t="s">
        <v>16</v>
      </c>
      <c r="E80" s="10" t="s">
        <v>109</v>
      </c>
      <c r="F80" s="141"/>
      <c r="G80" s="129"/>
      <c r="H80" s="12">
        <f t="shared" si="5"/>
        <v>180000</v>
      </c>
      <c r="I80" s="37">
        <f>150000+30000</f>
        <v>180000</v>
      </c>
      <c r="J80" s="37"/>
      <c r="K80" s="37"/>
    </row>
    <row r="81" spans="1:14" ht="31.5">
      <c r="A81" s="58">
        <v>250404</v>
      </c>
      <c r="B81" s="1">
        <v>1115041</v>
      </c>
      <c r="C81" s="1" t="s">
        <v>87</v>
      </c>
      <c r="D81" s="1" t="s">
        <v>16</v>
      </c>
      <c r="E81" s="36" t="s">
        <v>88</v>
      </c>
      <c r="F81" s="132" t="s">
        <v>138</v>
      </c>
      <c r="G81" s="129" t="s">
        <v>258</v>
      </c>
      <c r="H81" s="12">
        <f t="shared" si="5"/>
        <v>8411000</v>
      </c>
      <c r="I81" s="37">
        <f>8000000+200000</f>
        <v>8200000</v>
      </c>
      <c r="J81" s="37">
        <f>211000</f>
        <v>211000</v>
      </c>
      <c r="K81" s="37">
        <f>211000</f>
        <v>211000</v>
      </c>
    </row>
    <row r="82" spans="1:14" ht="47.25">
      <c r="A82" s="58"/>
      <c r="B82" s="1">
        <v>1115062</v>
      </c>
      <c r="C82" s="1" t="s">
        <v>89</v>
      </c>
      <c r="D82" s="1" t="s">
        <v>16</v>
      </c>
      <c r="E82" s="36" t="s">
        <v>90</v>
      </c>
      <c r="F82" s="132"/>
      <c r="G82" s="129"/>
      <c r="H82" s="12">
        <f>I82+J82</f>
        <v>41095000</v>
      </c>
      <c r="I82" s="37">
        <f>30000000+11095000</f>
        <v>41095000</v>
      </c>
      <c r="J82" s="37"/>
      <c r="K82" s="37"/>
    </row>
    <row r="83" spans="1:14" ht="63">
      <c r="A83" s="31"/>
      <c r="B83" s="11" t="s">
        <v>40</v>
      </c>
      <c r="C83" s="11" t="s">
        <v>46</v>
      </c>
      <c r="D83" s="11" t="s">
        <v>16</v>
      </c>
      <c r="E83" s="10" t="s">
        <v>43</v>
      </c>
      <c r="F83" s="4" t="s">
        <v>126</v>
      </c>
      <c r="G83" s="38" t="s">
        <v>259</v>
      </c>
      <c r="H83" s="12">
        <f t="shared" si="5"/>
        <v>1250000</v>
      </c>
      <c r="I83" s="37">
        <f>1200000+50000</f>
        <v>1250000</v>
      </c>
      <c r="J83" s="37"/>
      <c r="K83" s="37"/>
    </row>
    <row r="84" spans="1:14" ht="47.25">
      <c r="A84" s="58"/>
      <c r="B84" s="64">
        <v>1200000</v>
      </c>
      <c r="C84" s="32"/>
      <c r="D84" s="32"/>
      <c r="E84" s="5" t="s">
        <v>245</v>
      </c>
      <c r="F84" s="69"/>
      <c r="G84" s="70"/>
      <c r="H84" s="71">
        <f>H86</f>
        <v>130000</v>
      </c>
      <c r="I84" s="71">
        <f>I86</f>
        <v>0</v>
      </c>
      <c r="J84" s="71">
        <f>J86</f>
        <v>130000</v>
      </c>
      <c r="K84" s="37"/>
    </row>
    <row r="85" spans="1:14" ht="47.25">
      <c r="A85" s="58"/>
      <c r="B85" s="64">
        <v>1210000</v>
      </c>
      <c r="C85" s="32"/>
      <c r="D85" s="32"/>
      <c r="E85" s="5" t="s">
        <v>245</v>
      </c>
      <c r="F85" s="69"/>
      <c r="G85" s="70"/>
      <c r="H85" s="71"/>
      <c r="I85" s="37"/>
      <c r="J85" s="37"/>
      <c r="K85" s="37"/>
    </row>
    <row r="86" spans="1:14" ht="47.25">
      <c r="A86" s="58"/>
      <c r="B86" s="1" t="s">
        <v>246</v>
      </c>
      <c r="C86" s="11" t="s">
        <v>85</v>
      </c>
      <c r="D86" s="11" t="s">
        <v>22</v>
      </c>
      <c r="E86" s="10" t="s">
        <v>23</v>
      </c>
      <c r="F86" s="68" t="s">
        <v>247</v>
      </c>
      <c r="G86" s="55" t="s">
        <v>260</v>
      </c>
      <c r="H86" s="71">
        <f>J86</f>
        <v>130000</v>
      </c>
      <c r="I86" s="37"/>
      <c r="J86" s="37">
        <v>130000</v>
      </c>
      <c r="K86" s="37"/>
    </row>
    <row r="87" spans="1:14" ht="31.5">
      <c r="A87" s="58"/>
      <c r="B87" s="64">
        <v>1400000</v>
      </c>
      <c r="C87" s="32"/>
      <c r="D87" s="32"/>
      <c r="E87" s="5" t="s">
        <v>335</v>
      </c>
      <c r="F87" s="69"/>
      <c r="G87" s="70"/>
      <c r="H87" s="71">
        <f>H89</f>
        <v>338900</v>
      </c>
      <c r="I87" s="71">
        <f>I89</f>
        <v>0</v>
      </c>
      <c r="J87" s="71">
        <f>J89</f>
        <v>338900</v>
      </c>
      <c r="K87" s="37"/>
    </row>
    <row r="88" spans="1:14" ht="31.5">
      <c r="A88" s="58"/>
      <c r="B88" s="64">
        <v>1410000</v>
      </c>
      <c r="C88" s="32"/>
      <c r="D88" s="32"/>
      <c r="E88" s="5" t="s">
        <v>335</v>
      </c>
      <c r="F88" s="69"/>
      <c r="G88" s="70"/>
      <c r="H88" s="71"/>
      <c r="I88" s="37"/>
      <c r="J88" s="37"/>
      <c r="K88" s="37"/>
    </row>
    <row r="89" spans="1:14" ht="47.25">
      <c r="A89" s="58"/>
      <c r="B89" s="1" t="s">
        <v>336</v>
      </c>
      <c r="C89" s="11" t="s">
        <v>85</v>
      </c>
      <c r="D89" s="11" t="s">
        <v>22</v>
      </c>
      <c r="E89" s="10" t="s">
        <v>23</v>
      </c>
      <c r="F89" s="68" t="s">
        <v>247</v>
      </c>
      <c r="G89" s="55" t="s">
        <v>260</v>
      </c>
      <c r="H89" s="71">
        <f>J89</f>
        <v>338900</v>
      </c>
      <c r="I89" s="37"/>
      <c r="J89" s="37">
        <f>338900</f>
        <v>338900</v>
      </c>
      <c r="K89" s="37"/>
    </row>
    <row r="90" spans="1:14" s="34" customFormat="1" ht="47.25">
      <c r="A90" s="65"/>
      <c r="B90" s="64">
        <v>1600000</v>
      </c>
      <c r="C90" s="32"/>
      <c r="D90" s="32"/>
      <c r="E90" s="5" t="s">
        <v>294</v>
      </c>
      <c r="F90" s="72"/>
      <c r="G90" s="73"/>
      <c r="H90" s="71">
        <f>I90</f>
        <v>5000000</v>
      </c>
      <c r="I90" s="33">
        <f>I92</f>
        <v>5000000</v>
      </c>
      <c r="J90" s="33">
        <f>SUM(J92:J93)</f>
        <v>0</v>
      </c>
      <c r="K90" s="33">
        <f>SUM(K92:K93)</f>
        <v>0</v>
      </c>
      <c r="N90" s="35"/>
    </row>
    <row r="91" spans="1:14" s="34" customFormat="1" ht="47.25">
      <c r="A91" s="65"/>
      <c r="B91" s="64">
        <v>1610000</v>
      </c>
      <c r="C91" s="32"/>
      <c r="D91" s="32"/>
      <c r="E91" s="5" t="s">
        <v>294</v>
      </c>
      <c r="F91" s="72"/>
      <c r="G91" s="73"/>
      <c r="H91" s="71">
        <f>J91</f>
        <v>0</v>
      </c>
      <c r="I91" s="33"/>
      <c r="J91" s="33"/>
      <c r="K91" s="33"/>
      <c r="N91" s="35"/>
    </row>
    <row r="92" spans="1:14" s="34" customFormat="1" ht="31.5">
      <c r="A92" s="65"/>
      <c r="B92" s="11" t="s">
        <v>295</v>
      </c>
      <c r="C92" s="11" t="s">
        <v>68</v>
      </c>
      <c r="D92" s="11" t="s">
        <v>13</v>
      </c>
      <c r="E92" s="38" t="s">
        <v>69</v>
      </c>
      <c r="F92" s="67" t="s">
        <v>296</v>
      </c>
      <c r="G92" s="55" t="s">
        <v>297</v>
      </c>
      <c r="H92" s="71">
        <f>I92</f>
        <v>5000000</v>
      </c>
      <c r="I92" s="33">
        <v>5000000</v>
      </c>
      <c r="J92" s="37"/>
      <c r="K92" s="37"/>
      <c r="N92" s="35"/>
    </row>
    <row r="93" spans="1:14">
      <c r="A93" s="58">
        <v>250404</v>
      </c>
      <c r="B93" s="74"/>
      <c r="C93" s="11"/>
      <c r="D93" s="11"/>
      <c r="E93" s="38"/>
      <c r="F93" s="68"/>
      <c r="G93" s="55"/>
      <c r="H93" s="12"/>
      <c r="I93" s="37"/>
      <c r="J93" s="37"/>
      <c r="K93" s="37"/>
    </row>
    <row r="94" spans="1:14" s="34" customFormat="1" ht="78.75">
      <c r="A94" s="65"/>
      <c r="B94" s="56" t="s">
        <v>168</v>
      </c>
      <c r="C94" s="32"/>
      <c r="D94" s="32"/>
      <c r="E94" s="5" t="s">
        <v>167</v>
      </c>
      <c r="F94" s="75"/>
      <c r="G94" s="32"/>
      <c r="H94" s="12">
        <f>I94+J94</f>
        <v>15566003</v>
      </c>
      <c r="I94" s="12">
        <f>I96+I97+I98</f>
        <v>15566003</v>
      </c>
      <c r="J94" s="33">
        <f>J96+J97</f>
        <v>0</v>
      </c>
      <c r="K94" s="33">
        <f>K96+K97</f>
        <v>0</v>
      </c>
      <c r="L94" s="40"/>
      <c r="N94" s="35"/>
    </row>
    <row r="95" spans="1:14" ht="78.75">
      <c r="A95" s="58"/>
      <c r="B95" s="56" t="s">
        <v>169</v>
      </c>
      <c r="C95" s="11"/>
      <c r="D95" s="11"/>
      <c r="E95" s="5" t="s">
        <v>167</v>
      </c>
      <c r="F95" s="76"/>
      <c r="G95" s="11"/>
      <c r="H95" s="12"/>
      <c r="I95" s="37"/>
      <c r="J95" s="37"/>
      <c r="K95" s="37"/>
      <c r="L95" s="77"/>
    </row>
    <row r="96" spans="1:14" ht="47.25">
      <c r="A96" s="58"/>
      <c r="B96" s="1" t="s">
        <v>280</v>
      </c>
      <c r="C96" s="11" t="s">
        <v>68</v>
      </c>
      <c r="D96" s="11" t="s">
        <v>13</v>
      </c>
      <c r="E96" s="38" t="s">
        <v>69</v>
      </c>
      <c r="F96" s="36" t="s">
        <v>281</v>
      </c>
      <c r="G96" s="11" t="s">
        <v>282</v>
      </c>
      <c r="H96" s="78">
        <f>I96+J96</f>
        <v>1000000</v>
      </c>
      <c r="I96" s="37">
        <f>500000+500000</f>
        <v>1000000</v>
      </c>
      <c r="J96" s="37"/>
      <c r="K96" s="37"/>
      <c r="L96" s="77"/>
    </row>
    <row r="97" spans="1:14" ht="47.25">
      <c r="A97" s="58"/>
      <c r="B97" s="1" t="s">
        <v>174</v>
      </c>
      <c r="C97" s="1" t="s">
        <v>37</v>
      </c>
      <c r="D97" s="1" t="s">
        <v>38</v>
      </c>
      <c r="E97" s="11" t="s">
        <v>39</v>
      </c>
      <c r="F97" s="68" t="s">
        <v>164</v>
      </c>
      <c r="G97" s="11" t="s">
        <v>254</v>
      </c>
      <c r="H97" s="78">
        <f>I97+J97</f>
        <v>10200000</v>
      </c>
      <c r="I97" s="79">
        <v>10200000</v>
      </c>
      <c r="J97" s="37"/>
      <c r="K97" s="37"/>
      <c r="L97" s="77"/>
    </row>
    <row r="98" spans="1:14" ht="85.5" customHeight="1">
      <c r="A98" s="58"/>
      <c r="B98" s="1" t="s">
        <v>391</v>
      </c>
      <c r="C98" s="1" t="s">
        <v>392</v>
      </c>
      <c r="D98" s="1" t="s">
        <v>38</v>
      </c>
      <c r="E98" s="11" t="s">
        <v>393</v>
      </c>
      <c r="F98" s="68" t="s">
        <v>394</v>
      </c>
      <c r="G98" s="11" t="s">
        <v>262</v>
      </c>
      <c r="H98" s="78">
        <f>I98+J98</f>
        <v>4366003</v>
      </c>
      <c r="I98" s="79">
        <v>4366003</v>
      </c>
      <c r="J98" s="37"/>
      <c r="K98" s="37"/>
      <c r="L98" s="77"/>
    </row>
    <row r="99" spans="1:14" ht="63">
      <c r="A99" s="58"/>
      <c r="B99" s="56" t="s">
        <v>178</v>
      </c>
      <c r="C99" s="1"/>
      <c r="D99" s="1"/>
      <c r="E99" s="5" t="s">
        <v>177</v>
      </c>
      <c r="F99" s="68"/>
      <c r="G99" s="11"/>
      <c r="H99" s="78">
        <f>I99+J99</f>
        <v>2850000</v>
      </c>
      <c r="I99" s="80">
        <f>I101+I102+I103+I104</f>
        <v>2850000</v>
      </c>
      <c r="J99" s="80">
        <f>J101+J102+J103+J104</f>
        <v>0</v>
      </c>
      <c r="K99" s="80">
        <f>K101+K102+K103+K104</f>
        <v>0</v>
      </c>
      <c r="L99" s="77"/>
    </row>
    <row r="100" spans="1:14" ht="63">
      <c r="A100" s="58"/>
      <c r="B100" s="1" t="s">
        <v>179</v>
      </c>
      <c r="C100" s="1"/>
      <c r="D100" s="1"/>
      <c r="E100" s="5" t="s">
        <v>177</v>
      </c>
      <c r="F100" s="68"/>
      <c r="G100" s="11"/>
      <c r="H100" s="78"/>
      <c r="I100" s="79"/>
      <c r="J100" s="37"/>
      <c r="K100" s="37"/>
      <c r="L100" s="77"/>
    </row>
    <row r="101" spans="1:14" ht="47.25">
      <c r="A101" s="58"/>
      <c r="B101" s="1" t="s">
        <v>180</v>
      </c>
      <c r="C101" s="11" t="s">
        <v>77</v>
      </c>
      <c r="D101" s="11" t="s">
        <v>75</v>
      </c>
      <c r="E101" s="11" t="s">
        <v>181</v>
      </c>
      <c r="F101" s="68" t="s">
        <v>182</v>
      </c>
      <c r="G101" s="11" t="s">
        <v>232</v>
      </c>
      <c r="H101" s="78">
        <f>I101+J101</f>
        <v>650000</v>
      </c>
      <c r="I101" s="79">
        <f>700000-50000</f>
        <v>650000</v>
      </c>
      <c r="J101" s="37"/>
      <c r="K101" s="37"/>
      <c r="L101" s="77"/>
    </row>
    <row r="102" spans="1:14" ht="31.5">
      <c r="A102" s="58"/>
      <c r="B102" s="131" t="s">
        <v>184</v>
      </c>
      <c r="C102" s="131" t="s">
        <v>153</v>
      </c>
      <c r="D102" s="125" t="s">
        <v>24</v>
      </c>
      <c r="E102" s="134" t="s">
        <v>78</v>
      </c>
      <c r="F102" s="36" t="s">
        <v>165</v>
      </c>
      <c r="G102" s="11" t="s">
        <v>233</v>
      </c>
      <c r="H102" s="78">
        <f>I102+J102</f>
        <v>500000</v>
      </c>
      <c r="I102" s="81">
        <v>500000</v>
      </c>
      <c r="J102" s="37"/>
      <c r="K102" s="37"/>
      <c r="L102" s="77"/>
    </row>
    <row r="103" spans="1:14" ht="63">
      <c r="A103" s="58"/>
      <c r="B103" s="131"/>
      <c r="C103" s="131"/>
      <c r="D103" s="125"/>
      <c r="E103" s="134"/>
      <c r="F103" s="7" t="s">
        <v>183</v>
      </c>
      <c r="G103" s="11" t="s">
        <v>234</v>
      </c>
      <c r="H103" s="78">
        <f>I103+J103</f>
        <v>700000</v>
      </c>
      <c r="I103" s="81">
        <v>700000</v>
      </c>
      <c r="J103" s="37"/>
      <c r="K103" s="37"/>
      <c r="L103" s="77"/>
    </row>
    <row r="104" spans="1:14" ht="47.25">
      <c r="A104" s="58"/>
      <c r="B104" s="131"/>
      <c r="C104" s="131"/>
      <c r="D104" s="125"/>
      <c r="E104" s="134"/>
      <c r="F104" s="36" t="s">
        <v>283</v>
      </c>
      <c r="G104" s="11" t="s">
        <v>308</v>
      </c>
      <c r="H104" s="12">
        <f>I104+J104</f>
        <v>1000000</v>
      </c>
      <c r="I104" s="81">
        <v>1000000</v>
      </c>
      <c r="J104" s="37"/>
      <c r="K104" s="37"/>
      <c r="L104" s="77"/>
    </row>
    <row r="105" spans="1:14" s="85" customFormat="1" ht="47.25">
      <c r="A105" s="82" t="s">
        <v>10</v>
      </c>
      <c r="B105" s="64">
        <v>2700000</v>
      </c>
      <c r="C105" s="32"/>
      <c r="D105" s="32"/>
      <c r="E105" s="5" t="s">
        <v>185</v>
      </c>
      <c r="F105" s="83"/>
      <c r="G105" s="83"/>
      <c r="H105" s="78">
        <f>I105+J105</f>
        <v>3100000</v>
      </c>
      <c r="I105" s="84">
        <f>I107+I108+I109+I110+I111</f>
        <v>3100000</v>
      </c>
      <c r="J105" s="84">
        <f>SUM(J107:J110)</f>
        <v>0</v>
      </c>
      <c r="K105" s="84">
        <f>SUM(K107:K110)</f>
        <v>0</v>
      </c>
      <c r="N105" s="86"/>
    </row>
    <row r="106" spans="1:14" s="85" customFormat="1" ht="47.25">
      <c r="A106" s="82"/>
      <c r="B106" s="64">
        <v>2710000</v>
      </c>
      <c r="C106" s="32"/>
      <c r="D106" s="32"/>
      <c r="E106" s="5" t="s">
        <v>185</v>
      </c>
      <c r="F106" s="83"/>
      <c r="G106" s="83"/>
      <c r="H106" s="84"/>
      <c r="I106" s="84"/>
      <c r="J106" s="84"/>
      <c r="K106" s="8">
        <f>I106+J106</f>
        <v>0</v>
      </c>
      <c r="N106" s="86"/>
    </row>
    <row r="107" spans="1:14" s="85" customFormat="1" ht="47.25">
      <c r="A107" s="87">
        <v>100203</v>
      </c>
      <c r="B107" s="1" t="s">
        <v>209</v>
      </c>
      <c r="C107" s="11" t="s">
        <v>208</v>
      </c>
      <c r="D107" s="11" t="s">
        <v>24</v>
      </c>
      <c r="E107" s="38" t="s">
        <v>70</v>
      </c>
      <c r="F107" s="88" t="s">
        <v>298</v>
      </c>
      <c r="G107" s="11" t="s">
        <v>235</v>
      </c>
      <c r="H107" s="12">
        <f>I107+J107</f>
        <v>1000000</v>
      </c>
      <c r="I107" s="6">
        <v>1000000</v>
      </c>
      <c r="J107" s="6"/>
      <c r="K107" s="8"/>
      <c r="L107" s="89"/>
      <c r="N107" s="86"/>
    </row>
    <row r="108" spans="1:14" s="85" customFormat="1" ht="47.25">
      <c r="A108" s="87">
        <v>100203</v>
      </c>
      <c r="B108" s="131" t="s">
        <v>71</v>
      </c>
      <c r="C108" s="125" t="s">
        <v>72</v>
      </c>
      <c r="D108" s="125" t="s">
        <v>25</v>
      </c>
      <c r="E108" s="129" t="s">
        <v>26</v>
      </c>
      <c r="F108" s="88" t="s">
        <v>275</v>
      </c>
      <c r="G108" s="11" t="s">
        <v>274</v>
      </c>
      <c r="H108" s="12">
        <f>I108+J108</f>
        <v>300000</v>
      </c>
      <c r="I108" s="6">
        <v>300000</v>
      </c>
      <c r="J108" s="6"/>
      <c r="K108" s="8"/>
      <c r="N108" s="86"/>
    </row>
    <row r="109" spans="1:14" s="85" customFormat="1" ht="47.25">
      <c r="A109" s="87"/>
      <c r="B109" s="131"/>
      <c r="C109" s="125"/>
      <c r="D109" s="125"/>
      <c r="E109" s="129"/>
      <c r="F109" s="10" t="s">
        <v>236</v>
      </c>
      <c r="G109" s="11" t="s">
        <v>276</v>
      </c>
      <c r="H109" s="12">
        <f>I109+J109</f>
        <v>800000</v>
      </c>
      <c r="I109" s="6">
        <f>100000+700000</f>
        <v>800000</v>
      </c>
      <c r="J109" s="6"/>
      <c r="K109" s="8"/>
      <c r="N109" s="86"/>
    </row>
    <row r="110" spans="1:14" s="85" customFormat="1" ht="47.25">
      <c r="A110" s="90" t="s">
        <v>9</v>
      </c>
      <c r="B110" s="131" t="s">
        <v>73</v>
      </c>
      <c r="C110" s="125" t="s">
        <v>74</v>
      </c>
      <c r="D110" s="125" t="s">
        <v>75</v>
      </c>
      <c r="E110" s="125" t="s">
        <v>76</v>
      </c>
      <c r="F110" s="7" t="s">
        <v>237</v>
      </c>
      <c r="G110" s="70" t="s">
        <v>238</v>
      </c>
      <c r="H110" s="12">
        <f>I110+J110</f>
        <v>100000</v>
      </c>
      <c r="I110" s="6">
        <v>100000</v>
      </c>
      <c r="J110" s="6"/>
      <c r="K110" s="8"/>
      <c r="N110" s="86"/>
    </row>
    <row r="111" spans="1:14" s="85" customFormat="1" ht="63">
      <c r="A111" s="91"/>
      <c r="B111" s="131"/>
      <c r="C111" s="125"/>
      <c r="D111" s="125"/>
      <c r="E111" s="125"/>
      <c r="F111" s="36" t="s">
        <v>239</v>
      </c>
      <c r="G111" s="70" t="s">
        <v>240</v>
      </c>
      <c r="H111" s="12">
        <f>I111+J111</f>
        <v>900000</v>
      </c>
      <c r="I111" s="6">
        <f>1600000-700000</f>
        <v>900000</v>
      </c>
      <c r="J111" s="6"/>
      <c r="K111" s="8"/>
      <c r="N111" s="86"/>
    </row>
    <row r="112" spans="1:14" s="85" customFormat="1" ht="31.5">
      <c r="A112" s="92"/>
      <c r="B112" s="93" t="s">
        <v>151</v>
      </c>
      <c r="C112" s="94"/>
      <c r="D112" s="94"/>
      <c r="E112" s="95" t="s">
        <v>186</v>
      </c>
      <c r="F112" s="39"/>
      <c r="G112" s="96"/>
      <c r="H112" s="97">
        <f>H114+H115+H116</f>
        <v>7799900</v>
      </c>
      <c r="I112" s="97">
        <f>I114+I115+I116</f>
        <v>7500000</v>
      </c>
      <c r="J112" s="97">
        <f>J114+J115+J116</f>
        <v>299900</v>
      </c>
      <c r="K112" s="98">
        <f>K114</f>
        <v>0</v>
      </c>
      <c r="L112" s="99"/>
      <c r="N112" s="86"/>
    </row>
    <row r="113" spans="1:14" s="85" customFormat="1" ht="31.5">
      <c r="A113" s="92"/>
      <c r="B113" s="93" t="s">
        <v>152</v>
      </c>
      <c r="C113" s="94"/>
      <c r="D113" s="94"/>
      <c r="E113" s="95" t="s">
        <v>186</v>
      </c>
      <c r="F113" s="39"/>
      <c r="G113" s="96"/>
      <c r="H113" s="97"/>
      <c r="I113" s="100"/>
      <c r="J113" s="84"/>
      <c r="K113" s="8"/>
      <c r="L113" s="99"/>
      <c r="N113" s="86"/>
    </row>
    <row r="114" spans="1:14" s="85" customFormat="1" ht="78.75">
      <c r="A114" s="92"/>
      <c r="B114" s="74">
        <v>3118311</v>
      </c>
      <c r="C114" s="11" t="s">
        <v>85</v>
      </c>
      <c r="D114" s="11" t="s">
        <v>22</v>
      </c>
      <c r="E114" s="38" t="s">
        <v>23</v>
      </c>
      <c r="F114" s="68" t="s">
        <v>188</v>
      </c>
      <c r="G114" s="70" t="s">
        <v>248</v>
      </c>
      <c r="H114" s="12">
        <f>I114+J114</f>
        <v>299900</v>
      </c>
      <c r="I114" s="37"/>
      <c r="J114" s="37">
        <f>200000+99900</f>
        <v>299900</v>
      </c>
      <c r="K114" s="37"/>
      <c r="L114" s="99"/>
      <c r="N114" s="86"/>
    </row>
    <row r="115" spans="1:14" s="102" customFormat="1" ht="63">
      <c r="A115" s="101"/>
      <c r="B115" s="74">
        <v>3117110</v>
      </c>
      <c r="C115" s="11" t="s">
        <v>269</v>
      </c>
      <c r="D115" s="32"/>
      <c r="E115" s="45"/>
      <c r="F115" s="68" t="s">
        <v>270</v>
      </c>
      <c r="G115" s="70" t="s">
        <v>271</v>
      </c>
      <c r="H115" s="12">
        <f>I115+J115</f>
        <v>2500000</v>
      </c>
      <c r="I115" s="37">
        <v>2500000</v>
      </c>
      <c r="J115" s="33"/>
      <c r="K115" s="33"/>
      <c r="L115" s="99"/>
      <c r="N115" s="103"/>
    </row>
    <row r="116" spans="1:14" s="85" customFormat="1" ht="63">
      <c r="A116" s="92"/>
      <c r="B116" s="74">
        <v>3117110</v>
      </c>
      <c r="C116" s="11" t="s">
        <v>269</v>
      </c>
      <c r="D116" s="32"/>
      <c r="E116" s="45"/>
      <c r="F116" s="68" t="s">
        <v>284</v>
      </c>
      <c r="G116" s="70" t="s">
        <v>285</v>
      </c>
      <c r="H116" s="12">
        <f>I116+J116</f>
        <v>5000000</v>
      </c>
      <c r="I116" s="37">
        <v>5000000</v>
      </c>
      <c r="J116" s="37"/>
      <c r="K116" s="37"/>
      <c r="L116" s="99"/>
      <c r="N116" s="86"/>
    </row>
    <row r="117" spans="1:14" s="85" customFormat="1" ht="31.5">
      <c r="A117" s="92"/>
      <c r="B117" s="64">
        <v>3700000</v>
      </c>
      <c r="C117" s="32"/>
      <c r="D117" s="32"/>
      <c r="E117" s="5" t="s">
        <v>187</v>
      </c>
      <c r="F117" s="7"/>
      <c r="G117" s="38"/>
      <c r="H117" s="12">
        <f>I117+J117</f>
        <v>43852266</v>
      </c>
      <c r="I117" s="84">
        <f>I119+I120+I121+I122+I123+I124+I160++I161+I175</f>
        <v>21817582</v>
      </c>
      <c r="J117" s="84">
        <f>J119+J120+J121+J122+J123+J124+J160++J161+J175</f>
        <v>22034684</v>
      </c>
      <c r="K117" s="84">
        <f>K119+K120+K121+K122+K123+K124+K160++K161+K175</f>
        <v>22034684</v>
      </c>
      <c r="N117" s="86"/>
    </row>
    <row r="118" spans="1:14" s="85" customFormat="1" ht="31.5">
      <c r="A118" s="92"/>
      <c r="B118" s="64">
        <v>3710000</v>
      </c>
      <c r="C118" s="32"/>
      <c r="D118" s="32"/>
      <c r="E118" s="5" t="s">
        <v>187</v>
      </c>
      <c r="F118" s="9"/>
      <c r="G118" s="9"/>
      <c r="H118" s="12"/>
      <c r="I118" s="6"/>
      <c r="J118" s="8"/>
      <c r="K118" s="8">
        <f>I118+J118</f>
        <v>0</v>
      </c>
      <c r="N118" s="86"/>
    </row>
    <row r="119" spans="1:14" s="85" customFormat="1" ht="31.5">
      <c r="A119" s="92"/>
      <c r="B119" s="1" t="s">
        <v>79</v>
      </c>
      <c r="C119" s="11" t="s">
        <v>68</v>
      </c>
      <c r="D119" s="11" t="s">
        <v>13</v>
      </c>
      <c r="E119" s="4" t="s">
        <v>80</v>
      </c>
      <c r="F119" s="10" t="s">
        <v>159</v>
      </c>
      <c r="G119" s="38" t="s">
        <v>263</v>
      </c>
      <c r="H119" s="12">
        <f t="shared" ref="H119:H124" si="6">I119+J119</f>
        <v>150100</v>
      </c>
      <c r="I119" s="6">
        <v>150100</v>
      </c>
      <c r="J119" s="6">
        <f>K119</f>
        <v>0</v>
      </c>
      <c r="K119" s="8"/>
      <c r="L119" s="102"/>
      <c r="N119" s="86"/>
    </row>
    <row r="120" spans="1:14" s="85" customFormat="1" ht="78.75">
      <c r="A120" s="92"/>
      <c r="B120" s="142" t="s">
        <v>395</v>
      </c>
      <c r="C120" s="145" t="s">
        <v>396</v>
      </c>
      <c r="D120" s="142" t="s">
        <v>68</v>
      </c>
      <c r="E120" s="148" t="s">
        <v>397</v>
      </c>
      <c r="F120" s="13" t="s">
        <v>226</v>
      </c>
      <c r="G120" s="9" t="s">
        <v>399</v>
      </c>
      <c r="H120" s="12">
        <f t="shared" si="6"/>
        <v>300000</v>
      </c>
      <c r="I120" s="6">
        <v>300000</v>
      </c>
      <c r="J120" s="6">
        <f>K120</f>
        <v>0</v>
      </c>
      <c r="K120" s="8"/>
      <c r="L120" s="102"/>
      <c r="N120" s="86"/>
    </row>
    <row r="121" spans="1:14" s="85" customFormat="1" ht="78.75">
      <c r="A121" s="92"/>
      <c r="B121" s="143"/>
      <c r="C121" s="146"/>
      <c r="D121" s="143"/>
      <c r="E121" s="149"/>
      <c r="F121" s="13" t="s">
        <v>401</v>
      </c>
      <c r="G121" s="9" t="s">
        <v>402</v>
      </c>
      <c r="H121" s="12">
        <f t="shared" si="6"/>
        <v>2755684</v>
      </c>
      <c r="I121" s="6"/>
      <c r="J121" s="6">
        <f>2755684</f>
        <v>2755684</v>
      </c>
      <c r="K121" s="8">
        <v>2755684</v>
      </c>
      <c r="L121" s="102"/>
      <c r="N121" s="86"/>
    </row>
    <row r="122" spans="1:14" s="85" customFormat="1" ht="31.5">
      <c r="A122" s="92"/>
      <c r="B122" s="143"/>
      <c r="C122" s="146"/>
      <c r="D122" s="143"/>
      <c r="E122" s="149"/>
      <c r="F122" s="10" t="s">
        <v>127</v>
      </c>
      <c r="G122" s="11" t="s">
        <v>255</v>
      </c>
      <c r="H122" s="12">
        <f t="shared" si="6"/>
        <v>7969000</v>
      </c>
      <c r="I122" s="6">
        <v>2280000</v>
      </c>
      <c r="J122" s="6">
        <f>5689000</f>
        <v>5689000</v>
      </c>
      <c r="K122" s="6">
        <v>5689000</v>
      </c>
      <c r="L122" s="102"/>
      <c r="N122" s="86"/>
    </row>
    <row r="123" spans="1:14" s="85" customFormat="1" ht="47.25">
      <c r="A123" s="92"/>
      <c r="B123" s="143"/>
      <c r="C123" s="146"/>
      <c r="D123" s="143"/>
      <c r="E123" s="149"/>
      <c r="F123" s="10" t="s">
        <v>124</v>
      </c>
      <c r="G123" s="11" t="s">
        <v>398</v>
      </c>
      <c r="H123" s="12">
        <f t="shared" si="6"/>
        <v>25811600</v>
      </c>
      <c r="I123" s="6">
        <v>12221600</v>
      </c>
      <c r="J123" s="6">
        <v>13590000</v>
      </c>
      <c r="K123" s="8">
        <v>13590000</v>
      </c>
      <c r="L123" s="102"/>
      <c r="N123" s="86"/>
    </row>
    <row r="124" spans="1:14" s="85" customFormat="1" ht="58.9" customHeight="1">
      <c r="A124" s="92"/>
      <c r="B124" s="144"/>
      <c r="C124" s="147"/>
      <c r="D124" s="144"/>
      <c r="E124" s="150"/>
      <c r="F124" s="7" t="s">
        <v>400</v>
      </c>
      <c r="G124" s="11" t="s">
        <v>403</v>
      </c>
      <c r="H124" s="12">
        <f t="shared" si="6"/>
        <v>500000</v>
      </c>
      <c r="I124" s="6">
        <v>500000</v>
      </c>
      <c r="J124" s="6"/>
      <c r="K124" s="8"/>
      <c r="L124" s="102"/>
      <c r="N124" s="86"/>
    </row>
    <row r="125" spans="1:14" s="85" customFormat="1" ht="47.25">
      <c r="A125" s="92"/>
      <c r="B125" s="104"/>
      <c r="C125" s="44"/>
      <c r="D125" s="44"/>
      <c r="E125" s="4"/>
      <c r="F125" s="105" t="s">
        <v>158</v>
      </c>
      <c r="G125" s="38" t="s">
        <v>262</v>
      </c>
      <c r="H125" s="12">
        <f t="shared" ref="H125:H141" si="7">I125+J125</f>
        <v>16661503</v>
      </c>
      <c r="I125" s="84">
        <f>I126+I141+I161</f>
        <v>15191554</v>
      </c>
      <c r="J125" s="84">
        <f>J126+J141+J161</f>
        <v>1469949</v>
      </c>
      <c r="K125" s="84">
        <f>K126+K141+K161</f>
        <v>1469949</v>
      </c>
      <c r="N125" s="86"/>
    </row>
    <row r="126" spans="1:14" s="85" customFormat="1">
      <c r="A126" s="92"/>
      <c r="B126" s="104"/>
      <c r="C126" s="44"/>
      <c r="D126" s="44"/>
      <c r="E126" s="5" t="s">
        <v>337</v>
      </c>
      <c r="F126" s="129" t="s">
        <v>3</v>
      </c>
      <c r="G126" s="129" t="s">
        <v>262</v>
      </c>
      <c r="H126" s="12">
        <f t="shared" si="7"/>
        <v>7217506</v>
      </c>
      <c r="I126" s="6">
        <f>SUM(I127:I140)</f>
        <v>5770557</v>
      </c>
      <c r="J126" s="6">
        <f>SUM(J127:J140)</f>
        <v>1446949</v>
      </c>
      <c r="K126" s="6">
        <f>SUM(K127:K140)</f>
        <v>1446949</v>
      </c>
      <c r="N126" s="86"/>
    </row>
    <row r="127" spans="1:14" s="85" customFormat="1">
      <c r="A127" s="92"/>
      <c r="B127" s="1" t="s">
        <v>311</v>
      </c>
      <c r="C127" s="1">
        <v>1010</v>
      </c>
      <c r="D127" s="47" t="s">
        <v>312</v>
      </c>
      <c r="E127" s="48" t="s">
        <v>313</v>
      </c>
      <c r="F127" s="129"/>
      <c r="G127" s="129"/>
      <c r="H127" s="12">
        <f t="shared" si="7"/>
        <v>527569</v>
      </c>
      <c r="I127" s="6">
        <v>479469</v>
      </c>
      <c r="J127" s="6">
        <f>48100</f>
        <v>48100</v>
      </c>
      <c r="K127" s="6">
        <v>48100</v>
      </c>
      <c r="N127" s="86"/>
    </row>
    <row r="128" spans="1:14" s="85" customFormat="1" ht="31.5">
      <c r="A128" s="92"/>
      <c r="B128" s="1" t="s">
        <v>194</v>
      </c>
      <c r="C128" s="11">
        <v>1021</v>
      </c>
      <c r="D128" s="11" t="s">
        <v>17</v>
      </c>
      <c r="E128" s="10" t="s">
        <v>346</v>
      </c>
      <c r="F128" s="129"/>
      <c r="G128" s="129"/>
      <c r="H128" s="12">
        <f t="shared" si="7"/>
        <v>974417</v>
      </c>
      <c r="I128" s="6">
        <v>974417</v>
      </c>
      <c r="J128" s="6"/>
      <c r="K128" s="6"/>
      <c r="N128" s="86"/>
    </row>
    <row r="129" spans="1:14" s="85" customFormat="1" ht="84.75" customHeight="1">
      <c r="A129" s="92"/>
      <c r="B129" s="106" t="s">
        <v>382</v>
      </c>
      <c r="C129" s="11" t="s">
        <v>383</v>
      </c>
      <c r="D129" s="11" t="s">
        <v>384</v>
      </c>
      <c r="E129" s="10" t="s">
        <v>385</v>
      </c>
      <c r="F129" s="129"/>
      <c r="G129" s="129"/>
      <c r="H129" s="12">
        <f t="shared" si="7"/>
        <v>56000</v>
      </c>
      <c r="I129" s="6">
        <v>56000</v>
      </c>
      <c r="J129" s="6"/>
      <c r="K129" s="6"/>
      <c r="N129" s="86"/>
    </row>
    <row r="130" spans="1:14" s="85" customFormat="1" ht="47.25">
      <c r="A130" s="92"/>
      <c r="B130" s="1" t="s">
        <v>347</v>
      </c>
      <c r="C130" s="11" t="s">
        <v>34</v>
      </c>
      <c r="D130" s="11" t="s">
        <v>327</v>
      </c>
      <c r="E130" s="10" t="s">
        <v>348</v>
      </c>
      <c r="F130" s="129"/>
      <c r="G130" s="129"/>
      <c r="H130" s="12">
        <f t="shared" si="7"/>
        <v>200000</v>
      </c>
      <c r="I130" s="6">
        <v>200000</v>
      </c>
      <c r="J130" s="6"/>
      <c r="K130" s="6"/>
      <c r="N130" s="86"/>
    </row>
    <row r="131" spans="1:14" s="85" customFormat="1" ht="31.5">
      <c r="A131" s="92"/>
      <c r="B131" s="106" t="s">
        <v>139</v>
      </c>
      <c r="C131" s="11">
        <v>2010</v>
      </c>
      <c r="D131" s="11" t="s">
        <v>141</v>
      </c>
      <c r="E131" s="10" t="s">
        <v>142</v>
      </c>
      <c r="F131" s="129"/>
      <c r="G131" s="129"/>
      <c r="H131" s="12">
        <f t="shared" si="7"/>
        <v>25000</v>
      </c>
      <c r="I131" s="6">
        <v>25000</v>
      </c>
      <c r="J131" s="6"/>
      <c r="K131" s="6"/>
      <c r="N131" s="86"/>
    </row>
    <row r="132" spans="1:14" s="85" customFormat="1" ht="31.5">
      <c r="A132" s="92"/>
      <c r="B132" s="106" t="s">
        <v>105</v>
      </c>
      <c r="C132" s="11" t="s">
        <v>106</v>
      </c>
      <c r="D132" s="11" t="s">
        <v>86</v>
      </c>
      <c r="E132" s="10" t="s">
        <v>386</v>
      </c>
      <c r="F132" s="129"/>
      <c r="G132" s="129"/>
      <c r="H132" s="12">
        <f t="shared" si="7"/>
        <v>125000</v>
      </c>
      <c r="I132" s="6">
        <v>125000</v>
      </c>
      <c r="J132" s="6"/>
      <c r="K132" s="6"/>
      <c r="N132" s="86"/>
    </row>
    <row r="133" spans="1:14" s="85" customFormat="1" ht="31.5">
      <c r="A133" s="92"/>
      <c r="B133" s="106" t="s">
        <v>361</v>
      </c>
      <c r="C133" s="11" t="s">
        <v>326</v>
      </c>
      <c r="D133" s="11" t="s">
        <v>327</v>
      </c>
      <c r="E133" s="10" t="s">
        <v>328</v>
      </c>
      <c r="F133" s="129"/>
      <c r="G133" s="129"/>
      <c r="H133" s="12">
        <f t="shared" si="7"/>
        <v>37279</v>
      </c>
      <c r="I133" s="6">
        <v>37279</v>
      </c>
      <c r="J133" s="6"/>
      <c r="K133" s="6"/>
      <c r="N133" s="86"/>
    </row>
    <row r="134" spans="1:14" s="85" customFormat="1">
      <c r="A134" s="92"/>
      <c r="B134" s="106" t="s">
        <v>366</v>
      </c>
      <c r="C134" s="11" t="s">
        <v>331</v>
      </c>
      <c r="D134" s="11" t="s">
        <v>329</v>
      </c>
      <c r="E134" s="10" t="s">
        <v>387</v>
      </c>
      <c r="F134" s="129"/>
      <c r="G134" s="129"/>
      <c r="H134" s="12">
        <f t="shared" si="7"/>
        <v>88900</v>
      </c>
      <c r="I134" s="6">
        <v>88900</v>
      </c>
      <c r="J134" s="6"/>
      <c r="K134" s="6"/>
      <c r="N134" s="86"/>
    </row>
    <row r="135" spans="1:14" s="85" customFormat="1" ht="47.25">
      <c r="A135" s="92"/>
      <c r="B135" s="106" t="s">
        <v>367</v>
      </c>
      <c r="C135" s="11" t="s">
        <v>368</v>
      </c>
      <c r="D135" s="11" t="s">
        <v>369</v>
      </c>
      <c r="E135" s="10" t="s">
        <v>388</v>
      </c>
      <c r="F135" s="129"/>
      <c r="G135" s="129"/>
      <c r="H135" s="12">
        <f t="shared" si="7"/>
        <v>222584</v>
      </c>
      <c r="I135" s="6">
        <v>222584</v>
      </c>
      <c r="J135" s="6"/>
      <c r="K135" s="6"/>
      <c r="N135" s="86"/>
    </row>
    <row r="136" spans="1:14" s="85" customFormat="1" ht="47.25">
      <c r="A136" s="92"/>
      <c r="B136" s="106">
        <v>1113131</v>
      </c>
      <c r="C136" s="11" t="s">
        <v>389</v>
      </c>
      <c r="D136" s="11" t="s">
        <v>357</v>
      </c>
      <c r="E136" s="10" t="s">
        <v>390</v>
      </c>
      <c r="F136" s="129"/>
      <c r="G136" s="129"/>
      <c r="H136" s="12">
        <f t="shared" si="7"/>
        <v>25000</v>
      </c>
      <c r="I136" s="6">
        <v>25000</v>
      </c>
      <c r="J136" s="6"/>
      <c r="K136" s="6"/>
      <c r="N136" s="86"/>
    </row>
    <row r="137" spans="1:14" s="85" customFormat="1" ht="31.5">
      <c r="A137" s="92"/>
      <c r="B137" s="1" t="s">
        <v>338</v>
      </c>
      <c r="C137" s="11" t="s">
        <v>339</v>
      </c>
      <c r="D137" s="11" t="s">
        <v>340</v>
      </c>
      <c r="E137" s="10" t="s">
        <v>341</v>
      </c>
      <c r="F137" s="129"/>
      <c r="G137" s="129"/>
      <c r="H137" s="12">
        <f t="shared" si="7"/>
        <v>3536908</v>
      </c>
      <c r="I137" s="6">
        <f>3536908</f>
        <v>3536908</v>
      </c>
      <c r="J137" s="8"/>
      <c r="K137" s="8"/>
      <c r="N137" s="86"/>
    </row>
    <row r="138" spans="1:14" s="85" customFormat="1" ht="31.5">
      <c r="A138" s="92"/>
      <c r="B138" s="1" t="s">
        <v>342</v>
      </c>
      <c r="C138" s="11" t="s">
        <v>343</v>
      </c>
      <c r="D138" s="11" t="s">
        <v>321</v>
      </c>
      <c r="E138" s="10" t="s">
        <v>344</v>
      </c>
      <c r="F138" s="129"/>
      <c r="G138" s="129"/>
      <c r="H138" s="12">
        <f t="shared" si="7"/>
        <v>1308899</v>
      </c>
      <c r="I138" s="6"/>
      <c r="J138" s="8">
        <f>1308899</f>
        <v>1308899</v>
      </c>
      <c r="K138" s="8">
        <v>1308899</v>
      </c>
      <c r="N138" s="86"/>
    </row>
    <row r="139" spans="1:14" s="85" customFormat="1" ht="31.5">
      <c r="A139" s="92"/>
      <c r="B139" s="1" t="s">
        <v>345</v>
      </c>
      <c r="C139" s="11" t="s">
        <v>343</v>
      </c>
      <c r="D139" s="11" t="s">
        <v>321</v>
      </c>
      <c r="E139" s="10" t="s">
        <v>344</v>
      </c>
      <c r="F139" s="129"/>
      <c r="G139" s="129"/>
      <c r="H139" s="12">
        <f t="shared" si="7"/>
        <v>89950</v>
      </c>
      <c r="I139" s="6"/>
      <c r="J139" s="8">
        <f>89950</f>
        <v>89950</v>
      </c>
      <c r="K139" s="8">
        <v>89950</v>
      </c>
      <c r="N139" s="86"/>
    </row>
    <row r="140" spans="1:14" s="85" customFormat="1" ht="31.5" hidden="1">
      <c r="A140" s="92"/>
      <c r="B140" s="1" t="s">
        <v>79</v>
      </c>
      <c r="C140" s="11" t="s">
        <v>68</v>
      </c>
      <c r="D140" s="11" t="s">
        <v>13</v>
      </c>
      <c r="E140" s="4" t="s">
        <v>80</v>
      </c>
      <c r="F140" s="129"/>
      <c r="G140" s="129"/>
      <c r="H140" s="12">
        <f t="shared" si="7"/>
        <v>0</v>
      </c>
      <c r="I140" s="6"/>
      <c r="J140" s="8"/>
      <c r="K140" s="8"/>
      <c r="N140" s="86"/>
    </row>
    <row r="141" spans="1:14" s="85" customFormat="1" ht="31.5" customHeight="1">
      <c r="A141" s="92"/>
      <c r="B141" s="104"/>
      <c r="C141" s="44"/>
      <c r="D141" s="44"/>
      <c r="E141" s="4" t="s">
        <v>337</v>
      </c>
      <c r="F141" s="120" t="s">
        <v>4</v>
      </c>
      <c r="G141" s="120" t="s">
        <v>262</v>
      </c>
      <c r="H141" s="12">
        <f t="shared" si="7"/>
        <v>7210000</v>
      </c>
      <c r="I141" s="6">
        <f>SUM(I142:I160)</f>
        <v>7187000</v>
      </c>
      <c r="J141" s="6">
        <f>SUM(J142:J160)</f>
        <v>23000</v>
      </c>
      <c r="K141" s="6">
        <f t="shared" ref="K141:K148" si="8">J141</f>
        <v>23000</v>
      </c>
      <c r="N141" s="86"/>
    </row>
    <row r="142" spans="1:14" s="85" customFormat="1">
      <c r="A142" s="92"/>
      <c r="B142" s="1" t="s">
        <v>311</v>
      </c>
      <c r="C142" s="11" t="s">
        <v>19</v>
      </c>
      <c r="D142" s="11" t="s">
        <v>312</v>
      </c>
      <c r="E142" s="10" t="s">
        <v>313</v>
      </c>
      <c r="F142" s="121"/>
      <c r="G142" s="121"/>
      <c r="H142" s="12">
        <f t="shared" ref="H142:H160" si="9">I142+J142</f>
        <v>288947</v>
      </c>
      <c r="I142" s="6">
        <v>288947</v>
      </c>
      <c r="J142" s="6"/>
      <c r="K142" s="6">
        <f t="shared" si="8"/>
        <v>0</v>
      </c>
      <c r="N142" s="86"/>
    </row>
    <row r="143" spans="1:14" s="85" customFormat="1" ht="31.5">
      <c r="A143" s="92"/>
      <c r="B143" s="1" t="s">
        <v>194</v>
      </c>
      <c r="C143" s="11">
        <v>1021</v>
      </c>
      <c r="D143" s="11" t="s">
        <v>17</v>
      </c>
      <c r="E143" s="10" t="s">
        <v>346</v>
      </c>
      <c r="F143" s="121"/>
      <c r="G143" s="121"/>
      <c r="H143" s="12">
        <f t="shared" si="9"/>
        <v>306337</v>
      </c>
      <c r="I143" s="6">
        <v>306337</v>
      </c>
      <c r="J143" s="6"/>
      <c r="K143" s="6">
        <f t="shared" si="8"/>
        <v>0</v>
      </c>
      <c r="N143" s="86"/>
    </row>
    <row r="144" spans="1:14" s="85" customFormat="1" ht="47.25">
      <c r="A144" s="92"/>
      <c r="B144" s="1" t="s">
        <v>347</v>
      </c>
      <c r="C144" s="11" t="s">
        <v>34</v>
      </c>
      <c r="D144" s="11" t="s">
        <v>327</v>
      </c>
      <c r="E144" s="10" t="s">
        <v>348</v>
      </c>
      <c r="F144" s="121"/>
      <c r="G144" s="121"/>
      <c r="H144" s="12">
        <f t="shared" si="9"/>
        <v>54179</v>
      </c>
      <c r="I144" s="6">
        <v>34179</v>
      </c>
      <c r="J144" s="6">
        <v>20000</v>
      </c>
      <c r="K144" s="6">
        <f t="shared" si="8"/>
        <v>20000</v>
      </c>
      <c r="N144" s="86"/>
    </row>
    <row r="145" spans="1:14" s="85" customFormat="1" ht="47.25">
      <c r="A145" s="92"/>
      <c r="B145" s="1" t="s">
        <v>376</v>
      </c>
      <c r="C145" s="11" t="s">
        <v>378</v>
      </c>
      <c r="D145" s="11" t="s">
        <v>81</v>
      </c>
      <c r="E145" s="10" t="s">
        <v>377</v>
      </c>
      <c r="F145" s="121"/>
      <c r="G145" s="121"/>
      <c r="H145" s="12">
        <f t="shared" si="9"/>
        <v>10830</v>
      </c>
      <c r="I145" s="6">
        <v>10830</v>
      </c>
      <c r="J145" s="6"/>
      <c r="K145" s="6">
        <f t="shared" si="8"/>
        <v>0</v>
      </c>
      <c r="N145" s="86"/>
    </row>
    <row r="146" spans="1:14" s="85" customFormat="1" ht="31.5">
      <c r="A146" s="92"/>
      <c r="B146" s="1" t="s">
        <v>355</v>
      </c>
      <c r="C146" s="11" t="s">
        <v>356</v>
      </c>
      <c r="D146" s="11" t="s">
        <v>357</v>
      </c>
      <c r="E146" s="10" t="s">
        <v>358</v>
      </c>
      <c r="F146" s="121"/>
      <c r="G146" s="121"/>
      <c r="H146" s="12">
        <f t="shared" si="9"/>
        <v>13000</v>
      </c>
      <c r="I146" s="6">
        <v>13000</v>
      </c>
      <c r="J146" s="6"/>
      <c r="K146" s="6">
        <f t="shared" si="8"/>
        <v>0</v>
      </c>
      <c r="N146" s="86"/>
    </row>
    <row r="147" spans="1:14" s="85" customFormat="1" ht="47.25">
      <c r="A147" s="92"/>
      <c r="B147" s="1" t="s">
        <v>316</v>
      </c>
      <c r="C147" s="11" t="s">
        <v>317</v>
      </c>
      <c r="D147" s="11" t="s">
        <v>16</v>
      </c>
      <c r="E147" s="10" t="s">
        <v>318</v>
      </c>
      <c r="F147" s="121"/>
      <c r="G147" s="121"/>
      <c r="H147" s="12">
        <f t="shared" si="9"/>
        <v>10000</v>
      </c>
      <c r="I147" s="6">
        <v>10000</v>
      </c>
      <c r="J147" s="6"/>
      <c r="K147" s="6">
        <f t="shared" si="8"/>
        <v>0</v>
      </c>
      <c r="N147" s="86"/>
    </row>
    <row r="148" spans="1:14" s="85" customFormat="1" ht="31.5">
      <c r="A148" s="92"/>
      <c r="B148" s="1" t="s">
        <v>139</v>
      </c>
      <c r="C148" s="11" t="s">
        <v>140</v>
      </c>
      <c r="D148" s="11" t="s">
        <v>141</v>
      </c>
      <c r="E148" s="10" t="s">
        <v>142</v>
      </c>
      <c r="F148" s="121"/>
      <c r="G148" s="121"/>
      <c r="H148" s="12">
        <f t="shared" si="9"/>
        <v>105000</v>
      </c>
      <c r="I148" s="6">
        <v>105000</v>
      </c>
      <c r="J148" s="6"/>
      <c r="K148" s="6">
        <f t="shared" si="8"/>
        <v>0</v>
      </c>
      <c r="N148" s="86"/>
    </row>
    <row r="149" spans="1:14" s="85" customFormat="1" ht="31.5">
      <c r="A149" s="92"/>
      <c r="B149" s="1" t="s">
        <v>143</v>
      </c>
      <c r="C149" s="11" t="s">
        <v>144</v>
      </c>
      <c r="D149" s="11" t="s">
        <v>145</v>
      </c>
      <c r="E149" s="10" t="s">
        <v>359</v>
      </c>
      <c r="F149" s="121"/>
      <c r="G149" s="121"/>
      <c r="H149" s="12">
        <f t="shared" si="9"/>
        <v>25000</v>
      </c>
      <c r="I149" s="6">
        <v>25000</v>
      </c>
      <c r="J149" s="6">
        <f t="shared" ref="J149:J161" si="10">K149</f>
        <v>0</v>
      </c>
      <c r="K149" s="6"/>
      <c r="N149" s="86"/>
    </row>
    <row r="150" spans="1:14" s="85" customFormat="1" ht="47.25" hidden="1">
      <c r="A150" s="92"/>
      <c r="B150" s="1" t="s">
        <v>189</v>
      </c>
      <c r="C150" s="11" t="s">
        <v>190</v>
      </c>
      <c r="D150" s="11" t="s">
        <v>191</v>
      </c>
      <c r="E150" s="10" t="s">
        <v>360</v>
      </c>
      <c r="F150" s="121"/>
      <c r="G150" s="121"/>
      <c r="H150" s="12">
        <f t="shared" si="9"/>
        <v>0</v>
      </c>
      <c r="I150" s="6"/>
      <c r="J150" s="6">
        <f t="shared" si="10"/>
        <v>0</v>
      </c>
      <c r="K150" s="6"/>
      <c r="N150" s="86"/>
    </row>
    <row r="151" spans="1:14" s="85" customFormat="1" ht="31.5">
      <c r="A151" s="92"/>
      <c r="B151" s="11" t="s">
        <v>116</v>
      </c>
      <c r="C151" s="1" t="s">
        <v>117</v>
      </c>
      <c r="D151" s="1" t="s">
        <v>18</v>
      </c>
      <c r="E151" s="36" t="s">
        <v>118</v>
      </c>
      <c r="F151" s="121"/>
      <c r="G151" s="121"/>
      <c r="H151" s="12">
        <f t="shared" si="9"/>
        <v>3582400</v>
      </c>
      <c r="I151" s="6">
        <v>3582400</v>
      </c>
      <c r="J151" s="6">
        <f t="shared" si="10"/>
        <v>0</v>
      </c>
      <c r="K151" s="6"/>
      <c r="N151" s="86"/>
    </row>
    <row r="152" spans="1:14" s="85" customFormat="1" ht="31.5">
      <c r="A152" s="92"/>
      <c r="B152" s="11" t="s">
        <v>361</v>
      </c>
      <c r="C152" s="1" t="s">
        <v>326</v>
      </c>
      <c r="D152" s="1" t="s">
        <v>327</v>
      </c>
      <c r="E152" s="36" t="s">
        <v>328</v>
      </c>
      <c r="F152" s="121"/>
      <c r="G152" s="121"/>
      <c r="H152" s="12">
        <f t="shared" si="9"/>
        <v>8000</v>
      </c>
      <c r="I152" s="6">
        <v>8000</v>
      </c>
      <c r="J152" s="6">
        <f t="shared" si="10"/>
        <v>0</v>
      </c>
      <c r="K152" s="6"/>
      <c r="N152" s="86"/>
    </row>
    <row r="153" spans="1:14" s="85" customFormat="1" ht="63">
      <c r="A153" s="92"/>
      <c r="B153" s="11" t="s">
        <v>362</v>
      </c>
      <c r="C153" s="1" t="s">
        <v>363</v>
      </c>
      <c r="D153" s="1" t="s">
        <v>364</v>
      </c>
      <c r="E153" s="36" t="s">
        <v>365</v>
      </c>
      <c r="F153" s="121"/>
      <c r="G153" s="121"/>
      <c r="H153" s="12">
        <f t="shared" si="9"/>
        <v>11000</v>
      </c>
      <c r="I153" s="6">
        <v>11000</v>
      </c>
      <c r="J153" s="6">
        <f t="shared" si="10"/>
        <v>0</v>
      </c>
      <c r="K153" s="6"/>
      <c r="N153" s="86"/>
    </row>
    <row r="154" spans="1:14" s="85" customFormat="1">
      <c r="A154" s="92"/>
      <c r="B154" s="11" t="s">
        <v>366</v>
      </c>
      <c r="C154" s="1" t="s">
        <v>331</v>
      </c>
      <c r="D154" s="1" t="s">
        <v>329</v>
      </c>
      <c r="E154" s="36" t="s">
        <v>330</v>
      </c>
      <c r="F154" s="121"/>
      <c r="G154" s="121"/>
      <c r="H154" s="12">
        <f>I154+J154</f>
        <v>47752</v>
      </c>
      <c r="I154" s="6">
        <v>44752</v>
      </c>
      <c r="J154" s="6">
        <v>3000</v>
      </c>
      <c r="K154" s="6">
        <f>J154</f>
        <v>3000</v>
      </c>
      <c r="N154" s="86"/>
    </row>
    <row r="155" spans="1:14" s="85" customFormat="1" ht="47.25">
      <c r="A155" s="92"/>
      <c r="B155" s="11" t="s">
        <v>367</v>
      </c>
      <c r="C155" s="1" t="s">
        <v>368</v>
      </c>
      <c r="D155" s="1" t="s">
        <v>369</v>
      </c>
      <c r="E155" s="36" t="s">
        <v>370</v>
      </c>
      <c r="F155" s="121"/>
      <c r="G155" s="121"/>
      <c r="H155" s="12">
        <f t="shared" si="9"/>
        <v>44000</v>
      </c>
      <c r="I155" s="6">
        <v>44000</v>
      </c>
      <c r="J155" s="6">
        <f t="shared" si="10"/>
        <v>0</v>
      </c>
      <c r="K155" s="6"/>
      <c r="N155" s="86"/>
    </row>
    <row r="156" spans="1:14" s="85" customFormat="1" ht="47.25">
      <c r="A156" s="92"/>
      <c r="B156" s="11" t="s">
        <v>371</v>
      </c>
      <c r="C156" s="1" t="s">
        <v>89</v>
      </c>
      <c r="D156" s="1" t="s">
        <v>16</v>
      </c>
      <c r="E156" s="36" t="s">
        <v>90</v>
      </c>
      <c r="F156" s="121"/>
      <c r="G156" s="121"/>
      <c r="H156" s="12">
        <f t="shared" si="9"/>
        <v>8000</v>
      </c>
      <c r="I156" s="6">
        <v>8000</v>
      </c>
      <c r="J156" s="6">
        <f t="shared" si="10"/>
        <v>0</v>
      </c>
      <c r="K156" s="6"/>
      <c r="N156" s="86"/>
    </row>
    <row r="157" spans="1:14" s="85" customFormat="1" ht="63" hidden="1">
      <c r="A157" s="92"/>
      <c r="B157" s="11" t="s">
        <v>372</v>
      </c>
      <c r="C157" s="1" t="s">
        <v>373</v>
      </c>
      <c r="D157" s="1" t="s">
        <v>374</v>
      </c>
      <c r="E157" s="36" t="s">
        <v>375</v>
      </c>
      <c r="F157" s="121"/>
      <c r="G157" s="121"/>
      <c r="H157" s="12">
        <f t="shared" si="9"/>
        <v>0</v>
      </c>
      <c r="I157" s="6"/>
      <c r="J157" s="6">
        <f t="shared" si="10"/>
        <v>0</v>
      </c>
      <c r="K157" s="6"/>
      <c r="N157" s="86"/>
    </row>
    <row r="158" spans="1:14" s="85" customFormat="1" ht="31.5">
      <c r="A158" s="92"/>
      <c r="B158" s="11" t="s">
        <v>338</v>
      </c>
      <c r="C158" s="1" t="s">
        <v>339</v>
      </c>
      <c r="D158" s="1" t="s">
        <v>379</v>
      </c>
      <c r="E158" s="36" t="s">
        <v>341</v>
      </c>
      <c r="F158" s="121"/>
      <c r="G158" s="121"/>
      <c r="H158" s="12">
        <f t="shared" si="9"/>
        <v>11000</v>
      </c>
      <c r="I158" s="6">
        <v>11000</v>
      </c>
      <c r="J158" s="6">
        <f t="shared" si="10"/>
        <v>0</v>
      </c>
      <c r="K158" s="6"/>
      <c r="N158" s="86"/>
    </row>
    <row r="159" spans="1:14" s="85" customFormat="1">
      <c r="A159" s="92"/>
      <c r="B159" s="11"/>
      <c r="C159" s="1"/>
      <c r="D159" s="1"/>
      <c r="E159" s="36"/>
      <c r="F159" s="121"/>
      <c r="G159" s="121"/>
      <c r="H159" s="12"/>
      <c r="I159" s="6"/>
      <c r="J159" s="6"/>
      <c r="K159" s="6"/>
      <c r="N159" s="86"/>
    </row>
    <row r="160" spans="1:14" s="85" customFormat="1" ht="31.5">
      <c r="A160" s="92"/>
      <c r="B160" s="1" t="s">
        <v>79</v>
      </c>
      <c r="C160" s="11" t="s">
        <v>68</v>
      </c>
      <c r="D160" s="11" t="s">
        <v>13</v>
      </c>
      <c r="E160" s="4" t="s">
        <v>80</v>
      </c>
      <c r="F160" s="122"/>
      <c r="G160" s="122"/>
      <c r="H160" s="12">
        <f t="shared" si="9"/>
        <v>2684555</v>
      </c>
      <c r="I160" s="6">
        <v>2684555</v>
      </c>
      <c r="J160" s="6">
        <f t="shared" si="10"/>
        <v>0</v>
      </c>
      <c r="K160" s="6"/>
      <c r="N160" s="86"/>
    </row>
    <row r="161" spans="1:14" s="85" customFormat="1" ht="47.25">
      <c r="A161" s="92"/>
      <c r="B161" s="1" t="s">
        <v>79</v>
      </c>
      <c r="C161" s="11" t="s">
        <v>68</v>
      </c>
      <c r="D161" s="11" t="s">
        <v>13</v>
      </c>
      <c r="E161" s="4" t="s">
        <v>80</v>
      </c>
      <c r="F161" s="10" t="s">
        <v>156</v>
      </c>
      <c r="G161" s="38" t="s">
        <v>262</v>
      </c>
      <c r="H161" s="12">
        <f>I161+J161</f>
        <v>2233997</v>
      </c>
      <c r="I161" s="6">
        <f>5000000+1000000+600000-4366003</f>
        <v>2233997</v>
      </c>
      <c r="J161" s="6">
        <f t="shared" si="10"/>
        <v>0</v>
      </c>
      <c r="K161" s="8"/>
      <c r="N161" s="86"/>
    </row>
    <row r="162" spans="1:14" s="85" customFormat="1" ht="31.5" customHeight="1">
      <c r="A162" s="92"/>
      <c r="B162" s="104"/>
      <c r="C162" s="44"/>
      <c r="D162" s="44"/>
      <c r="E162" s="5" t="s">
        <v>337</v>
      </c>
      <c r="F162" s="120" t="s">
        <v>380</v>
      </c>
      <c r="G162" s="120" t="s">
        <v>381</v>
      </c>
      <c r="H162" s="12">
        <f>I162+J162</f>
        <v>29702230</v>
      </c>
      <c r="I162" s="6">
        <f>SUM(I163:I175)</f>
        <v>12926964</v>
      </c>
      <c r="J162" s="6">
        <f>SUM(J163:J175)</f>
        <v>16775266</v>
      </c>
      <c r="K162" s="6">
        <f>SUM(K163:K175)</f>
        <v>16775266</v>
      </c>
      <c r="N162" s="86"/>
    </row>
    <row r="163" spans="1:14" s="85" customFormat="1">
      <c r="A163" s="92"/>
      <c r="B163" s="1" t="s">
        <v>311</v>
      </c>
      <c r="C163" s="1">
        <v>1010</v>
      </c>
      <c r="D163" s="47" t="s">
        <v>312</v>
      </c>
      <c r="E163" s="48" t="s">
        <v>313</v>
      </c>
      <c r="F163" s="121"/>
      <c r="G163" s="121"/>
      <c r="H163" s="12">
        <f t="shared" ref="H163:H175" si="11">I163+J163</f>
        <v>650902</v>
      </c>
      <c r="I163" s="6">
        <v>405702</v>
      </c>
      <c r="J163" s="6">
        <f>245200</f>
        <v>245200</v>
      </c>
      <c r="K163" s="6">
        <f>245200</f>
        <v>245200</v>
      </c>
      <c r="N163" s="86"/>
    </row>
    <row r="164" spans="1:14" s="85" customFormat="1" ht="31.5">
      <c r="A164" s="92"/>
      <c r="B164" s="1" t="s">
        <v>194</v>
      </c>
      <c r="C164" s="11">
        <v>1021</v>
      </c>
      <c r="D164" s="11" t="s">
        <v>17</v>
      </c>
      <c r="E164" s="10" t="s">
        <v>346</v>
      </c>
      <c r="F164" s="121"/>
      <c r="G164" s="121"/>
      <c r="H164" s="12">
        <f t="shared" si="11"/>
        <v>3385253</v>
      </c>
      <c r="I164" s="6">
        <v>1996615</v>
      </c>
      <c r="J164" s="6">
        <f>1388638</f>
        <v>1388638</v>
      </c>
      <c r="K164" s="6">
        <f>1388638</f>
        <v>1388638</v>
      </c>
      <c r="N164" s="86"/>
    </row>
    <row r="165" spans="1:14" s="85" customFormat="1" ht="47.25">
      <c r="A165" s="92"/>
      <c r="B165" s="1" t="s">
        <v>347</v>
      </c>
      <c r="C165" s="11" t="s">
        <v>34</v>
      </c>
      <c r="D165" s="11" t="s">
        <v>327</v>
      </c>
      <c r="E165" s="10" t="s">
        <v>348</v>
      </c>
      <c r="F165" s="121"/>
      <c r="G165" s="121"/>
      <c r="H165" s="12">
        <f t="shared" si="11"/>
        <v>149156</v>
      </c>
      <c r="I165" s="6">
        <v>94656</v>
      </c>
      <c r="J165" s="6">
        <f>54500</f>
        <v>54500</v>
      </c>
      <c r="K165" s="6">
        <f>54500</f>
        <v>54500</v>
      </c>
      <c r="N165" s="86"/>
    </row>
    <row r="166" spans="1:14" s="85" customFormat="1">
      <c r="A166" s="92"/>
      <c r="B166" s="106" t="s">
        <v>196</v>
      </c>
      <c r="C166" s="11" t="s">
        <v>197</v>
      </c>
      <c r="D166" s="11" t="s">
        <v>81</v>
      </c>
      <c r="E166" s="54" t="s">
        <v>207</v>
      </c>
      <c r="F166" s="121"/>
      <c r="G166" s="121"/>
      <c r="H166" s="12">
        <f t="shared" si="11"/>
        <v>299950</v>
      </c>
      <c r="I166" s="6">
        <v>299950</v>
      </c>
      <c r="J166" s="6"/>
      <c r="K166" s="6"/>
      <c r="N166" s="86"/>
    </row>
    <row r="167" spans="1:14" s="85" customFormat="1">
      <c r="A167" s="92"/>
      <c r="B167" s="1" t="s">
        <v>319</v>
      </c>
      <c r="C167" s="11" t="s">
        <v>320</v>
      </c>
      <c r="D167" s="11" t="s">
        <v>321</v>
      </c>
      <c r="E167" s="10" t="s">
        <v>322</v>
      </c>
      <c r="F167" s="121"/>
      <c r="G167" s="121"/>
      <c r="H167" s="12">
        <f t="shared" si="11"/>
        <v>4407942</v>
      </c>
      <c r="I167" s="6"/>
      <c r="J167" s="6">
        <f>4407942</f>
        <v>4407942</v>
      </c>
      <c r="K167" s="6">
        <f>4407942</f>
        <v>4407942</v>
      </c>
      <c r="N167" s="86"/>
    </row>
    <row r="168" spans="1:14" s="85" customFormat="1">
      <c r="A168" s="92"/>
      <c r="B168" s="66" t="s">
        <v>332</v>
      </c>
      <c r="C168" s="11" t="s">
        <v>333</v>
      </c>
      <c r="D168" s="11" t="s">
        <v>321</v>
      </c>
      <c r="E168" s="10" t="s">
        <v>334</v>
      </c>
      <c r="F168" s="121"/>
      <c r="G168" s="121"/>
      <c r="H168" s="12">
        <f t="shared" si="11"/>
        <v>499152</v>
      </c>
      <c r="I168" s="6"/>
      <c r="J168" s="6">
        <f>499152</f>
        <v>499152</v>
      </c>
      <c r="K168" s="6">
        <f>499152</f>
        <v>499152</v>
      </c>
      <c r="N168" s="86"/>
    </row>
    <row r="169" spans="1:14" s="85" customFormat="1" ht="31.5">
      <c r="A169" s="92"/>
      <c r="B169" s="1" t="s">
        <v>352</v>
      </c>
      <c r="C169" s="11" t="s">
        <v>350</v>
      </c>
      <c r="D169" s="11" t="s">
        <v>340</v>
      </c>
      <c r="E169" s="10" t="s">
        <v>351</v>
      </c>
      <c r="F169" s="121"/>
      <c r="G169" s="121"/>
      <c r="H169" s="12">
        <f t="shared" si="11"/>
        <v>2880000</v>
      </c>
      <c r="I169" s="6">
        <f>2880000</f>
        <v>2880000</v>
      </c>
      <c r="J169" s="6"/>
      <c r="K169" s="6"/>
      <c r="N169" s="86"/>
    </row>
    <row r="170" spans="1:14" s="85" customFormat="1" ht="31.5">
      <c r="A170" s="92"/>
      <c r="B170" s="1" t="s">
        <v>342</v>
      </c>
      <c r="C170" s="11" t="s">
        <v>343</v>
      </c>
      <c r="D170" s="11" t="s">
        <v>321</v>
      </c>
      <c r="E170" s="10" t="s">
        <v>344</v>
      </c>
      <c r="F170" s="121"/>
      <c r="G170" s="121"/>
      <c r="H170" s="12">
        <f t="shared" si="11"/>
        <v>279703</v>
      </c>
      <c r="I170" s="6"/>
      <c r="J170" s="6">
        <f>279703</f>
        <v>279703</v>
      </c>
      <c r="K170" s="6">
        <f>279703</f>
        <v>279703</v>
      </c>
      <c r="N170" s="86"/>
    </row>
    <row r="171" spans="1:14" s="85" customFormat="1" ht="31.5">
      <c r="A171" s="92"/>
      <c r="B171" s="1" t="s">
        <v>349</v>
      </c>
      <c r="C171" s="11" t="s">
        <v>350</v>
      </c>
      <c r="D171" s="11" t="s">
        <v>340</v>
      </c>
      <c r="E171" s="10" t="s">
        <v>351</v>
      </c>
      <c r="F171" s="121"/>
      <c r="G171" s="121"/>
      <c r="H171" s="12">
        <f t="shared" si="11"/>
        <v>1823561</v>
      </c>
      <c r="I171" s="6">
        <f>1823561</f>
        <v>1823561</v>
      </c>
      <c r="J171" s="6"/>
      <c r="K171" s="6"/>
      <c r="N171" s="86"/>
    </row>
    <row r="172" spans="1:14" s="85" customFormat="1" ht="31.5">
      <c r="A172" s="92"/>
      <c r="B172" s="1" t="s">
        <v>345</v>
      </c>
      <c r="C172" s="11" t="s">
        <v>343</v>
      </c>
      <c r="D172" s="11" t="s">
        <v>321</v>
      </c>
      <c r="E172" s="10" t="s">
        <v>344</v>
      </c>
      <c r="F172" s="121"/>
      <c r="G172" s="121"/>
      <c r="H172" s="12">
        <f t="shared" si="11"/>
        <v>9420131</v>
      </c>
      <c r="I172" s="6"/>
      <c r="J172" s="6">
        <f>9420131</f>
        <v>9420131</v>
      </c>
      <c r="K172" s="6">
        <f>9420131</f>
        <v>9420131</v>
      </c>
      <c r="N172" s="86"/>
    </row>
    <row r="173" spans="1:14" s="85" customFormat="1" ht="31.5">
      <c r="A173" s="92"/>
      <c r="B173" s="1" t="s">
        <v>353</v>
      </c>
      <c r="C173" s="11" t="s">
        <v>350</v>
      </c>
      <c r="D173" s="11" t="s">
        <v>340</v>
      </c>
      <c r="E173" s="10" t="s">
        <v>351</v>
      </c>
      <c r="F173" s="121"/>
      <c r="G173" s="121"/>
      <c r="H173" s="12">
        <f t="shared" si="11"/>
        <v>3979150</v>
      </c>
      <c r="I173" s="6">
        <f>3979150</f>
        <v>3979150</v>
      </c>
      <c r="J173" s="6"/>
      <c r="K173" s="6"/>
      <c r="N173" s="86"/>
    </row>
    <row r="174" spans="1:14" s="85" customFormat="1" ht="31.5">
      <c r="A174" s="92"/>
      <c r="B174" s="1" t="s">
        <v>354</v>
      </c>
      <c r="C174" s="11" t="s">
        <v>343</v>
      </c>
      <c r="D174" s="11" t="s">
        <v>321</v>
      </c>
      <c r="E174" s="10" t="s">
        <v>344</v>
      </c>
      <c r="F174" s="121"/>
      <c r="G174" s="121"/>
      <c r="H174" s="12">
        <f t="shared" si="11"/>
        <v>480000</v>
      </c>
      <c r="I174" s="6"/>
      <c r="J174" s="6">
        <f>480000</f>
        <v>480000</v>
      </c>
      <c r="K174" s="6">
        <f>480000</f>
        <v>480000</v>
      </c>
      <c r="N174" s="86"/>
    </row>
    <row r="175" spans="1:14" s="85" customFormat="1" ht="31.5">
      <c r="A175" s="92"/>
      <c r="B175" s="1" t="s">
        <v>79</v>
      </c>
      <c r="C175" s="11" t="s">
        <v>68</v>
      </c>
      <c r="D175" s="11" t="s">
        <v>13</v>
      </c>
      <c r="E175" s="4" t="s">
        <v>80</v>
      </c>
      <c r="F175" s="122"/>
      <c r="G175" s="122"/>
      <c r="H175" s="12">
        <f t="shared" si="11"/>
        <v>1447330</v>
      </c>
      <c r="I175" s="6">
        <v>1447330</v>
      </c>
      <c r="J175" s="6"/>
      <c r="K175" s="8"/>
      <c r="N175" s="86"/>
    </row>
    <row r="176" spans="1:14" s="85" customFormat="1" ht="18.75">
      <c r="A176" s="92"/>
      <c r="B176" s="154" t="s">
        <v>157</v>
      </c>
      <c r="C176" s="154"/>
      <c r="D176" s="154"/>
      <c r="E176" s="154"/>
      <c r="F176" s="154"/>
      <c r="G176" s="107"/>
      <c r="H176" s="108">
        <f>I176+J176</f>
        <v>518928508</v>
      </c>
      <c r="I176" s="108">
        <f>I11+I28+I40+I51+I63+I67+I75+I94+I99+I105+I112+I117+I90+I87+I84+I125+I162-I160-I161-I175</f>
        <v>452949366</v>
      </c>
      <c r="J176" s="108">
        <f>J11+J28+J40+J51+J63+J67+J75+J94+J99+J105+J112+J117+J90+J87+J84+J125+J162-J160-J161-J175</f>
        <v>65979142</v>
      </c>
      <c r="K176" s="108">
        <f>K11+K28+K40+K51+K63+K67+K75+K94+K99+K105+K112+K117+K90+K87+K84+K125+K162-K160-K161-K175</f>
        <v>61004970</v>
      </c>
      <c r="N176" s="86"/>
    </row>
    <row r="177" spans="2:11">
      <c r="K177" s="114"/>
    </row>
    <row r="178" spans="2:11" ht="20.25">
      <c r="B178" s="153" t="s">
        <v>11</v>
      </c>
      <c r="C178" s="153"/>
      <c r="D178" s="153"/>
      <c r="E178" s="115"/>
      <c r="F178" s="115"/>
      <c r="G178" s="116"/>
      <c r="H178" s="117"/>
      <c r="I178" s="118"/>
      <c r="J178" s="119" t="s">
        <v>404</v>
      </c>
      <c r="K178" s="115"/>
    </row>
    <row r="182" spans="2:11">
      <c r="I182" s="114"/>
    </row>
  </sheetData>
  <mergeCells count="89">
    <mergeCell ref="I21:I22"/>
    <mergeCell ref="J21:J22"/>
    <mergeCell ref="K21:K22"/>
    <mergeCell ref="B178:D178"/>
    <mergeCell ref="B176:F176"/>
    <mergeCell ref="F162:F175"/>
    <mergeCell ref="F21:F22"/>
    <mergeCell ref="G21:G22"/>
    <mergeCell ref="H21:H22"/>
    <mergeCell ref="B110:B111"/>
    <mergeCell ref="D108:D109"/>
    <mergeCell ref="E108:E109"/>
    <mergeCell ref="C18:C20"/>
    <mergeCell ref="C21:C22"/>
    <mergeCell ref="B120:B124"/>
    <mergeCell ref="C120:C124"/>
    <mergeCell ref="D120:D124"/>
    <mergeCell ref="E120:E124"/>
    <mergeCell ref="B18:B20"/>
    <mergeCell ref="B21:B22"/>
    <mergeCell ref="C8:C9"/>
    <mergeCell ref="D8:D9"/>
    <mergeCell ref="F77:F78"/>
    <mergeCell ref="G77:G78"/>
    <mergeCell ref="C102:C104"/>
    <mergeCell ref="C73:C74"/>
    <mergeCell ref="G25:G26"/>
    <mergeCell ref="F25:F26"/>
    <mergeCell ref="F53:F61"/>
    <mergeCell ref="E8:E9"/>
    <mergeCell ref="F79:F80"/>
    <mergeCell ref="F141:F160"/>
    <mergeCell ref="G141:G160"/>
    <mergeCell ref="D21:D22"/>
    <mergeCell ref="D18:D20"/>
    <mergeCell ref="F38:F39"/>
    <mergeCell ref="B65:B66"/>
    <mergeCell ref="I2:K2"/>
    <mergeCell ref="H8:H9"/>
    <mergeCell ref="I8:I9"/>
    <mergeCell ref="J8:K8"/>
    <mergeCell ref="G8:G9"/>
    <mergeCell ref="G53:G61"/>
    <mergeCell ref="D73:D74"/>
    <mergeCell ref="E21:E22"/>
    <mergeCell ref="E18:E20"/>
    <mergeCell ref="E49:E50"/>
    <mergeCell ref="D65:D66"/>
    <mergeCell ref="B6:K6"/>
    <mergeCell ref="B8:B9"/>
    <mergeCell ref="G38:G39"/>
    <mergeCell ref="B14:B15"/>
    <mergeCell ref="F8:F9"/>
    <mergeCell ref="C110:C111"/>
    <mergeCell ref="D110:D111"/>
    <mergeCell ref="E110:E111"/>
    <mergeCell ref="D49:D50"/>
    <mergeCell ref="C49:C50"/>
    <mergeCell ref="E14:E15"/>
    <mergeCell ref="D14:D15"/>
    <mergeCell ref="C14:C15"/>
    <mergeCell ref="D102:D104"/>
    <mergeCell ref="C65:C66"/>
    <mergeCell ref="B49:B50"/>
    <mergeCell ref="B108:B109"/>
    <mergeCell ref="C108:C109"/>
    <mergeCell ref="B73:B74"/>
    <mergeCell ref="B102:B104"/>
    <mergeCell ref="F49:F50"/>
    <mergeCell ref="F81:F82"/>
    <mergeCell ref="E65:E66"/>
    <mergeCell ref="E73:E74"/>
    <mergeCell ref="E102:E104"/>
    <mergeCell ref="H49:H50"/>
    <mergeCell ref="I49:I50"/>
    <mergeCell ref="J49:J50"/>
    <mergeCell ref="K49:K50"/>
    <mergeCell ref="F126:F140"/>
    <mergeCell ref="G126:G140"/>
    <mergeCell ref="G81:G82"/>
    <mergeCell ref="G79:G80"/>
    <mergeCell ref="G162:G175"/>
    <mergeCell ref="F31:F37"/>
    <mergeCell ref="F43:F48"/>
    <mergeCell ref="G43:G48"/>
    <mergeCell ref="G31:G37"/>
    <mergeCell ref="F69:F72"/>
    <mergeCell ref="G69:G72"/>
    <mergeCell ref="G49:G50"/>
  </mergeCells>
  <phoneticPr fontId="17" type="noConversion"/>
  <printOptions horizontalCentered="1"/>
  <pageMargins left="0.39370078740157483" right="0.39370078740157483" top="1.3779527559055118" bottom="0.39370078740157483" header="0" footer="0"/>
  <pageSetup paperSize="9" scale="50" fitToHeight="2" orientation="landscape" r:id="rId1"/>
  <headerFooter alignWithMargins="0"/>
  <rowBreaks count="3" manualBreakCount="3">
    <brk id="81" min="1" max="10" man="1"/>
    <brk id="98" min="1" max="10" man="1"/>
    <brk id="111" min="1" max="10" man="1"/>
  </rowBreaks>
  <ignoredErrors>
    <ignoredError sqref="K41 K52" emptyCellReference="1"/>
    <ignoredError sqref="B51:D51 B37:D44 B46:D47 B30:D30 B32:D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Fin Dept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Lyuba</dc:creator>
  <cp:lastModifiedBy>Користувач Windows</cp:lastModifiedBy>
  <cp:lastPrinted>2023-07-25T10:40:34Z</cp:lastPrinted>
  <dcterms:created xsi:type="dcterms:W3CDTF">2010-06-08T08:09:54Z</dcterms:created>
  <dcterms:modified xsi:type="dcterms:W3CDTF">2023-07-25T11:41:54Z</dcterms:modified>
</cp:coreProperties>
</file>