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Проекти рішень\2023 проєкти\Липень\липень 4\"/>
    </mc:Choice>
  </mc:AlternateContent>
  <bookViews>
    <workbookView showSheetTabs="0" xWindow="0" yWindow="0" windowWidth="28800" windowHeight="11430" tabRatio="0"/>
  </bookViews>
  <sheets>
    <sheet name="TDSheet" sheetId="1" r:id="rId1"/>
  </sheets>
  <definedNames>
    <definedName name="_xlnm.Print_Titles" localSheetId="0">TDSheet!$9:$12</definedName>
    <definedName name="_xlnm.Print_Area" localSheetId="0">TDSheet!$A$1:$R$335</definedName>
  </definedNames>
  <calcPr calcId="162913" refMode="R1C1"/>
</workbook>
</file>

<file path=xl/calcChain.xml><?xml version="1.0" encoding="utf-8"?>
<calcChain xmlns="http://schemas.openxmlformats.org/spreadsheetml/2006/main">
  <c r="E310" i="1" l="1"/>
  <c r="P158" i="1" l="1"/>
  <c r="I158" i="1"/>
  <c r="G157" i="1"/>
  <c r="F158" i="1"/>
  <c r="Q158" i="1" s="1"/>
  <c r="R158" i="1" l="1"/>
  <c r="H13" i="1"/>
  <c r="P60" i="1"/>
  <c r="P61" i="1"/>
  <c r="F60" i="1"/>
  <c r="Q60" i="1" s="1"/>
  <c r="F61" i="1"/>
  <c r="Q61" i="1" s="1"/>
  <c r="I61" i="1" l="1"/>
  <c r="I60" i="1"/>
  <c r="R61" i="1"/>
  <c r="R60" i="1"/>
  <c r="G297" i="1"/>
  <c r="P300" i="1"/>
  <c r="F300" i="1"/>
  <c r="Q300" i="1" s="1"/>
  <c r="I300" i="1" l="1"/>
  <c r="R300" i="1"/>
  <c r="G298" i="1"/>
  <c r="G294" i="1" s="1"/>
  <c r="E302" i="1" l="1"/>
  <c r="G310" i="1" l="1"/>
  <c r="F329" i="1"/>
  <c r="Q329" i="1" s="1"/>
  <c r="R329" i="1" s="1"/>
  <c r="F328" i="1"/>
  <c r="I328" i="1" s="1"/>
  <c r="F327" i="1"/>
  <c r="Q327" i="1" s="1"/>
  <c r="R327" i="1" s="1"/>
  <c r="F326" i="1"/>
  <c r="Q326" i="1" s="1"/>
  <c r="R326" i="1" s="1"/>
  <c r="F324" i="1"/>
  <c r="F325" i="1"/>
  <c r="I326" i="1" l="1"/>
  <c r="Q328" i="1"/>
  <c r="R328" i="1" s="1"/>
  <c r="I327" i="1"/>
  <c r="I329" i="1"/>
  <c r="F312" i="1"/>
  <c r="Q312" i="1" s="1"/>
  <c r="R312" i="1" s="1"/>
  <c r="O306" i="1" l="1"/>
  <c r="O307" i="1"/>
  <c r="O308" i="1"/>
  <c r="N304" i="1"/>
  <c r="M304" i="1"/>
  <c r="L304" i="1"/>
  <c r="K309" i="1"/>
  <c r="O309" i="1" s="1"/>
  <c r="F309" i="1"/>
  <c r="G304" i="1"/>
  <c r="N310" i="1"/>
  <c r="F310" i="1"/>
  <c r="P311" i="1"/>
  <c r="F311" i="1"/>
  <c r="I311" i="1" s="1"/>
  <c r="Q311" i="1" l="1"/>
  <c r="F304" i="1"/>
  <c r="G291" i="1"/>
  <c r="R311" i="1"/>
  <c r="G18" i="1"/>
  <c r="F27" i="1"/>
  <c r="I27" i="1" s="1"/>
  <c r="G15" i="1"/>
  <c r="F26" i="1"/>
  <c r="I26" i="1" s="1"/>
  <c r="F25" i="1"/>
  <c r="I25" i="1" s="1"/>
  <c r="G266" i="1" l="1"/>
  <c r="G255" i="1"/>
  <c r="G56" i="1"/>
  <c r="G13" i="1" s="1"/>
  <c r="G53" i="1"/>
  <c r="G44" i="1"/>
  <c r="G35" i="1"/>
  <c r="G23" i="1" l="1"/>
  <c r="Q325" i="1" l="1"/>
  <c r="R325" i="1" s="1"/>
  <c r="I325" i="1"/>
  <c r="I324" i="1"/>
  <c r="F313" i="1"/>
  <c r="I313" i="1" s="1"/>
  <c r="F314" i="1"/>
  <c r="I314" i="1" s="1"/>
  <c r="F315" i="1"/>
  <c r="I315" i="1" s="1"/>
  <c r="F316" i="1"/>
  <c r="I316" i="1" s="1"/>
  <c r="F317" i="1"/>
  <c r="I317" i="1" s="1"/>
  <c r="F318" i="1"/>
  <c r="I318" i="1" s="1"/>
  <c r="F319" i="1"/>
  <c r="I319" i="1" s="1"/>
  <c r="F320" i="1"/>
  <c r="I320" i="1" s="1"/>
  <c r="F321" i="1"/>
  <c r="I321" i="1" s="1"/>
  <c r="F323" i="1"/>
  <c r="I323" i="1" s="1"/>
  <c r="F322" i="1"/>
  <c r="I322" i="1" s="1"/>
  <c r="K295" i="1"/>
  <c r="N294" i="1"/>
  <c r="N291" i="1" s="1"/>
  <c r="Q309" i="1"/>
  <c r="P309" i="1"/>
  <c r="I309" i="1"/>
  <c r="Q305" i="1"/>
  <c r="Q306" i="1"/>
  <c r="Q307" i="1"/>
  <c r="Q308" i="1"/>
  <c r="P305" i="1"/>
  <c r="R305" i="1" s="1"/>
  <c r="P306" i="1"/>
  <c r="R306" i="1" s="1"/>
  <c r="P307" i="1"/>
  <c r="R307" i="1" s="1"/>
  <c r="P308" i="1"/>
  <c r="R308" i="1" s="1"/>
  <c r="I305" i="1"/>
  <c r="I306" i="1"/>
  <c r="I307" i="1"/>
  <c r="I308" i="1"/>
  <c r="E304" i="1"/>
  <c r="P304" i="1" s="1"/>
  <c r="H291" i="1"/>
  <c r="K304" i="1"/>
  <c r="O304" i="1" l="1"/>
  <c r="Q304" i="1"/>
  <c r="R304" i="1" s="1"/>
  <c r="R309" i="1"/>
  <c r="I304" i="1"/>
  <c r="G184" i="1"/>
  <c r="H184" i="1"/>
  <c r="J184" i="1"/>
  <c r="L184" i="1"/>
  <c r="M184" i="1"/>
  <c r="N184" i="1"/>
  <c r="E184" i="1"/>
  <c r="E90" i="1"/>
  <c r="P183" i="1"/>
  <c r="P184" i="1" s="1"/>
  <c r="K183" i="1"/>
  <c r="O183" i="1" s="1"/>
  <c r="O184" i="1" s="1"/>
  <c r="F183" i="1"/>
  <c r="I183" i="1" s="1"/>
  <c r="I184" i="1" s="1"/>
  <c r="G186" i="1"/>
  <c r="G177" i="1"/>
  <c r="G182" i="1"/>
  <c r="G174" i="1" l="1"/>
  <c r="K184" i="1"/>
  <c r="Q183" i="1"/>
  <c r="F184" i="1"/>
  <c r="G154" i="1"/>
  <c r="F173" i="1"/>
  <c r="I173" i="1" s="1"/>
  <c r="F172" i="1"/>
  <c r="F171" i="1"/>
  <c r="I171" i="1" s="1"/>
  <c r="F170" i="1"/>
  <c r="I170" i="1" s="1"/>
  <c r="G169" i="1"/>
  <c r="F169" i="1"/>
  <c r="I169" i="1" s="1"/>
  <c r="F168" i="1"/>
  <c r="I168" i="1" s="1"/>
  <c r="G167" i="1"/>
  <c r="F167" i="1" s="1"/>
  <c r="I167" i="1" s="1"/>
  <c r="G166" i="1"/>
  <c r="F166" i="1"/>
  <c r="I166" i="1" s="1"/>
  <c r="G165" i="1"/>
  <c r="F165" i="1" s="1"/>
  <c r="I165" i="1" s="1"/>
  <c r="F164" i="1"/>
  <c r="I164" i="1" s="1"/>
  <c r="G163" i="1"/>
  <c r="F163" i="1"/>
  <c r="I163" i="1" s="1"/>
  <c r="F162" i="1"/>
  <c r="I162" i="1" s="1"/>
  <c r="H160" i="1"/>
  <c r="F161" i="1"/>
  <c r="I161" i="1" s="1"/>
  <c r="H174" i="1"/>
  <c r="F174" i="1" s="1"/>
  <c r="F175" i="1"/>
  <c r="I175" i="1" s="1"/>
  <c r="R183" i="1" l="1"/>
  <c r="R184" i="1" s="1"/>
  <c r="Q184" i="1"/>
  <c r="G160" i="1"/>
  <c r="F160" i="1" s="1"/>
  <c r="Q132" i="1" l="1"/>
  <c r="P132" i="1"/>
  <c r="P133" i="1"/>
  <c r="Q153" i="1"/>
  <c r="P153" i="1"/>
  <c r="R132" i="1" l="1"/>
  <c r="R153" i="1"/>
  <c r="I153" i="1"/>
  <c r="F152" i="1"/>
  <c r="I152" i="1" s="1"/>
  <c r="F151" i="1"/>
  <c r="I151" i="1" s="1"/>
  <c r="F150" i="1"/>
  <c r="I150" i="1" s="1"/>
  <c r="F149" i="1"/>
  <c r="E149" i="1"/>
  <c r="I149" i="1" s="1"/>
  <c r="F148" i="1"/>
  <c r="I148" i="1" s="1"/>
  <c r="G147" i="1"/>
  <c r="F147" i="1" s="1"/>
  <c r="E147" i="1"/>
  <c r="G146" i="1"/>
  <c r="G144" i="1" s="1"/>
  <c r="E146" i="1"/>
  <c r="F145" i="1"/>
  <c r="I145" i="1" s="1"/>
  <c r="H144" i="1"/>
  <c r="F143" i="1"/>
  <c r="E143" i="1"/>
  <c r="E139" i="1" s="1"/>
  <c r="F142" i="1"/>
  <c r="I142" i="1" s="1"/>
  <c r="F141" i="1"/>
  <c r="I141" i="1" s="1"/>
  <c r="F140" i="1"/>
  <c r="I140" i="1" s="1"/>
  <c r="H139" i="1"/>
  <c r="G139" i="1"/>
  <c r="F139" i="1" s="1"/>
  <c r="G137" i="1"/>
  <c r="F137" i="1" s="1"/>
  <c r="I137" i="1" s="1"/>
  <c r="F136" i="1"/>
  <c r="I136" i="1" s="1"/>
  <c r="F135" i="1"/>
  <c r="I135" i="1" s="1"/>
  <c r="F134" i="1"/>
  <c r="I134" i="1" s="1"/>
  <c r="G133" i="1"/>
  <c r="F133" i="1" s="1"/>
  <c r="I132" i="1"/>
  <c r="G131" i="1"/>
  <c r="F131" i="1" s="1"/>
  <c r="I131" i="1" s="1"/>
  <c r="F130" i="1"/>
  <c r="I130" i="1" s="1"/>
  <c r="F129" i="1"/>
  <c r="I129" i="1" s="1"/>
  <c r="F128" i="1"/>
  <c r="I128" i="1" s="1"/>
  <c r="F127" i="1"/>
  <c r="I127" i="1" s="1"/>
  <c r="F126" i="1"/>
  <c r="I126" i="1" s="1"/>
  <c r="F125" i="1"/>
  <c r="I125" i="1" s="1"/>
  <c r="G124" i="1"/>
  <c r="F124" i="1" s="1"/>
  <c r="I124" i="1" s="1"/>
  <c r="F123" i="1"/>
  <c r="I123" i="1" s="1"/>
  <c r="G122" i="1"/>
  <c r="F122" i="1" s="1"/>
  <c r="E122" i="1"/>
  <c r="F146" i="1" l="1"/>
  <c r="F144" i="1" s="1"/>
  <c r="E144" i="1"/>
  <c r="E138" i="1" s="1"/>
  <c r="E119" i="1" s="1"/>
  <c r="Q133" i="1"/>
  <c r="R133" i="1" s="1"/>
  <c r="I133" i="1"/>
  <c r="I122" i="1"/>
  <c r="H138" i="1"/>
  <c r="H119" i="1" s="1"/>
  <c r="I139" i="1"/>
  <c r="G138" i="1"/>
  <c r="I147" i="1"/>
  <c r="I143" i="1"/>
  <c r="I144" i="1" l="1"/>
  <c r="I146" i="1"/>
  <c r="F138" i="1"/>
  <c r="I138" i="1" s="1"/>
  <c r="G119" i="1"/>
  <c r="G84" i="1" l="1"/>
  <c r="G72" i="1"/>
  <c r="G68" i="1"/>
  <c r="G112" i="1" l="1"/>
  <c r="G83" i="1" l="1"/>
  <c r="F83" i="1" s="1"/>
  <c r="F69" i="1"/>
  <c r="I69" i="1" s="1"/>
  <c r="F70" i="1"/>
  <c r="I70" i="1" s="1"/>
  <c r="Q70" i="1" l="1"/>
  <c r="R70" i="1" s="1"/>
  <c r="Q69" i="1"/>
  <c r="R69" i="1" s="1"/>
  <c r="F74" i="1"/>
  <c r="F75" i="1"/>
  <c r="F76" i="1"/>
  <c r="F68" i="1"/>
  <c r="I68" i="1" s="1"/>
  <c r="G82" i="1"/>
  <c r="G77" i="1"/>
  <c r="G71" i="1" s="1"/>
  <c r="G93" i="1"/>
  <c r="P92" i="1"/>
  <c r="G91" i="1"/>
  <c r="G90" i="1" s="1"/>
  <c r="G92" i="1"/>
  <c r="F92" i="1" s="1"/>
  <c r="Q92" i="1" s="1"/>
  <c r="G85" i="1"/>
  <c r="F85" i="1" s="1"/>
  <c r="G78" i="1"/>
  <c r="G73" i="1"/>
  <c r="I85" i="1" l="1"/>
  <c r="Q85" i="1"/>
  <c r="R85" i="1" s="1"/>
  <c r="I75" i="1"/>
  <c r="Q75" i="1"/>
  <c r="R75" i="1" s="1"/>
  <c r="I76" i="1"/>
  <c r="Q76" i="1"/>
  <c r="R76" i="1" s="1"/>
  <c r="I74" i="1"/>
  <c r="Q74" i="1"/>
  <c r="R74" i="1" s="1"/>
  <c r="I92" i="1"/>
  <c r="R92" i="1"/>
  <c r="G101" i="1" l="1"/>
  <c r="F101" i="1" s="1"/>
  <c r="G80" i="1"/>
  <c r="F80" i="1" s="1"/>
  <c r="G105" i="1"/>
  <c r="F105" i="1" s="1"/>
  <c r="G102" i="1"/>
  <c r="F102" i="1" s="1"/>
  <c r="F93" i="1"/>
  <c r="I93" i="1" s="1"/>
  <c r="G95" i="1"/>
  <c r="F95" i="1" s="1"/>
  <c r="F91" i="1"/>
  <c r="F73" i="1"/>
  <c r="F77" i="1"/>
  <c r="F78" i="1"/>
  <c r="F81" i="1"/>
  <c r="F82" i="1"/>
  <c r="F84" i="1"/>
  <c r="I84" i="1" s="1"/>
  <c r="F86" i="1"/>
  <c r="F87" i="1"/>
  <c r="F88" i="1"/>
  <c r="F89" i="1"/>
  <c r="F90" i="1"/>
  <c r="F94" i="1"/>
  <c r="F98" i="1"/>
  <c r="F99" i="1"/>
  <c r="F100" i="1"/>
  <c r="F103" i="1"/>
  <c r="F104" i="1"/>
  <c r="F106" i="1"/>
  <c r="F107" i="1"/>
  <c r="F72" i="1"/>
  <c r="F67" i="1"/>
  <c r="F65" i="1" s="1"/>
  <c r="H65" i="1"/>
  <c r="G65" i="1"/>
  <c r="F71" i="1" l="1"/>
  <c r="G79" i="1"/>
  <c r="F155" i="1"/>
  <c r="F156" i="1"/>
  <c r="F157" i="1"/>
  <c r="F159" i="1"/>
  <c r="F177" i="1"/>
  <c r="F178" i="1"/>
  <c r="F179" i="1"/>
  <c r="F180" i="1"/>
  <c r="F181" i="1"/>
  <c r="F182" i="1"/>
  <c r="F185" i="1"/>
  <c r="F188" i="1"/>
  <c r="F189" i="1"/>
  <c r="F193" i="1"/>
  <c r="F195" i="1"/>
  <c r="F196" i="1"/>
  <c r="F197" i="1"/>
  <c r="F198" i="1"/>
  <c r="F200" i="1"/>
  <c r="F201" i="1"/>
  <c r="F203" i="1"/>
  <c r="F205" i="1"/>
  <c r="F206" i="1"/>
  <c r="F207" i="1"/>
  <c r="F209" i="1"/>
  <c r="F210" i="1"/>
  <c r="F213" i="1"/>
  <c r="F214" i="1"/>
  <c r="F215" i="1"/>
  <c r="F216" i="1"/>
  <c r="F217" i="1"/>
  <c r="F218" i="1"/>
  <c r="F220" i="1"/>
  <c r="F221" i="1"/>
  <c r="F222" i="1"/>
  <c r="F223" i="1"/>
  <c r="F224" i="1"/>
  <c r="F225" i="1"/>
  <c r="F226" i="1"/>
  <c r="F227" i="1"/>
  <c r="F228" i="1"/>
  <c r="F229" i="1"/>
  <c r="F231" i="1"/>
  <c r="F232" i="1"/>
  <c r="F234" i="1"/>
  <c r="F235" i="1"/>
  <c r="F238" i="1"/>
  <c r="F239" i="1"/>
  <c r="F240" i="1"/>
  <c r="F241" i="1"/>
  <c r="F243" i="1"/>
  <c r="F244" i="1"/>
  <c r="F246" i="1"/>
  <c r="F247" i="1"/>
  <c r="F248" i="1"/>
  <c r="F249" i="1"/>
  <c r="F251" i="1"/>
  <c r="F252" i="1"/>
  <c r="F253" i="1"/>
  <c r="F254" i="1"/>
  <c r="F255" i="1"/>
  <c r="F256" i="1"/>
  <c r="F257" i="1"/>
  <c r="F258" i="1"/>
  <c r="F259" i="1"/>
  <c r="F260" i="1"/>
  <c r="F261" i="1"/>
  <c r="F263" i="1"/>
  <c r="F264" i="1"/>
  <c r="F265" i="1"/>
  <c r="F266" i="1"/>
  <c r="F267" i="1"/>
  <c r="F268" i="1"/>
  <c r="F269" i="1"/>
  <c r="F270" i="1"/>
  <c r="F271" i="1"/>
  <c r="F272" i="1"/>
  <c r="F274" i="1"/>
  <c r="F275" i="1"/>
  <c r="F276" i="1"/>
  <c r="F278" i="1"/>
  <c r="F279" i="1"/>
  <c r="F280" i="1"/>
  <c r="F281" i="1"/>
  <c r="F282" i="1"/>
  <c r="F283" i="1"/>
  <c r="F284" i="1"/>
  <c r="F285" i="1"/>
  <c r="F121" i="1"/>
  <c r="F119" i="1" s="1"/>
  <c r="F79" i="1" l="1"/>
  <c r="K324" i="1"/>
  <c r="Q324" i="1" s="1"/>
  <c r="K323" i="1"/>
  <c r="O323" i="1" s="1"/>
  <c r="K322" i="1"/>
  <c r="O322" i="1" s="1"/>
  <c r="K321" i="1"/>
  <c r="Q321" i="1" s="1"/>
  <c r="K320" i="1"/>
  <c r="O320" i="1" s="1"/>
  <c r="K319" i="1"/>
  <c r="Q319" i="1" s="1"/>
  <c r="K318" i="1"/>
  <c r="Q318" i="1" s="1"/>
  <c r="K317" i="1"/>
  <c r="O317" i="1" s="1"/>
  <c r="K316" i="1"/>
  <c r="Q316" i="1" s="1"/>
  <c r="K315" i="1"/>
  <c r="O315" i="1" s="1"/>
  <c r="K314" i="1"/>
  <c r="O314" i="1" s="1"/>
  <c r="K313" i="1"/>
  <c r="Q313" i="1" s="1"/>
  <c r="K303" i="1"/>
  <c r="O303" i="1" s="1"/>
  <c r="K302" i="1"/>
  <c r="O302" i="1" s="1"/>
  <c r="K301" i="1"/>
  <c r="O301" i="1" s="1"/>
  <c r="M230" i="1"/>
  <c r="L230" i="1"/>
  <c r="J230" i="1"/>
  <c r="P313" i="1"/>
  <c r="P314" i="1"/>
  <c r="P315" i="1"/>
  <c r="P316" i="1"/>
  <c r="P317" i="1"/>
  <c r="P318" i="1"/>
  <c r="P319" i="1"/>
  <c r="P320" i="1"/>
  <c r="P321" i="1"/>
  <c r="P322" i="1"/>
  <c r="P323" i="1"/>
  <c r="P324" i="1"/>
  <c r="L310" i="1"/>
  <c r="M310" i="1"/>
  <c r="J310" i="1"/>
  <c r="J291" i="1" s="1"/>
  <c r="M294" i="1"/>
  <c r="M291" i="1" s="1"/>
  <c r="L294" i="1"/>
  <c r="N290" i="1"/>
  <c r="K290" i="1" s="1"/>
  <c r="O290" i="1" s="1"/>
  <c r="L277" i="1"/>
  <c r="J277" i="1"/>
  <c r="M287" i="1"/>
  <c r="K287" i="1" s="1"/>
  <c r="O287" i="1" s="1"/>
  <c r="N286" i="1"/>
  <c r="K286" i="1" s="1"/>
  <c r="O286" i="1" s="1"/>
  <c r="P286" i="1"/>
  <c r="F286" i="1"/>
  <c r="N275" i="1"/>
  <c r="K275" i="1" s="1"/>
  <c r="O275" i="1" s="1"/>
  <c r="M255" i="1"/>
  <c r="L255" i="1"/>
  <c r="E255" i="1"/>
  <c r="N260" i="1"/>
  <c r="N255" i="1" s="1"/>
  <c r="M233" i="1"/>
  <c r="L233" i="1"/>
  <c r="J233" i="1"/>
  <c r="P241" i="1"/>
  <c r="K241" i="1"/>
  <c r="Q241" i="1" s="1"/>
  <c r="I241" i="1"/>
  <c r="N239" i="1"/>
  <c r="K239" i="1" s="1"/>
  <c r="O239" i="1" s="1"/>
  <c r="N238" i="1"/>
  <c r="K238" i="1" s="1"/>
  <c r="Q238" i="1" s="1"/>
  <c r="P239" i="1"/>
  <c r="P238" i="1"/>
  <c r="N237" i="1"/>
  <c r="K237" i="1" s="1"/>
  <c r="O237" i="1" s="1"/>
  <c r="N235" i="1"/>
  <c r="K235" i="1" s="1"/>
  <c r="O235" i="1" s="1"/>
  <c r="N232" i="1"/>
  <c r="K232" i="1" s="1"/>
  <c r="O232" i="1" s="1"/>
  <c r="M219" i="1"/>
  <c r="L219" i="1"/>
  <c r="J219" i="1"/>
  <c r="N226" i="1"/>
  <c r="K226" i="1" s="1"/>
  <c r="Q226" i="1" s="1"/>
  <c r="P226" i="1"/>
  <c r="N218" i="1"/>
  <c r="K218" i="1" s="1"/>
  <c r="O218" i="1" s="1"/>
  <c r="N217" i="1"/>
  <c r="K217" i="1" s="1"/>
  <c r="Q217" i="1" s="1"/>
  <c r="P217" i="1"/>
  <c r="N216" i="1"/>
  <c r="K216" i="1" s="1"/>
  <c r="O216" i="1" s="1"/>
  <c r="N215" i="1"/>
  <c r="K215" i="1" s="1"/>
  <c r="N214" i="1"/>
  <c r="K214" i="1" s="1"/>
  <c r="O214" i="1" s="1"/>
  <c r="P215" i="1"/>
  <c r="P214" i="1"/>
  <c r="I214" i="1"/>
  <c r="N213" i="1"/>
  <c r="K213" i="1" s="1"/>
  <c r="O213" i="1" s="1"/>
  <c r="L199" i="1"/>
  <c r="J199" i="1"/>
  <c r="M207" i="1"/>
  <c r="K207" i="1" s="1"/>
  <c r="Q207" i="1" s="1"/>
  <c r="P207" i="1"/>
  <c r="I207" i="1"/>
  <c r="N206" i="1"/>
  <c r="K206" i="1" s="1"/>
  <c r="O206" i="1" s="1"/>
  <c r="N205" i="1"/>
  <c r="P205" i="1"/>
  <c r="M197" i="1"/>
  <c r="M187" i="1" s="1"/>
  <c r="P197" i="1"/>
  <c r="I197" i="1"/>
  <c r="N196" i="1"/>
  <c r="K196" i="1" s="1"/>
  <c r="O196" i="1" s="1"/>
  <c r="N195" i="1"/>
  <c r="K195" i="1" s="1"/>
  <c r="J187" i="1"/>
  <c r="I195" i="1"/>
  <c r="N182" i="1"/>
  <c r="N173" i="1"/>
  <c r="K173" i="1" s="1"/>
  <c r="O173" i="1" s="1"/>
  <c r="N172" i="1"/>
  <c r="K172" i="1" s="1"/>
  <c r="Q172" i="1" s="1"/>
  <c r="P172" i="1"/>
  <c r="N166" i="1"/>
  <c r="K166" i="1" s="1"/>
  <c r="O166" i="1" s="1"/>
  <c r="N163" i="1"/>
  <c r="K163" i="1" s="1"/>
  <c r="O163" i="1" s="1"/>
  <c r="N156" i="1"/>
  <c r="K156" i="1" s="1"/>
  <c r="O156" i="1" s="1"/>
  <c r="M152" i="1"/>
  <c r="K152" i="1" s="1"/>
  <c r="O152" i="1" s="1"/>
  <c r="M118" i="1"/>
  <c r="K118" i="1" s="1"/>
  <c r="O118" i="1" s="1"/>
  <c r="N117" i="1"/>
  <c r="K117" i="1" s="1"/>
  <c r="Q117" i="1" s="1"/>
  <c r="P117" i="1"/>
  <c r="N112" i="1"/>
  <c r="K112" i="1" s="1"/>
  <c r="O112" i="1" s="1"/>
  <c r="N111" i="1"/>
  <c r="K111" i="1" s="1"/>
  <c r="O111" i="1" s="1"/>
  <c r="J62" i="1"/>
  <c r="M107" i="1"/>
  <c r="K107" i="1" s="1"/>
  <c r="O107" i="1" s="1"/>
  <c r="N106" i="1"/>
  <c r="K106" i="1" s="1"/>
  <c r="Q106" i="1" s="1"/>
  <c r="N105" i="1"/>
  <c r="K105" i="1" s="1"/>
  <c r="O105" i="1" s="1"/>
  <c r="P104" i="1"/>
  <c r="N104" i="1"/>
  <c r="K104" i="1" s="1"/>
  <c r="Q104" i="1" s="1"/>
  <c r="I104" i="1"/>
  <c r="N101" i="1"/>
  <c r="K101" i="1" s="1"/>
  <c r="P101" i="1"/>
  <c r="I101" i="1"/>
  <c r="N82" i="1"/>
  <c r="K82" i="1" s="1"/>
  <c r="O82" i="1" s="1"/>
  <c r="N72" i="1"/>
  <c r="K72" i="1" s="1"/>
  <c r="O72" i="1" s="1"/>
  <c r="N68" i="1"/>
  <c r="K68" i="1" s="1"/>
  <c r="O68" i="1" s="1"/>
  <c r="N58" i="1"/>
  <c r="K58" i="1" s="1"/>
  <c r="O58" i="1" s="1"/>
  <c r="N56" i="1"/>
  <c r="N37" i="1"/>
  <c r="K37" i="1" s="1"/>
  <c r="O37" i="1" s="1"/>
  <c r="N35" i="1"/>
  <c r="K35" i="1" s="1"/>
  <c r="O35" i="1" s="1"/>
  <c r="R14" i="1"/>
  <c r="J13" i="1"/>
  <c r="N33" i="1"/>
  <c r="K33" i="1" s="1"/>
  <c r="Q33" i="1" s="1"/>
  <c r="P33" i="1"/>
  <c r="N32" i="1"/>
  <c r="K32" i="1" s="1"/>
  <c r="Q32" i="1" s="1"/>
  <c r="P32" i="1"/>
  <c r="N15" i="1"/>
  <c r="K15" i="1" s="1"/>
  <c r="G237" i="1"/>
  <c r="F237" i="1" s="1"/>
  <c r="G236" i="1"/>
  <c r="F236" i="1" s="1"/>
  <c r="G212" i="1"/>
  <c r="F212" i="1" s="1"/>
  <c r="G211" i="1"/>
  <c r="F211" i="1" s="1"/>
  <c r="G204" i="1"/>
  <c r="F204" i="1" s="1"/>
  <c r="G202" i="1"/>
  <c r="F202" i="1" s="1"/>
  <c r="G194" i="1"/>
  <c r="F194" i="1" s="1"/>
  <c r="G192" i="1"/>
  <c r="F192" i="1" s="1"/>
  <c r="G191" i="1"/>
  <c r="F191" i="1" s="1"/>
  <c r="G190" i="1"/>
  <c r="F190" i="1" s="1"/>
  <c r="J288" i="1"/>
  <c r="J262" i="1"/>
  <c r="J250" i="1"/>
  <c r="J242" i="1"/>
  <c r="J208" i="1"/>
  <c r="L187" i="1"/>
  <c r="J174" i="1"/>
  <c r="J160" i="1"/>
  <c r="J154" i="1"/>
  <c r="J119" i="1"/>
  <c r="K299" i="1"/>
  <c r="O299" i="1" s="1"/>
  <c r="K298" i="1"/>
  <c r="O298" i="1" s="1"/>
  <c r="K297" i="1"/>
  <c r="O297" i="1" s="1"/>
  <c r="K296" i="1"/>
  <c r="O296" i="1" s="1"/>
  <c r="O295" i="1"/>
  <c r="K293" i="1"/>
  <c r="K292" i="1"/>
  <c r="O292" i="1" s="1"/>
  <c r="K289" i="1"/>
  <c r="O289" i="1" s="1"/>
  <c r="K285" i="1"/>
  <c r="O285" i="1" s="1"/>
  <c r="K284" i="1"/>
  <c r="O284" i="1" s="1"/>
  <c r="K283" i="1"/>
  <c r="O283" i="1" s="1"/>
  <c r="K282" i="1"/>
  <c r="O282" i="1" s="1"/>
  <c r="K281" i="1"/>
  <c r="O281" i="1" s="1"/>
  <c r="K280" i="1"/>
  <c r="O280" i="1" s="1"/>
  <c r="K279" i="1"/>
  <c r="O279" i="1" s="1"/>
  <c r="K278" i="1"/>
  <c r="O278" i="1" s="1"/>
  <c r="K276" i="1"/>
  <c r="O276" i="1" s="1"/>
  <c r="K274" i="1"/>
  <c r="O274" i="1" s="1"/>
  <c r="K272" i="1"/>
  <c r="O272" i="1" s="1"/>
  <c r="K271" i="1"/>
  <c r="O271" i="1" s="1"/>
  <c r="K270" i="1"/>
  <c r="O270" i="1" s="1"/>
  <c r="K269" i="1"/>
  <c r="O269" i="1" s="1"/>
  <c r="K268" i="1"/>
  <c r="O268" i="1" s="1"/>
  <c r="K267" i="1"/>
  <c r="O267" i="1" s="1"/>
  <c r="K266" i="1"/>
  <c r="O266" i="1" s="1"/>
  <c r="K265" i="1"/>
  <c r="O265" i="1" s="1"/>
  <c r="K264" i="1"/>
  <c r="O264" i="1" s="1"/>
  <c r="K263" i="1"/>
  <c r="O263" i="1" s="1"/>
  <c r="K261" i="1"/>
  <c r="K259" i="1"/>
  <c r="O259" i="1" s="1"/>
  <c r="K258" i="1"/>
  <c r="O258" i="1" s="1"/>
  <c r="K257" i="1"/>
  <c r="O257" i="1" s="1"/>
  <c r="K256" i="1"/>
  <c r="O256" i="1" s="1"/>
  <c r="K254" i="1"/>
  <c r="O254" i="1" s="1"/>
  <c r="K253" i="1"/>
  <c r="O253" i="1" s="1"/>
  <c r="K252" i="1"/>
  <c r="O252" i="1" s="1"/>
  <c r="K251" i="1"/>
  <c r="O251" i="1" s="1"/>
  <c r="K249" i="1"/>
  <c r="O249" i="1" s="1"/>
  <c r="K248" i="1"/>
  <c r="O248" i="1" s="1"/>
  <c r="K247" i="1"/>
  <c r="O247" i="1" s="1"/>
  <c r="K246" i="1"/>
  <c r="O246" i="1" s="1"/>
  <c r="K244" i="1"/>
  <c r="K243" i="1"/>
  <c r="O243" i="1" s="1"/>
  <c r="K240" i="1"/>
  <c r="O240" i="1" s="1"/>
  <c r="K236" i="1"/>
  <c r="O236" i="1" s="1"/>
  <c r="K234" i="1"/>
  <c r="O234" i="1" s="1"/>
  <c r="K231" i="1"/>
  <c r="O231" i="1" s="1"/>
  <c r="K229" i="1"/>
  <c r="O229" i="1" s="1"/>
  <c r="K228" i="1"/>
  <c r="O228" i="1" s="1"/>
  <c r="K227" i="1"/>
  <c r="O227" i="1" s="1"/>
  <c r="K225" i="1"/>
  <c r="O225" i="1" s="1"/>
  <c r="K224" i="1"/>
  <c r="O224" i="1" s="1"/>
  <c r="K223" i="1"/>
  <c r="O223" i="1" s="1"/>
  <c r="K222" i="1"/>
  <c r="O222" i="1" s="1"/>
  <c r="K221" i="1"/>
  <c r="O221" i="1" s="1"/>
  <c r="K220" i="1"/>
  <c r="O220" i="1" s="1"/>
  <c r="K212" i="1"/>
  <c r="O212" i="1" s="1"/>
  <c r="K211" i="1"/>
  <c r="O211" i="1" s="1"/>
  <c r="K210" i="1"/>
  <c r="O210" i="1" s="1"/>
  <c r="K209" i="1"/>
  <c r="O209" i="1" s="1"/>
  <c r="K204" i="1"/>
  <c r="O204" i="1" s="1"/>
  <c r="K203" i="1"/>
  <c r="O203" i="1" s="1"/>
  <c r="K202" i="1"/>
  <c r="O202" i="1" s="1"/>
  <c r="K201" i="1"/>
  <c r="O201" i="1" s="1"/>
  <c r="K200" i="1"/>
  <c r="O200" i="1" s="1"/>
  <c r="K198" i="1"/>
  <c r="O198" i="1" s="1"/>
  <c r="K194" i="1"/>
  <c r="O194" i="1" s="1"/>
  <c r="K193" i="1"/>
  <c r="O193" i="1" s="1"/>
  <c r="K192" i="1"/>
  <c r="O192" i="1" s="1"/>
  <c r="K191" i="1"/>
  <c r="O191" i="1" s="1"/>
  <c r="K190" i="1"/>
  <c r="O190" i="1" s="1"/>
  <c r="K189" i="1"/>
  <c r="O189" i="1" s="1"/>
  <c r="K186" i="1"/>
  <c r="O186" i="1" s="1"/>
  <c r="K185" i="1"/>
  <c r="O185" i="1" s="1"/>
  <c r="K181" i="1"/>
  <c r="O181" i="1" s="1"/>
  <c r="K180" i="1"/>
  <c r="O180" i="1" s="1"/>
  <c r="K179" i="1"/>
  <c r="O179" i="1" s="1"/>
  <c r="K178" i="1"/>
  <c r="O178" i="1" s="1"/>
  <c r="K177" i="1"/>
  <c r="O177" i="1" s="1"/>
  <c r="K176" i="1"/>
  <c r="O176" i="1" s="1"/>
  <c r="K175" i="1"/>
  <c r="K171" i="1"/>
  <c r="O171" i="1" s="1"/>
  <c r="K170" i="1"/>
  <c r="O170" i="1" s="1"/>
  <c r="K169" i="1"/>
  <c r="O169" i="1" s="1"/>
  <c r="K168" i="1"/>
  <c r="O168" i="1" s="1"/>
  <c r="K167" i="1"/>
  <c r="O167" i="1" s="1"/>
  <c r="K165" i="1"/>
  <c r="O165" i="1" s="1"/>
  <c r="K164" i="1"/>
  <c r="O164" i="1" s="1"/>
  <c r="K162" i="1"/>
  <c r="O162" i="1" s="1"/>
  <c r="K161" i="1"/>
  <c r="O161" i="1" s="1"/>
  <c r="K159" i="1"/>
  <c r="O159" i="1" s="1"/>
  <c r="K157" i="1"/>
  <c r="O157" i="1" s="1"/>
  <c r="K155" i="1"/>
  <c r="O155" i="1" s="1"/>
  <c r="K151" i="1"/>
  <c r="O151" i="1" s="1"/>
  <c r="K150" i="1"/>
  <c r="O150" i="1" s="1"/>
  <c r="K149" i="1"/>
  <c r="O149" i="1" s="1"/>
  <c r="K148" i="1"/>
  <c r="O148" i="1" s="1"/>
  <c r="K147" i="1"/>
  <c r="O147" i="1" s="1"/>
  <c r="K146" i="1"/>
  <c r="O146" i="1" s="1"/>
  <c r="K145" i="1"/>
  <c r="O145" i="1" s="1"/>
  <c r="K144" i="1"/>
  <c r="O144" i="1" s="1"/>
  <c r="K143" i="1"/>
  <c r="O143" i="1" s="1"/>
  <c r="K142" i="1"/>
  <c r="O142" i="1" s="1"/>
  <c r="K141" i="1"/>
  <c r="O141" i="1" s="1"/>
  <c r="K140" i="1"/>
  <c r="O140" i="1" s="1"/>
  <c r="K139" i="1"/>
  <c r="O139" i="1" s="1"/>
  <c r="K138" i="1"/>
  <c r="O138" i="1" s="1"/>
  <c r="K137" i="1"/>
  <c r="O137" i="1" s="1"/>
  <c r="K136" i="1"/>
  <c r="O136" i="1" s="1"/>
  <c r="K135" i="1"/>
  <c r="O135" i="1" s="1"/>
  <c r="K134" i="1"/>
  <c r="O134" i="1" s="1"/>
  <c r="K131" i="1"/>
  <c r="O131" i="1" s="1"/>
  <c r="K130" i="1"/>
  <c r="O130" i="1" s="1"/>
  <c r="K129" i="1"/>
  <c r="O129" i="1" s="1"/>
  <c r="K128" i="1"/>
  <c r="O128" i="1" s="1"/>
  <c r="K127" i="1"/>
  <c r="O127" i="1" s="1"/>
  <c r="K126" i="1"/>
  <c r="O126" i="1" s="1"/>
  <c r="K125" i="1"/>
  <c r="O125" i="1" s="1"/>
  <c r="K124" i="1"/>
  <c r="O124" i="1" s="1"/>
  <c r="K123" i="1"/>
  <c r="O123" i="1" s="1"/>
  <c r="K122" i="1"/>
  <c r="K121" i="1"/>
  <c r="O121" i="1" s="1"/>
  <c r="K120" i="1"/>
  <c r="O120" i="1" s="1"/>
  <c r="K116" i="1"/>
  <c r="O116" i="1" s="1"/>
  <c r="K115" i="1"/>
  <c r="O115" i="1" s="1"/>
  <c r="K114" i="1"/>
  <c r="O114" i="1" s="1"/>
  <c r="K113" i="1"/>
  <c r="O113" i="1" s="1"/>
  <c r="K110" i="1"/>
  <c r="O110" i="1" s="1"/>
  <c r="O261" i="1"/>
  <c r="L108" i="1"/>
  <c r="J108" i="1"/>
  <c r="K103" i="1"/>
  <c r="O103" i="1" s="1"/>
  <c r="K102" i="1"/>
  <c r="O102" i="1" s="1"/>
  <c r="K100" i="1"/>
  <c r="O100" i="1" s="1"/>
  <c r="K99" i="1"/>
  <c r="O99" i="1" s="1"/>
  <c r="K98" i="1"/>
  <c r="O98" i="1" s="1"/>
  <c r="K97" i="1"/>
  <c r="O97" i="1" s="1"/>
  <c r="K96" i="1"/>
  <c r="O96" i="1" s="1"/>
  <c r="K95" i="1"/>
  <c r="O95" i="1" s="1"/>
  <c r="K94" i="1"/>
  <c r="O94" i="1" s="1"/>
  <c r="K93" i="1"/>
  <c r="O93" i="1" s="1"/>
  <c r="K91" i="1"/>
  <c r="O91" i="1" s="1"/>
  <c r="K89" i="1"/>
  <c r="O89" i="1" s="1"/>
  <c r="K88" i="1"/>
  <c r="O88" i="1" s="1"/>
  <c r="K87" i="1"/>
  <c r="O87" i="1" s="1"/>
  <c r="K86" i="1"/>
  <c r="O86" i="1" s="1"/>
  <c r="K84" i="1"/>
  <c r="K81" i="1"/>
  <c r="O81" i="1" s="1"/>
  <c r="K80" i="1"/>
  <c r="O80" i="1" s="1"/>
  <c r="K79" i="1"/>
  <c r="O79" i="1" s="1"/>
  <c r="K78" i="1"/>
  <c r="O78" i="1" s="1"/>
  <c r="K77" i="1"/>
  <c r="O77" i="1" s="1"/>
  <c r="K73" i="1"/>
  <c r="O73" i="1" s="1"/>
  <c r="K67" i="1"/>
  <c r="O67" i="1" s="1"/>
  <c r="K66" i="1"/>
  <c r="O66" i="1" s="1"/>
  <c r="K65" i="1"/>
  <c r="O65" i="1" s="1"/>
  <c r="K64" i="1"/>
  <c r="O64" i="1" s="1"/>
  <c r="O63" i="1"/>
  <c r="F18" i="1"/>
  <c r="K16" i="1"/>
  <c r="O16" i="1" s="1"/>
  <c r="K17" i="1"/>
  <c r="O17" i="1" s="1"/>
  <c r="K19" i="1"/>
  <c r="O19" i="1" s="1"/>
  <c r="K20" i="1"/>
  <c r="O20" i="1" s="1"/>
  <c r="K21" i="1"/>
  <c r="O21" i="1" s="1"/>
  <c r="K22" i="1"/>
  <c r="O22" i="1" s="1"/>
  <c r="K23" i="1"/>
  <c r="O23" i="1" s="1"/>
  <c r="K24" i="1"/>
  <c r="O24" i="1" s="1"/>
  <c r="K28" i="1"/>
  <c r="O28" i="1" s="1"/>
  <c r="K29" i="1"/>
  <c r="O29" i="1" s="1"/>
  <c r="K30" i="1"/>
  <c r="O30" i="1" s="1"/>
  <c r="K31" i="1"/>
  <c r="O31" i="1" s="1"/>
  <c r="K34" i="1"/>
  <c r="O34" i="1" s="1"/>
  <c r="K36" i="1"/>
  <c r="O36" i="1" s="1"/>
  <c r="K38" i="1"/>
  <c r="O38" i="1" s="1"/>
  <c r="K39" i="1"/>
  <c r="O39" i="1" s="1"/>
  <c r="K40" i="1"/>
  <c r="O40" i="1" s="1"/>
  <c r="K41" i="1"/>
  <c r="O41" i="1" s="1"/>
  <c r="K42" i="1"/>
  <c r="O42" i="1" s="1"/>
  <c r="K43" i="1"/>
  <c r="O43" i="1" s="1"/>
  <c r="K44" i="1"/>
  <c r="O44" i="1" s="1"/>
  <c r="K45" i="1"/>
  <c r="O45" i="1" s="1"/>
  <c r="K46" i="1"/>
  <c r="O46" i="1" s="1"/>
  <c r="K47" i="1"/>
  <c r="O47" i="1" s="1"/>
  <c r="K48" i="1"/>
  <c r="O48" i="1" s="1"/>
  <c r="K49" i="1"/>
  <c r="O49" i="1" s="1"/>
  <c r="K50" i="1"/>
  <c r="O50" i="1" s="1"/>
  <c r="K51" i="1"/>
  <c r="O51" i="1" s="1"/>
  <c r="K52" i="1"/>
  <c r="O52" i="1" s="1"/>
  <c r="K53" i="1"/>
  <c r="O53" i="1" s="1"/>
  <c r="K54" i="1"/>
  <c r="O54" i="1" s="1"/>
  <c r="K55" i="1"/>
  <c r="O55" i="1" s="1"/>
  <c r="K57" i="1"/>
  <c r="O57" i="1" s="1"/>
  <c r="K59" i="1"/>
  <c r="O59" i="1" s="1"/>
  <c r="L291" i="1" l="1"/>
  <c r="O293" i="1"/>
  <c r="P310" i="1"/>
  <c r="I310" i="1"/>
  <c r="K182" i="1"/>
  <c r="O182" i="1" s="1"/>
  <c r="N174" i="1"/>
  <c r="O230" i="1"/>
  <c r="K294" i="1"/>
  <c r="O294" i="1" s="1"/>
  <c r="O175" i="1"/>
  <c r="O174" i="1" s="1"/>
  <c r="Q315" i="1"/>
  <c r="R315" i="1" s="1"/>
  <c r="Q323" i="1"/>
  <c r="R323" i="1" s="1"/>
  <c r="R318" i="1"/>
  <c r="O319" i="1"/>
  <c r="Q317" i="1"/>
  <c r="R317" i="1" s="1"/>
  <c r="K260" i="1"/>
  <c r="O260" i="1" s="1"/>
  <c r="O255" i="1" s="1"/>
  <c r="K310" i="1"/>
  <c r="Q320" i="1"/>
  <c r="R320" i="1" s="1"/>
  <c r="J330" i="1"/>
  <c r="O324" i="1"/>
  <c r="N277" i="1"/>
  <c r="Q322" i="1"/>
  <c r="R322" i="1" s="1"/>
  <c r="R313" i="1"/>
  <c r="R321" i="1"/>
  <c r="O316" i="1"/>
  <c r="N230" i="1"/>
  <c r="Q314" i="1"/>
  <c r="R314" i="1" s="1"/>
  <c r="K230" i="1"/>
  <c r="O318" i="1"/>
  <c r="O321" i="1"/>
  <c r="O313" i="1"/>
  <c r="R324" i="1"/>
  <c r="R319" i="1"/>
  <c r="R316" i="1"/>
  <c r="N199" i="1"/>
  <c r="Q239" i="1"/>
  <c r="R239" i="1" s="1"/>
  <c r="O241" i="1"/>
  <c r="M277" i="1"/>
  <c r="K273" i="1"/>
  <c r="O277" i="1"/>
  <c r="K277" i="1"/>
  <c r="N219" i="1"/>
  <c r="K219" i="1"/>
  <c r="N233" i="1"/>
  <c r="K205" i="1"/>
  <c r="K199" i="1" s="1"/>
  <c r="K233" i="1"/>
  <c r="Q286" i="1"/>
  <c r="R286" i="1" s="1"/>
  <c r="I286" i="1"/>
  <c r="R241" i="1"/>
  <c r="R238" i="1"/>
  <c r="O238" i="1"/>
  <c r="I239" i="1"/>
  <c r="R226" i="1"/>
  <c r="O226" i="1"/>
  <c r="O219" i="1" s="1"/>
  <c r="O217" i="1"/>
  <c r="R217" i="1"/>
  <c r="K83" i="1"/>
  <c r="O83" i="1" s="1"/>
  <c r="O104" i="1"/>
  <c r="M199" i="1"/>
  <c r="O84" i="1"/>
  <c r="Q215" i="1"/>
  <c r="R215" i="1" s="1"/>
  <c r="O215" i="1"/>
  <c r="Q214" i="1"/>
  <c r="R214" i="1" s="1"/>
  <c r="R207" i="1"/>
  <c r="O207" i="1"/>
  <c r="K197" i="1"/>
  <c r="Q197" i="1" s="1"/>
  <c r="R197" i="1" s="1"/>
  <c r="Q195" i="1"/>
  <c r="O195" i="1"/>
  <c r="N187" i="1"/>
  <c r="P195" i="1"/>
  <c r="R172" i="1"/>
  <c r="O172" i="1"/>
  <c r="R117" i="1"/>
  <c r="O117" i="1"/>
  <c r="O108" i="1" s="1"/>
  <c r="O106" i="1"/>
  <c r="P106" i="1"/>
  <c r="R106" i="1" s="1"/>
  <c r="R104" i="1"/>
  <c r="Q101" i="1"/>
  <c r="R101" i="1" s="1"/>
  <c r="O101" i="1"/>
  <c r="R32" i="1"/>
  <c r="R33" i="1"/>
  <c r="K119" i="1"/>
  <c r="O33" i="1"/>
  <c r="O244" i="1"/>
  <c r="O122" i="1"/>
  <c r="O32" i="1"/>
  <c r="K108" i="1"/>
  <c r="O15" i="1"/>
  <c r="G97" i="1"/>
  <c r="F297" i="1"/>
  <c r="Q297" i="1" s="1"/>
  <c r="K291" i="1" l="1"/>
  <c r="O310" i="1"/>
  <c r="O291" i="1" s="1"/>
  <c r="Q310" i="1"/>
  <c r="R310" i="1" s="1"/>
  <c r="K174" i="1"/>
  <c r="Q174" i="1" s="1"/>
  <c r="O233" i="1"/>
  <c r="K255" i="1"/>
  <c r="K250" i="1" s="1"/>
  <c r="F186" i="1"/>
  <c r="O205" i="1"/>
  <c r="O199" i="1" s="1"/>
  <c r="G96" i="1"/>
  <c r="F97" i="1"/>
  <c r="Q205" i="1"/>
  <c r="R205" i="1" s="1"/>
  <c r="K187" i="1"/>
  <c r="O197" i="1"/>
  <c r="O187" i="1" s="1"/>
  <c r="R195" i="1"/>
  <c r="F96" i="1" l="1"/>
  <c r="G62" i="1"/>
  <c r="I189" i="1"/>
  <c r="I201" i="1"/>
  <c r="I202" i="1"/>
  <c r="Q203" i="1"/>
  <c r="R203" i="1" s="1"/>
  <c r="Q204" i="1"/>
  <c r="I210" i="1"/>
  <c r="I211" i="1"/>
  <c r="Q212" i="1"/>
  <c r="I224" i="1"/>
  <c r="I225" i="1"/>
  <c r="I227" i="1"/>
  <c r="Q228" i="1"/>
  <c r="I232" i="1"/>
  <c r="I236" i="1"/>
  <c r="I235" i="1"/>
  <c r="I244" i="1"/>
  <c r="I248" i="1"/>
  <c r="I249" i="1"/>
  <c r="I258" i="1"/>
  <c r="I259" i="1"/>
  <c r="I260" i="1"/>
  <c r="I261" i="1"/>
  <c r="Q257" i="1"/>
  <c r="I254" i="1"/>
  <c r="Q252" i="1"/>
  <c r="I264" i="1"/>
  <c r="I265" i="1"/>
  <c r="I268" i="1"/>
  <c r="I267" i="1"/>
  <c r="Q270" i="1"/>
  <c r="I271" i="1"/>
  <c r="I275" i="1"/>
  <c r="I276" i="1"/>
  <c r="I280" i="1"/>
  <c r="I281" i="1"/>
  <c r="I282" i="1"/>
  <c r="I283" i="1"/>
  <c r="Q284" i="1"/>
  <c r="R284" i="1" s="1"/>
  <c r="Q285" i="1"/>
  <c r="R285" i="1" s="1"/>
  <c r="F287" i="1"/>
  <c r="Q287" i="1" s="1"/>
  <c r="I279" i="1"/>
  <c r="F290" i="1"/>
  <c r="I290" i="1" s="1"/>
  <c r="F292" i="1"/>
  <c r="I292" i="1" s="1"/>
  <c r="F293" i="1"/>
  <c r="F294" i="1"/>
  <c r="F295" i="1"/>
  <c r="Q295" i="1" s="1"/>
  <c r="F296" i="1"/>
  <c r="I296" i="1" s="1"/>
  <c r="F298" i="1"/>
  <c r="F299" i="1"/>
  <c r="I299" i="1" s="1"/>
  <c r="F301" i="1"/>
  <c r="I301" i="1" s="1"/>
  <c r="F302" i="1"/>
  <c r="I302" i="1" s="1"/>
  <c r="F303" i="1"/>
  <c r="I303" i="1" s="1"/>
  <c r="I63" i="1"/>
  <c r="I66" i="1"/>
  <c r="I67" i="1"/>
  <c r="I73" i="1"/>
  <c r="I77" i="1"/>
  <c r="I78" i="1"/>
  <c r="I80" i="1"/>
  <c r="I81" i="1"/>
  <c r="I82" i="1"/>
  <c r="I86" i="1"/>
  <c r="I87" i="1"/>
  <c r="I88" i="1"/>
  <c r="I89" i="1"/>
  <c r="I91" i="1"/>
  <c r="I94" i="1"/>
  <c r="I95" i="1"/>
  <c r="I97" i="1"/>
  <c r="I98" i="1"/>
  <c r="I99" i="1"/>
  <c r="I100" i="1"/>
  <c r="I102" i="1"/>
  <c r="I103" i="1"/>
  <c r="I105" i="1"/>
  <c r="I107" i="1"/>
  <c r="I109" i="1"/>
  <c r="I120" i="1"/>
  <c r="I121" i="1"/>
  <c r="I119" i="1" s="1"/>
  <c r="I155" i="1"/>
  <c r="I156" i="1"/>
  <c r="I157" i="1"/>
  <c r="I159" i="1"/>
  <c r="I176" i="1"/>
  <c r="I178" i="1"/>
  <c r="I179" i="1"/>
  <c r="I180" i="1"/>
  <c r="I181" i="1"/>
  <c r="I182" i="1"/>
  <c r="I185" i="1"/>
  <c r="I186" i="1"/>
  <c r="I188" i="1"/>
  <c r="I190" i="1"/>
  <c r="I191" i="1"/>
  <c r="I192" i="1"/>
  <c r="I193" i="1"/>
  <c r="I196" i="1"/>
  <c r="I198" i="1"/>
  <c r="I200" i="1"/>
  <c r="I206" i="1"/>
  <c r="I209" i="1"/>
  <c r="I213" i="1"/>
  <c r="I216" i="1"/>
  <c r="I218" i="1"/>
  <c r="I220" i="1"/>
  <c r="I221" i="1"/>
  <c r="I223" i="1"/>
  <c r="I228" i="1"/>
  <c r="I229" i="1"/>
  <c r="I231" i="1"/>
  <c r="I234" i="1"/>
  <c r="I237" i="1"/>
  <c r="I243" i="1"/>
  <c r="I246" i="1"/>
  <c r="I251" i="1"/>
  <c r="I252" i="1"/>
  <c r="I256" i="1"/>
  <c r="I263" i="1"/>
  <c r="I272" i="1"/>
  <c r="I274" i="1"/>
  <c r="I278" i="1"/>
  <c r="I289" i="1"/>
  <c r="F111" i="1"/>
  <c r="I111" i="1" s="1"/>
  <c r="F112" i="1"/>
  <c r="F113" i="1"/>
  <c r="I113" i="1" s="1"/>
  <c r="F114" i="1"/>
  <c r="Q114" i="1" s="1"/>
  <c r="F115" i="1"/>
  <c r="I115" i="1" s="1"/>
  <c r="F116" i="1"/>
  <c r="I116" i="1" s="1"/>
  <c r="F118" i="1"/>
  <c r="I118" i="1" s="1"/>
  <c r="F110" i="1"/>
  <c r="I110" i="1" s="1"/>
  <c r="Q102" i="1"/>
  <c r="Q63" i="1"/>
  <c r="Q66" i="1"/>
  <c r="Q67" i="1"/>
  <c r="Q68" i="1"/>
  <c r="Q72" i="1"/>
  <c r="Q73" i="1"/>
  <c r="Q77" i="1"/>
  <c r="Q78" i="1"/>
  <c r="Q80" i="1"/>
  <c r="Q81" i="1"/>
  <c r="Q82" i="1"/>
  <c r="Q84" i="1"/>
  <c r="Q86" i="1"/>
  <c r="Q87" i="1"/>
  <c r="Q88" i="1"/>
  <c r="Q89" i="1"/>
  <c r="Q91" i="1"/>
  <c r="Q93" i="1"/>
  <c r="Q94" i="1"/>
  <c r="Q95" i="1"/>
  <c r="Q97" i="1"/>
  <c r="Q98" i="1"/>
  <c r="Q99" i="1"/>
  <c r="Q100" i="1"/>
  <c r="Q103" i="1"/>
  <c r="Q105" i="1"/>
  <c r="Q107" i="1"/>
  <c r="Q109" i="1"/>
  <c r="Q120" i="1"/>
  <c r="Q121" i="1"/>
  <c r="Q123" i="1"/>
  <c r="Q124" i="1"/>
  <c r="Q125" i="1"/>
  <c r="Q126" i="1"/>
  <c r="Q127" i="1"/>
  <c r="Q128" i="1"/>
  <c r="Q129" i="1"/>
  <c r="Q130" i="1"/>
  <c r="Q131" i="1"/>
  <c r="Q134" i="1"/>
  <c r="Q135" i="1"/>
  <c r="Q136" i="1"/>
  <c r="Q137" i="1"/>
  <c r="Q140" i="1"/>
  <c r="Q141" i="1"/>
  <c r="Q142" i="1"/>
  <c r="Q145" i="1"/>
  <c r="Q148" i="1"/>
  <c r="Q150" i="1"/>
  <c r="R150" i="1" s="1"/>
  <c r="Q151" i="1"/>
  <c r="Q152" i="1"/>
  <c r="Q155" i="1"/>
  <c r="Q156" i="1"/>
  <c r="Q157" i="1"/>
  <c r="Q159" i="1"/>
  <c r="Q161" i="1"/>
  <c r="Q162" i="1"/>
  <c r="Q163" i="1"/>
  <c r="Q164" i="1"/>
  <c r="Q165" i="1"/>
  <c r="Q166" i="1"/>
  <c r="Q167" i="1"/>
  <c r="Q168" i="1"/>
  <c r="Q169" i="1"/>
  <c r="Q170" i="1"/>
  <c r="Q171" i="1"/>
  <c r="Q173" i="1"/>
  <c r="Q175" i="1"/>
  <c r="Q176" i="1"/>
  <c r="Q177" i="1"/>
  <c r="Q178" i="1"/>
  <c r="Q179" i="1"/>
  <c r="Q180" i="1"/>
  <c r="Q181" i="1"/>
  <c r="Q182" i="1"/>
  <c r="Q185" i="1"/>
  <c r="Q186" i="1"/>
  <c r="Q188" i="1"/>
  <c r="Q189" i="1"/>
  <c r="Q190" i="1"/>
  <c r="Q191" i="1"/>
  <c r="R191" i="1" s="1"/>
  <c r="Q192" i="1"/>
  <c r="Q193" i="1"/>
  <c r="Q198" i="1"/>
  <c r="Q200" i="1"/>
  <c r="Q206" i="1"/>
  <c r="Q209" i="1"/>
  <c r="Q218" i="1"/>
  <c r="Q220" i="1"/>
  <c r="Q221" i="1"/>
  <c r="Q223" i="1"/>
  <c r="Q229" i="1"/>
  <c r="Q231" i="1"/>
  <c r="R231" i="1" s="1"/>
  <c r="Q234" i="1"/>
  <c r="Q237" i="1"/>
  <c r="Q240" i="1"/>
  <c r="Q243" i="1"/>
  <c r="Q246" i="1"/>
  <c r="Q247" i="1"/>
  <c r="Q251" i="1"/>
  <c r="Q256" i="1"/>
  <c r="Q263" i="1"/>
  <c r="Q267" i="1"/>
  <c r="Q268" i="1"/>
  <c r="Q272" i="1"/>
  <c r="Q274" i="1"/>
  <c r="Q278" i="1"/>
  <c r="Q289" i="1"/>
  <c r="F64" i="1"/>
  <c r="F16" i="1"/>
  <c r="Q16" i="1" s="1"/>
  <c r="F17" i="1"/>
  <c r="Q17" i="1" s="1"/>
  <c r="F19" i="1"/>
  <c r="Q19" i="1" s="1"/>
  <c r="F20" i="1"/>
  <c r="Q20" i="1" s="1"/>
  <c r="F21" i="1"/>
  <c r="Q21" i="1" s="1"/>
  <c r="F22" i="1"/>
  <c r="I22" i="1" s="1"/>
  <c r="F23" i="1"/>
  <c r="Q23" i="1" s="1"/>
  <c r="F24" i="1"/>
  <c r="I24" i="1" s="1"/>
  <c r="F28" i="1"/>
  <c r="Q28" i="1" s="1"/>
  <c r="F29" i="1"/>
  <c r="I29" i="1" s="1"/>
  <c r="F30" i="1"/>
  <c r="Q30" i="1" s="1"/>
  <c r="R30" i="1" s="1"/>
  <c r="F31" i="1"/>
  <c r="Q31" i="1" s="1"/>
  <c r="F34" i="1"/>
  <c r="Q34" i="1" s="1"/>
  <c r="F35" i="1"/>
  <c r="Q35" i="1" s="1"/>
  <c r="F36" i="1"/>
  <c r="Q36" i="1" s="1"/>
  <c r="F37" i="1"/>
  <c r="I37" i="1" s="1"/>
  <c r="F38" i="1"/>
  <c r="Q38" i="1" s="1"/>
  <c r="F39" i="1"/>
  <c r="I39" i="1" s="1"/>
  <c r="F40" i="1"/>
  <c r="Q40" i="1" s="1"/>
  <c r="F41" i="1"/>
  <c r="Q41" i="1" s="1"/>
  <c r="F42" i="1"/>
  <c r="Q42" i="1" s="1"/>
  <c r="F43" i="1"/>
  <c r="I43" i="1" s="1"/>
  <c r="F44" i="1"/>
  <c r="Q44" i="1" s="1"/>
  <c r="F45" i="1"/>
  <c r="I45" i="1" s="1"/>
  <c r="F46" i="1"/>
  <c r="Q46" i="1" s="1"/>
  <c r="F47" i="1"/>
  <c r="I47" i="1" s="1"/>
  <c r="F48" i="1"/>
  <c r="Q48" i="1" s="1"/>
  <c r="F49" i="1"/>
  <c r="Q49" i="1" s="1"/>
  <c r="F50" i="1"/>
  <c r="Q50" i="1" s="1"/>
  <c r="F51" i="1"/>
  <c r="I51" i="1" s="1"/>
  <c r="F52" i="1"/>
  <c r="Q52" i="1" s="1"/>
  <c r="F53" i="1"/>
  <c r="F54" i="1"/>
  <c r="Q54" i="1" s="1"/>
  <c r="F55" i="1"/>
  <c r="I55" i="1" s="1"/>
  <c r="F56" i="1"/>
  <c r="F57" i="1"/>
  <c r="I57" i="1" s="1"/>
  <c r="F58" i="1"/>
  <c r="Q58" i="1" s="1"/>
  <c r="F59" i="1"/>
  <c r="I59" i="1" s="1"/>
  <c r="F15" i="1"/>
  <c r="Q15" i="1" s="1"/>
  <c r="E298" i="1"/>
  <c r="E297" i="1"/>
  <c r="E293" i="1"/>
  <c r="E288" i="1"/>
  <c r="E277" i="1"/>
  <c r="E273" i="1"/>
  <c r="E269" i="1"/>
  <c r="E266" i="1"/>
  <c r="E253" i="1"/>
  <c r="E247" i="1"/>
  <c r="I247" i="1" s="1"/>
  <c r="E245" i="1"/>
  <c r="E242" i="1" s="1"/>
  <c r="E240" i="1"/>
  <c r="I240" i="1" s="1"/>
  <c r="E230" i="1"/>
  <c r="E222" i="1"/>
  <c r="E219" i="1" s="1"/>
  <c r="E212" i="1"/>
  <c r="I212" i="1" s="1"/>
  <c r="E204" i="1"/>
  <c r="I204" i="1" s="1"/>
  <c r="E194" i="1"/>
  <c r="E187" i="1" s="1"/>
  <c r="E177" i="1"/>
  <c r="E160" i="1"/>
  <c r="I160" i="1" s="1"/>
  <c r="E154" i="1"/>
  <c r="E108" i="1"/>
  <c r="E96" i="1"/>
  <c r="E83" i="1"/>
  <c r="E79" i="1"/>
  <c r="E72" i="1"/>
  <c r="I72" i="1" s="1"/>
  <c r="E65" i="1"/>
  <c r="E56" i="1"/>
  <c r="E53" i="1"/>
  <c r="E49" i="1"/>
  <c r="E44" i="1"/>
  <c r="E35" i="1"/>
  <c r="E21" i="1"/>
  <c r="E18" i="1" s="1"/>
  <c r="E16" i="1"/>
  <c r="E13" i="1" l="1"/>
  <c r="F13" i="1"/>
  <c r="F291" i="1"/>
  <c r="Q291" i="1" s="1"/>
  <c r="I177" i="1"/>
  <c r="E174" i="1"/>
  <c r="I287" i="1"/>
  <c r="Q64" i="1"/>
  <c r="F62" i="1"/>
  <c r="P297" i="1"/>
  <c r="R297" i="1" s="1"/>
  <c r="E294" i="1"/>
  <c r="E291" i="1" s="1"/>
  <c r="Q210" i="1"/>
  <c r="Q292" i="1"/>
  <c r="Q290" i="1"/>
  <c r="Q232" i="1"/>
  <c r="I295" i="1"/>
  <c r="Q118" i="1"/>
  <c r="Q261" i="1"/>
  <c r="I270" i="1"/>
  <c r="Q299" i="1"/>
  <c r="Q280" i="1"/>
  <c r="Q260" i="1"/>
  <c r="Q303" i="1"/>
  <c r="Q275" i="1"/>
  <c r="Q282" i="1"/>
  <c r="I203" i="1"/>
  <c r="E199" i="1"/>
  <c r="Q115" i="1"/>
  <c r="Q113" i="1"/>
  <c r="I53" i="1"/>
  <c r="E71" i="1"/>
  <c r="E62" i="1" s="1"/>
  <c r="P62" i="1" s="1"/>
  <c r="Q110" i="1"/>
  <c r="I257" i="1"/>
  <c r="Q302" i="1"/>
  <c r="Q296" i="1"/>
  <c r="Q281" i="1"/>
  <c r="Q259" i="1"/>
  <c r="Q254" i="1"/>
  <c r="Q227" i="1"/>
  <c r="Q116" i="1"/>
  <c r="Q29" i="1"/>
  <c r="I285" i="1"/>
  <c r="F288" i="1"/>
  <c r="I64" i="1"/>
  <c r="E208" i="1"/>
  <c r="E233" i="1"/>
  <c r="E250" i="1"/>
  <c r="E262" i="1"/>
  <c r="Q301" i="1"/>
  <c r="Q258" i="1"/>
  <c r="I114" i="1"/>
  <c r="I298" i="1"/>
  <c r="I293" i="1"/>
  <c r="Q271" i="1"/>
  <c r="I28" i="1"/>
  <c r="Q47" i="1"/>
  <c r="I21" i="1"/>
  <c r="I54" i="1"/>
  <c r="I46" i="1"/>
  <c r="Q59" i="1"/>
  <c r="Q22" i="1"/>
  <c r="I56" i="1"/>
  <c r="I42" i="1"/>
  <c r="I17" i="1"/>
  <c r="Q55" i="1"/>
  <c r="Q39" i="1"/>
  <c r="Q43" i="1"/>
  <c r="I35" i="1"/>
  <c r="I44" i="1"/>
  <c r="I58" i="1"/>
  <c r="I38" i="1"/>
  <c r="Q51" i="1"/>
  <c r="Q111" i="1"/>
  <c r="I297" i="1"/>
  <c r="I50" i="1"/>
  <c r="I34" i="1"/>
  <c r="I112" i="1"/>
  <c r="Q112" i="1"/>
  <c r="I49" i="1"/>
  <c r="I41" i="1"/>
  <c r="I31" i="1"/>
  <c r="I20" i="1"/>
  <c r="I16" i="1"/>
  <c r="Q249" i="1"/>
  <c r="Q202" i="1"/>
  <c r="I48" i="1"/>
  <c r="I30" i="1"/>
  <c r="Q276" i="1"/>
  <c r="Q264" i="1"/>
  <c r="Q248" i="1"/>
  <c r="Q244" i="1"/>
  <c r="Q236" i="1"/>
  <c r="Q225" i="1"/>
  <c r="Q201" i="1"/>
  <c r="Q57" i="1"/>
  <c r="Q53" i="1"/>
  <c r="Q45" i="1"/>
  <c r="Q37" i="1"/>
  <c r="Q24" i="1"/>
  <c r="I284" i="1"/>
  <c r="I15" i="1"/>
  <c r="I52" i="1"/>
  <c r="I40" i="1"/>
  <c r="I36" i="1"/>
  <c r="I23" i="1"/>
  <c r="I19" i="1"/>
  <c r="I18" i="1"/>
  <c r="Q293" i="1"/>
  <c r="Q235" i="1"/>
  <c r="Q224" i="1"/>
  <c r="Q211" i="1"/>
  <c r="I194" i="1"/>
  <c r="Q194" i="1"/>
  <c r="Q265" i="1"/>
  <c r="Q279" i="1"/>
  <c r="Q283" i="1"/>
  <c r="Q298" i="1"/>
  <c r="E330" i="1" l="1"/>
  <c r="I13" i="1"/>
  <c r="I294" i="1"/>
  <c r="I174" i="1"/>
  <c r="P174" i="1"/>
  <c r="R174" i="1" s="1"/>
  <c r="Q216" i="1"/>
  <c r="Q146" i="1" l="1"/>
  <c r="P229" i="1" l="1"/>
  <c r="R229" i="1" s="1"/>
  <c r="Q149" i="1" l="1"/>
  <c r="Q143" i="1"/>
  <c r="Q147" i="1" l="1"/>
  <c r="H154" i="1"/>
  <c r="F154" i="1" l="1"/>
  <c r="I154" i="1" s="1"/>
  <c r="P31" i="1"/>
  <c r="R31" i="1" s="1"/>
  <c r="P29" i="1"/>
  <c r="R29" i="1" s="1"/>
  <c r="P225" i="1" l="1"/>
  <c r="R225" i="1" s="1"/>
  <c r="Q83" i="1" l="1"/>
  <c r="I83" i="1"/>
  <c r="I222" i="1"/>
  <c r="Q222" i="1"/>
  <c r="Q255" i="1"/>
  <c r="I255" i="1"/>
  <c r="I253" i="1"/>
  <c r="Q253" i="1"/>
  <c r="G273" i="1"/>
  <c r="G262" i="1" s="1"/>
  <c r="H273" i="1"/>
  <c r="H262" i="1" s="1"/>
  <c r="K262" i="1"/>
  <c r="L273" i="1"/>
  <c r="L262" i="1" s="1"/>
  <c r="M273" i="1"/>
  <c r="M262" i="1" s="1"/>
  <c r="N273" i="1"/>
  <c r="N262" i="1" s="1"/>
  <c r="O273" i="1"/>
  <c r="F262" i="1" l="1"/>
  <c r="F273" i="1"/>
  <c r="I273" i="1" s="1"/>
  <c r="P264" i="1"/>
  <c r="R264" i="1" s="1"/>
  <c r="Q273" i="1" l="1"/>
  <c r="L56" i="1"/>
  <c r="M56" i="1"/>
  <c r="G277" i="1"/>
  <c r="H277" i="1"/>
  <c r="P281" i="1"/>
  <c r="R281" i="1" s="1"/>
  <c r="F277" i="1" l="1"/>
  <c r="Q277" i="1" s="1"/>
  <c r="K56" i="1"/>
  <c r="Q56" i="1" s="1"/>
  <c r="P283" i="1"/>
  <c r="R283" i="1" s="1"/>
  <c r="P58" i="1"/>
  <c r="R58" i="1" s="1"/>
  <c r="I277" i="1" l="1"/>
  <c r="O56" i="1"/>
  <c r="L90" i="1"/>
  <c r="M90" i="1"/>
  <c r="N90" i="1"/>
  <c r="K90" i="1"/>
  <c r="O90" i="1" s="1"/>
  <c r="L83" i="1"/>
  <c r="M83" i="1"/>
  <c r="N83" i="1"/>
  <c r="N71" i="1"/>
  <c r="M71" i="1"/>
  <c r="L71" i="1"/>
  <c r="N62" i="1" l="1"/>
  <c r="L62" i="1"/>
  <c r="M62" i="1"/>
  <c r="G230" i="1"/>
  <c r="H230" i="1"/>
  <c r="F230" i="1" l="1"/>
  <c r="I230" i="1" s="1"/>
  <c r="P230" i="1"/>
  <c r="P232" i="1"/>
  <c r="R232" i="1" s="1"/>
  <c r="Q230" i="1" l="1"/>
  <c r="R230" i="1" s="1"/>
  <c r="L119" i="1"/>
  <c r="M119" i="1"/>
  <c r="N119" i="1"/>
  <c r="O119" i="1"/>
  <c r="P137" i="1"/>
  <c r="R137" i="1" s="1"/>
  <c r="Q122" i="1" l="1"/>
  <c r="Q79" i="1" l="1"/>
  <c r="I79" i="1"/>
  <c r="G208" i="1"/>
  <c r="H208" i="1"/>
  <c r="P212" i="1"/>
  <c r="R212" i="1" s="1"/>
  <c r="O262" i="1"/>
  <c r="Q213" i="1"/>
  <c r="Q196" i="1"/>
  <c r="F208" i="1" l="1"/>
  <c r="I208" i="1" s="1"/>
  <c r="Q65" i="1"/>
  <c r="I65" i="1"/>
  <c r="G288" i="1"/>
  <c r="H288" i="1"/>
  <c r="K288" i="1"/>
  <c r="L288" i="1"/>
  <c r="M288" i="1"/>
  <c r="N288" i="1"/>
  <c r="O288" i="1"/>
  <c r="I288" i="1" l="1"/>
  <c r="Q288" i="1"/>
  <c r="P228" i="1"/>
  <c r="R228" i="1" s="1"/>
  <c r="L208" i="1" l="1"/>
  <c r="L160" i="1"/>
  <c r="P78" i="1" l="1"/>
  <c r="R78" i="1" s="1"/>
  <c r="P73" i="1"/>
  <c r="R73" i="1" s="1"/>
  <c r="G219" i="1" l="1"/>
  <c r="H219" i="1"/>
  <c r="F219" i="1" l="1"/>
  <c r="P295" i="1"/>
  <c r="R295" i="1" s="1"/>
  <c r="P275" i="1"/>
  <c r="R275" i="1" s="1"/>
  <c r="P256" i="1"/>
  <c r="R256" i="1" s="1"/>
  <c r="P220" i="1"/>
  <c r="R220" i="1" s="1"/>
  <c r="P209" i="1"/>
  <c r="R209" i="1" s="1"/>
  <c r="P200" i="1"/>
  <c r="R200" i="1" s="1"/>
  <c r="P175" i="1"/>
  <c r="R175" i="1" s="1"/>
  <c r="P170" i="1"/>
  <c r="R170" i="1" s="1"/>
  <c r="P161" i="1"/>
  <c r="R161" i="1" s="1"/>
  <c r="P155" i="1"/>
  <c r="R155" i="1" s="1"/>
  <c r="P109" i="1"/>
  <c r="R109" i="1" s="1"/>
  <c r="P94" i="1"/>
  <c r="R94" i="1" s="1"/>
  <c r="P87" i="1"/>
  <c r="R87" i="1" s="1"/>
  <c r="P66" i="1"/>
  <c r="R66" i="1" s="1"/>
  <c r="P63" i="1"/>
  <c r="R63" i="1" s="1"/>
  <c r="P57" i="1"/>
  <c r="R57" i="1" s="1"/>
  <c r="P54" i="1"/>
  <c r="R54" i="1" s="1"/>
  <c r="P50" i="1"/>
  <c r="R50" i="1" s="1"/>
  <c r="P45" i="1"/>
  <c r="R45" i="1" s="1"/>
  <c r="P40" i="1"/>
  <c r="R40" i="1" s="1"/>
  <c r="P36" i="1"/>
  <c r="R36" i="1" s="1"/>
  <c r="P19" i="1"/>
  <c r="R19" i="1" s="1"/>
  <c r="L174" i="1"/>
  <c r="M174" i="1"/>
  <c r="K160" i="1"/>
  <c r="Q160" i="1" s="1"/>
  <c r="M160" i="1"/>
  <c r="N160" i="1"/>
  <c r="O160" i="1"/>
  <c r="M108" i="1"/>
  <c r="N108" i="1"/>
  <c r="O154" i="1"/>
  <c r="L154" i="1"/>
  <c r="P157" i="1"/>
  <c r="R157" i="1" s="1"/>
  <c r="K154" i="1"/>
  <c r="Q154" i="1" s="1"/>
  <c r="I219" i="1" l="1"/>
  <c r="Q219" i="1"/>
  <c r="H187" i="1"/>
  <c r="G187" i="1"/>
  <c r="F187" i="1" l="1"/>
  <c r="M208" i="1"/>
  <c r="N208" i="1"/>
  <c r="O208" i="1"/>
  <c r="K208" i="1"/>
  <c r="Q208" i="1" s="1"/>
  <c r="G199" i="1"/>
  <c r="H199" i="1"/>
  <c r="P206" i="1"/>
  <c r="R206" i="1" s="1"/>
  <c r="M154" i="1"/>
  <c r="N154" i="1"/>
  <c r="F199" i="1" l="1"/>
  <c r="I199" i="1" s="1"/>
  <c r="I187" i="1"/>
  <c r="Q187" i="1"/>
  <c r="Q294" i="1"/>
  <c r="Q199" i="1" l="1"/>
  <c r="I291" i="1"/>
  <c r="P136" i="1"/>
  <c r="R136" i="1" s="1"/>
  <c r="P188" i="1" l="1"/>
  <c r="R188" i="1" s="1"/>
  <c r="P234" i="1"/>
  <c r="R234" i="1" s="1"/>
  <c r="P272" i="1" l="1"/>
  <c r="R272" i="1" s="1"/>
  <c r="P192" i="1" l="1"/>
  <c r="R192" i="1" s="1"/>
  <c r="F108" i="1" l="1"/>
  <c r="Q108" i="1" l="1"/>
  <c r="I108" i="1"/>
  <c r="P118" i="1"/>
  <c r="R118" i="1" s="1"/>
  <c r="H108" i="1" l="1"/>
  <c r="G108" i="1"/>
  <c r="P16" i="1" l="1"/>
  <c r="R16" i="1" s="1"/>
  <c r="P267" i="1"/>
  <c r="R267" i="1" s="1"/>
  <c r="P268" i="1"/>
  <c r="R268" i="1" s="1"/>
  <c r="P271" i="1"/>
  <c r="R271" i="1" s="1"/>
  <c r="P261" i="1"/>
  <c r="R261" i="1" s="1"/>
  <c r="I266" i="1" l="1"/>
  <c r="Q266" i="1"/>
  <c r="I269" i="1"/>
  <c r="Q269" i="1"/>
  <c r="I262" i="1" l="1"/>
  <c r="Q262" i="1"/>
  <c r="K71" i="1"/>
  <c r="K62" i="1" s="1"/>
  <c r="O71" i="1" l="1"/>
  <c r="O62" i="1" s="1"/>
  <c r="Q90" i="1"/>
  <c r="I90" i="1"/>
  <c r="Q71" i="1"/>
  <c r="I71" i="1"/>
  <c r="H62" i="1"/>
  <c r="P65" i="1"/>
  <c r="R65" i="1" s="1"/>
  <c r="P67" i="1"/>
  <c r="R67" i="1" s="1"/>
  <c r="I96" i="1" l="1"/>
  <c r="I62" i="1" l="1"/>
  <c r="Q96" i="1"/>
  <c r="Q62" i="1" l="1"/>
  <c r="P83" i="1"/>
  <c r="R83" i="1" s="1"/>
  <c r="P71" i="1"/>
  <c r="R71" i="1" s="1"/>
  <c r="P98" i="1"/>
  <c r="R98" i="1" s="1"/>
  <c r="P99" i="1" l="1"/>
  <c r="R99" i="1" s="1"/>
  <c r="P102" i="1"/>
  <c r="R102" i="1" s="1"/>
  <c r="P100" i="1"/>
  <c r="R100" i="1" s="1"/>
  <c r="P80" i="1"/>
  <c r="R80" i="1" s="1"/>
  <c r="P260" i="1" l="1"/>
  <c r="R260" i="1" s="1"/>
  <c r="P266" i="1" l="1"/>
  <c r="R266" i="1" s="1"/>
  <c r="P269" i="1"/>
  <c r="R269" i="1" s="1"/>
  <c r="P270" i="1"/>
  <c r="R270" i="1" s="1"/>
  <c r="P274" i="1" l="1"/>
  <c r="R274" i="1" s="1"/>
  <c r="P263" i="1"/>
  <c r="R263" i="1" s="1"/>
  <c r="H233" i="1"/>
  <c r="G233" i="1"/>
  <c r="F233" i="1" l="1"/>
  <c r="I233" i="1" s="1"/>
  <c r="P202" i="1"/>
  <c r="R202" i="1" s="1"/>
  <c r="P248" i="1" l="1"/>
  <c r="R248" i="1" s="1"/>
  <c r="P48" i="1" l="1"/>
  <c r="R48" i="1" s="1"/>
  <c r="P35" i="1" l="1"/>
  <c r="R35" i="1" s="1"/>
  <c r="P244" i="1" l="1"/>
  <c r="R244" i="1" s="1"/>
  <c r="P96" i="1"/>
  <c r="R96" i="1" s="1"/>
  <c r="P278" i="1"/>
  <c r="R278" i="1" s="1"/>
  <c r="P289" i="1"/>
  <c r="R289" i="1" s="1"/>
  <c r="P247" i="1" l="1"/>
  <c r="R247" i="1" s="1"/>
  <c r="P189" i="1" l="1"/>
  <c r="R189" i="1" s="1"/>
  <c r="P290" i="1" l="1"/>
  <c r="P258" i="1"/>
  <c r="R258" i="1" s="1"/>
  <c r="P259" i="1"/>
  <c r="R259" i="1" s="1"/>
  <c r="P288" i="1" l="1"/>
  <c r="R288" i="1" s="1"/>
  <c r="R290" i="1"/>
  <c r="P43" i="1"/>
  <c r="R43" i="1" s="1"/>
  <c r="P39" i="1" l="1"/>
  <c r="R39" i="1" s="1"/>
  <c r="G242" i="1"/>
  <c r="H245" i="1"/>
  <c r="F245" i="1" s="1"/>
  <c r="K245" i="1"/>
  <c r="K242" i="1" s="1"/>
  <c r="L245" i="1"/>
  <c r="M245" i="1"/>
  <c r="M242" i="1" s="1"/>
  <c r="N245" i="1"/>
  <c r="N242" i="1" s="1"/>
  <c r="O245" i="1"/>
  <c r="O242" i="1" s="1"/>
  <c r="P246" i="1"/>
  <c r="R246" i="1" s="1"/>
  <c r="H242" i="1" l="1"/>
  <c r="F242" i="1" s="1"/>
  <c r="L242" i="1"/>
  <c r="P245" i="1"/>
  <c r="P243" i="1"/>
  <c r="R243" i="1" s="1"/>
  <c r="G250" i="1"/>
  <c r="H250" i="1"/>
  <c r="M250" i="1"/>
  <c r="N250" i="1"/>
  <c r="O250" i="1"/>
  <c r="P254" i="1"/>
  <c r="R254" i="1" s="1"/>
  <c r="P253" i="1"/>
  <c r="R253" i="1" s="1"/>
  <c r="P252" i="1"/>
  <c r="R252" i="1" s="1"/>
  <c r="P251" i="1"/>
  <c r="R251" i="1" s="1"/>
  <c r="P204" i="1"/>
  <c r="R204" i="1" s="1"/>
  <c r="F250" i="1" l="1"/>
  <c r="L250" i="1"/>
  <c r="Q245" i="1"/>
  <c r="R245" i="1" s="1"/>
  <c r="I245" i="1"/>
  <c r="P257" i="1"/>
  <c r="R257" i="1" s="1"/>
  <c r="P201" i="1"/>
  <c r="R201" i="1" s="1"/>
  <c r="P249" i="1"/>
  <c r="R249" i="1" s="1"/>
  <c r="P199" i="1"/>
  <c r="R199" i="1" s="1"/>
  <c r="I250" i="1" l="1"/>
  <c r="Q250" i="1"/>
  <c r="I242" i="1"/>
  <c r="Q242" i="1"/>
  <c r="P242" i="1"/>
  <c r="P250" i="1"/>
  <c r="R250" i="1" s="1"/>
  <c r="P255" i="1"/>
  <c r="R255" i="1" s="1"/>
  <c r="P38" i="1"/>
  <c r="R38" i="1" s="1"/>
  <c r="R242" i="1" l="1"/>
  <c r="P194" i="1"/>
  <c r="R194" i="1" s="1"/>
  <c r="P97" i="1" l="1"/>
  <c r="R97" i="1" s="1"/>
  <c r="P223" i="1" l="1"/>
  <c r="R223" i="1" s="1"/>
  <c r="P276" i="1" l="1"/>
  <c r="P273" i="1" l="1"/>
  <c r="R273" i="1" s="1"/>
  <c r="R276" i="1"/>
  <c r="P42" i="1"/>
  <c r="R42" i="1" s="1"/>
  <c r="P41" i="1"/>
  <c r="R41" i="1" s="1"/>
  <c r="P224" i="1"/>
  <c r="R224" i="1" s="1"/>
  <c r="M18" i="1" l="1"/>
  <c r="M13" i="1" s="1"/>
  <c r="M330" i="1" s="1"/>
  <c r="N18" i="1"/>
  <c r="N13" i="1" s="1"/>
  <c r="N330" i="1" s="1"/>
  <c r="L18" i="1"/>
  <c r="L13" i="1" s="1"/>
  <c r="L330" i="1" s="1"/>
  <c r="K18" i="1" l="1"/>
  <c r="K13" i="1" s="1"/>
  <c r="K330" i="1" s="1"/>
  <c r="O18" i="1" l="1"/>
  <c r="O13" i="1" s="1"/>
  <c r="O330" i="1" s="1"/>
  <c r="Q18" i="1"/>
  <c r="P193" i="1"/>
  <c r="R193" i="1" s="1"/>
  <c r="P149" i="1" l="1"/>
  <c r="R149" i="1" s="1"/>
  <c r="Q139" i="1" l="1"/>
  <c r="P84" i="1"/>
  <c r="R84" i="1" s="1"/>
  <c r="P95" i="1"/>
  <c r="R95" i="1" s="1"/>
  <c r="P93" i="1"/>
  <c r="R93" i="1" s="1"/>
  <c r="P91" i="1" l="1"/>
  <c r="R91" i="1" s="1"/>
  <c r="P90" i="1"/>
  <c r="R90" i="1" s="1"/>
  <c r="P123" i="1" l="1"/>
  <c r="R123" i="1" s="1"/>
  <c r="P218" i="1" l="1"/>
  <c r="R218" i="1" s="1"/>
  <c r="P77" i="1"/>
  <c r="R77" i="1" s="1"/>
  <c r="P171" i="1"/>
  <c r="R171" i="1" s="1"/>
  <c r="P124" i="1"/>
  <c r="R124" i="1" s="1"/>
  <c r="P164" i="1"/>
  <c r="R164" i="1" s="1"/>
  <c r="P190" i="1"/>
  <c r="R190" i="1" s="1"/>
  <c r="P37" i="1"/>
  <c r="R37" i="1" s="1"/>
  <c r="Q13" i="1"/>
  <c r="P216" i="1"/>
  <c r="R216" i="1" s="1"/>
  <c r="P287" i="1"/>
  <c r="R287" i="1" s="1"/>
  <c r="P114" i="1"/>
  <c r="R114" i="1" s="1"/>
  <c r="P115" i="1"/>
  <c r="R115" i="1" s="1"/>
  <c r="P116" i="1"/>
  <c r="R116" i="1" s="1"/>
  <c r="P140" i="1"/>
  <c r="R140" i="1" s="1"/>
  <c r="P145" i="1"/>
  <c r="R145" i="1" s="1"/>
  <c r="P72" i="1"/>
  <c r="R72" i="1" s="1"/>
  <c r="F335" i="1"/>
  <c r="P105" i="1"/>
  <c r="R105" i="1" s="1"/>
  <c r="P20" i="1"/>
  <c r="R20" i="1" s="1"/>
  <c r="P173" i="1"/>
  <c r="R173" i="1" s="1"/>
  <c r="P159" i="1"/>
  <c r="R159" i="1" s="1"/>
  <c r="P196" i="1"/>
  <c r="R196" i="1" s="1"/>
  <c r="P211" i="1"/>
  <c r="R211" i="1" s="1"/>
  <c r="P303" i="1"/>
  <c r="R303" i="1" s="1"/>
  <c r="P265" i="1"/>
  <c r="P113" i="1"/>
  <c r="R113" i="1" s="1"/>
  <c r="P112" i="1"/>
  <c r="R112" i="1" s="1"/>
  <c r="P110" i="1"/>
  <c r="R110" i="1" s="1"/>
  <c r="P163" i="1"/>
  <c r="R163" i="1" s="1"/>
  <c r="P167" i="1"/>
  <c r="R167" i="1" s="1"/>
  <c r="P111" i="1"/>
  <c r="R111" i="1" s="1"/>
  <c r="P120" i="1"/>
  <c r="R120" i="1" s="1"/>
  <c r="P134" i="1"/>
  <c r="R134" i="1" s="1"/>
  <c r="P148" i="1"/>
  <c r="R148" i="1" s="1"/>
  <c r="P292" i="1"/>
  <c r="R292" i="1" s="1"/>
  <c r="P187" i="1"/>
  <c r="R187" i="1" s="1"/>
  <c r="P236" i="1"/>
  <c r="R236" i="1" s="1"/>
  <c r="P235" i="1"/>
  <c r="R235" i="1" s="1"/>
  <c r="Q144" i="1" l="1"/>
  <c r="P262" i="1"/>
  <c r="R262" i="1" s="1"/>
  <c r="R265" i="1"/>
  <c r="P15" i="1"/>
  <c r="Q233" i="1"/>
  <c r="P221" i="1"/>
  <c r="R221" i="1" s="1"/>
  <c r="P154" i="1"/>
  <c r="R154" i="1" s="1"/>
  <c r="G330" i="1"/>
  <c r="P18" i="1"/>
  <c r="R18" i="1" s="1"/>
  <c r="P59" i="1"/>
  <c r="P279" i="1"/>
  <c r="R279" i="1" s="1"/>
  <c r="P46" i="1"/>
  <c r="R46" i="1" s="1"/>
  <c r="P68" i="1"/>
  <c r="R68" i="1" s="1"/>
  <c r="P141" i="1"/>
  <c r="R141" i="1" s="1"/>
  <c r="P21" i="1"/>
  <c r="R21" i="1" s="1"/>
  <c r="P142" i="1"/>
  <c r="R142" i="1" s="1"/>
  <c r="P143" i="1"/>
  <c r="R143" i="1" s="1"/>
  <c r="P53" i="1"/>
  <c r="R53" i="1" s="1"/>
  <c r="P139" i="1"/>
  <c r="R139" i="1" s="1"/>
  <c r="P52" i="1"/>
  <c r="R52" i="1" s="1"/>
  <c r="P24" i="1"/>
  <c r="R24" i="1" s="1"/>
  <c r="P55" i="1"/>
  <c r="R55" i="1" s="1"/>
  <c r="P23" i="1"/>
  <c r="R23" i="1" s="1"/>
  <c r="P147" i="1"/>
  <c r="R147" i="1" s="1"/>
  <c r="P17" i="1"/>
  <c r="R17" i="1" s="1"/>
  <c r="P28" i="1"/>
  <c r="R28" i="1" s="1"/>
  <c r="P180" i="1"/>
  <c r="R180" i="1" s="1"/>
  <c r="P181" i="1"/>
  <c r="R181" i="1" s="1"/>
  <c r="P177" i="1"/>
  <c r="R177" i="1" s="1"/>
  <c r="P51" i="1"/>
  <c r="R51" i="1" s="1"/>
  <c r="P282" i="1"/>
  <c r="R282" i="1" s="1"/>
  <c r="P302" i="1"/>
  <c r="R302" i="1" s="1"/>
  <c r="P88" i="1"/>
  <c r="R88" i="1" s="1"/>
  <c r="P121" i="1"/>
  <c r="P210" i="1"/>
  <c r="R210" i="1" s="1"/>
  <c r="P130" i="1"/>
  <c r="R130" i="1" s="1"/>
  <c r="P169" i="1"/>
  <c r="R169" i="1" s="1"/>
  <c r="P64" i="1"/>
  <c r="R64" i="1" s="1"/>
  <c r="P89" i="1"/>
  <c r="R89" i="1" s="1"/>
  <c r="P79" i="1"/>
  <c r="R79" i="1" s="1"/>
  <c r="P122" i="1"/>
  <c r="R122" i="1" s="1"/>
  <c r="P222" i="1"/>
  <c r="R222" i="1" s="1"/>
  <c r="P182" i="1"/>
  <c r="R182" i="1" s="1"/>
  <c r="P178" i="1"/>
  <c r="R178" i="1" s="1"/>
  <c r="P298" i="1"/>
  <c r="R298" i="1" s="1"/>
  <c r="P131" i="1"/>
  <c r="R131" i="1" s="1"/>
  <c r="P126" i="1"/>
  <c r="R126" i="1" s="1"/>
  <c r="P103" i="1"/>
  <c r="R103" i="1" s="1"/>
  <c r="P81" i="1"/>
  <c r="R81" i="1" s="1"/>
  <c r="P213" i="1"/>
  <c r="R213" i="1" s="1"/>
  <c r="P49" i="1"/>
  <c r="R49" i="1" s="1"/>
  <c r="P82" i="1"/>
  <c r="R82" i="1" s="1"/>
  <c r="P151" i="1"/>
  <c r="R151" i="1" s="1"/>
  <c r="P296" i="1"/>
  <c r="R296" i="1" s="1"/>
  <c r="P152" i="1"/>
  <c r="R152" i="1" s="1"/>
  <c r="P125" i="1"/>
  <c r="R125" i="1" s="1"/>
  <c r="P186" i="1"/>
  <c r="R186" i="1" s="1"/>
  <c r="P22" i="1"/>
  <c r="R22" i="1" s="1"/>
  <c r="P240" i="1"/>
  <c r="R240" i="1" s="1"/>
  <c r="P280" i="1"/>
  <c r="R280" i="1" s="1"/>
  <c r="P301" i="1"/>
  <c r="R301" i="1" s="1"/>
  <c r="P129" i="1"/>
  <c r="R129" i="1" s="1"/>
  <c r="P156" i="1"/>
  <c r="R156" i="1" s="1"/>
  <c r="P166" i="1"/>
  <c r="R166" i="1" s="1"/>
  <c r="P107" i="1"/>
  <c r="R107" i="1" s="1"/>
  <c r="P128" i="1"/>
  <c r="R128" i="1" s="1"/>
  <c r="P162" i="1"/>
  <c r="R162" i="1" s="1"/>
  <c r="P185" i="1"/>
  <c r="R185" i="1" s="1"/>
  <c r="P179" i="1"/>
  <c r="R179" i="1" s="1"/>
  <c r="P47" i="1"/>
  <c r="R47" i="1" s="1"/>
  <c r="P237" i="1"/>
  <c r="R237" i="1" s="1"/>
  <c r="P293" i="1"/>
  <c r="P299" i="1"/>
  <c r="R299" i="1" s="1"/>
  <c r="P198" i="1"/>
  <c r="R198" i="1" s="1"/>
  <c r="P146" i="1"/>
  <c r="R146" i="1" s="1"/>
  <c r="P135" i="1"/>
  <c r="R135" i="1" s="1"/>
  <c r="P127" i="1"/>
  <c r="R127" i="1" s="1"/>
  <c r="P176" i="1"/>
  <c r="R176" i="1" s="1"/>
  <c r="P86" i="1"/>
  <c r="R86" i="1" s="1"/>
  <c r="P165" i="1"/>
  <c r="R165" i="1" s="1"/>
  <c r="P34" i="1"/>
  <c r="R34" i="1" s="1"/>
  <c r="P233" i="1"/>
  <c r="P227" i="1"/>
  <c r="R227" i="1" s="1"/>
  <c r="P144" i="1"/>
  <c r="P168" i="1"/>
  <c r="R168" i="1" s="1"/>
  <c r="R15" i="1" l="1"/>
  <c r="R293" i="1"/>
  <c r="R121" i="1"/>
  <c r="R233" i="1"/>
  <c r="R144" i="1"/>
  <c r="P56" i="1"/>
  <c r="R56" i="1" s="1"/>
  <c r="R59" i="1"/>
  <c r="P219" i="1"/>
  <c r="R219" i="1" s="1"/>
  <c r="H330" i="1"/>
  <c r="P44" i="1"/>
  <c r="P13" i="1" s="1"/>
  <c r="R13" i="1" s="1"/>
  <c r="P277" i="1"/>
  <c r="R277" i="1" s="1"/>
  <c r="P108" i="1"/>
  <c r="R108" i="1" s="1"/>
  <c r="P294" i="1"/>
  <c r="P291" i="1" s="1"/>
  <c r="P208" i="1"/>
  <c r="R208" i="1" s="1"/>
  <c r="R62" i="1"/>
  <c r="P138" i="1"/>
  <c r="P119" i="1" s="1"/>
  <c r="Q138" i="1" l="1"/>
  <c r="R291" i="1"/>
  <c r="R294" i="1"/>
  <c r="R44" i="1"/>
  <c r="P160" i="1"/>
  <c r="R138" i="1" l="1"/>
  <c r="R119" i="1" s="1"/>
  <c r="Q119" i="1"/>
  <c r="Q330" i="1" s="1"/>
  <c r="I330" i="1"/>
  <c r="F330" i="1"/>
  <c r="P330" i="1"/>
  <c r="R160" i="1"/>
  <c r="R330" i="1" l="1"/>
</calcChain>
</file>

<file path=xl/sharedStrings.xml><?xml version="1.0" encoding="utf-8"?>
<sst xmlns="http://schemas.openxmlformats.org/spreadsheetml/2006/main" count="864" uniqueCount="581">
  <si>
    <t>(грн.)</t>
  </si>
  <si>
    <t>Разом</t>
  </si>
  <si>
    <t>Всього</t>
  </si>
  <si>
    <t>Виконавчий комітет Івано-Франківської міської ради</t>
  </si>
  <si>
    <t>Компенсацiйнi виплати за пiльговий проїзд окремих категорiй громадян на залізничному транспорті</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</si>
  <si>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</si>
  <si>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Охорона та раціональне використання природних ресурсів</t>
  </si>
  <si>
    <t>Секретар міської ради</t>
  </si>
  <si>
    <t>Багатопрофільна стаціонарна медична допомога населенню</t>
  </si>
  <si>
    <t>Внески до статутного капіталу суб'єктів господарювання</t>
  </si>
  <si>
    <t xml:space="preserve">Лікарсько-акушерська допомога вагітним, породіллям та новонародженим  </t>
  </si>
  <si>
    <t>0180</t>
  </si>
  <si>
    <t>Компенсаційні виплати на пільговий проїзд електротранспортом окремим категоріям громадян</t>
  </si>
  <si>
    <t>Реверсна дотація</t>
  </si>
  <si>
    <t>0133</t>
  </si>
  <si>
    <t>0930</t>
  </si>
  <si>
    <t>0511</t>
  </si>
  <si>
    <t>0731</t>
  </si>
  <si>
    <t>0733</t>
  </si>
  <si>
    <t>0721</t>
  </si>
  <si>
    <t>0722</t>
  </si>
  <si>
    <t>0763</t>
  </si>
  <si>
    <t>0111</t>
  </si>
  <si>
    <t>1070</t>
  </si>
  <si>
    <t>0620</t>
  </si>
  <si>
    <t>0490</t>
  </si>
  <si>
    <t>0411</t>
  </si>
  <si>
    <t xml:space="preserve">в тому числі </t>
  </si>
  <si>
    <t>- виконання рішень судів, стягнення судових витрат</t>
  </si>
  <si>
    <t>0910</t>
  </si>
  <si>
    <t>0921</t>
  </si>
  <si>
    <t>0922</t>
  </si>
  <si>
    <t>0960</t>
  </si>
  <si>
    <t>0950</t>
  </si>
  <si>
    <t>0990</t>
  </si>
  <si>
    <t>1040</t>
  </si>
  <si>
    <t>0810</t>
  </si>
  <si>
    <t xml:space="preserve">Проведення навчально-тренувальних зборiв i змагань з олімпійських видів спорту </t>
  </si>
  <si>
    <t>5011</t>
  </si>
  <si>
    <t>- видатки на виконання судових рішень</t>
  </si>
  <si>
    <t>- примусове виконання рішень суду</t>
  </si>
  <si>
    <t>4060</t>
  </si>
  <si>
    <t>0824</t>
  </si>
  <si>
    <t>0828</t>
  </si>
  <si>
    <t>0829</t>
  </si>
  <si>
    <t>0830</t>
  </si>
  <si>
    <t>1030</t>
  </si>
  <si>
    <t>1060</t>
  </si>
  <si>
    <t>1010</t>
  </si>
  <si>
    <t>1020</t>
  </si>
  <si>
    <t>1090</t>
  </si>
  <si>
    <t>0821</t>
  </si>
  <si>
    <t>видатки розвитку</t>
  </si>
  <si>
    <t>Внески до статутного капіталу суб’єктів господарювання</t>
  </si>
  <si>
    <t>Компенсаційні виплати на пільговий проїзд автомобільним транспортом окремим категоріям громодян</t>
  </si>
  <si>
    <t>Пільгове медичне обслуговування осіб, які постраждали внаслідок Чорнобильської катастрофи</t>
  </si>
  <si>
    <t>Програма "Партиципаторне бюджетування (бюджет участі) у м. Івано-Франківську</t>
  </si>
  <si>
    <t>Утримання та  навчально-тренувальна робота комунальних дитячо-юнацьких  спортивних шкіл</t>
  </si>
  <si>
    <t>0320</t>
  </si>
  <si>
    <t xml:space="preserve">Проведення навчально-тренувальних зборiв i змагань з неолімпійських видів спорту </t>
  </si>
  <si>
    <t>5012</t>
  </si>
  <si>
    <t>0160</t>
  </si>
  <si>
    <t>3131</t>
  </si>
  <si>
    <t>Здійснення заходів та реалізація проектів на виконання Державної цільової соціальної програми "Молодь України"</t>
  </si>
  <si>
    <t>5021</t>
  </si>
  <si>
    <t>5022</t>
  </si>
  <si>
    <t>5031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</si>
  <si>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</si>
  <si>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</si>
  <si>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</si>
  <si>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</si>
  <si>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4010</t>
  </si>
  <si>
    <t>Фінансова підтримка театрів</t>
  </si>
  <si>
    <t>4030</t>
  </si>
  <si>
    <t>Забезпечення діяльності бiблiотек</t>
  </si>
  <si>
    <t>Забезпечення діяльності палаців і будинків культури, клубів, центрів дозвілля та інші клубних закладів</t>
  </si>
  <si>
    <t>8410</t>
  </si>
  <si>
    <t>Фінансова підтримка засобів масової інформації</t>
  </si>
  <si>
    <t>8130</t>
  </si>
  <si>
    <t>7670</t>
  </si>
  <si>
    <t>Надання дошкільної освіти</t>
  </si>
  <si>
    <t>Підвищення кваліфікації, перепідготовка кадрів закладами післядипломної освіти</t>
  </si>
  <si>
    <t>1150</t>
  </si>
  <si>
    <t xml:space="preserve">Методичне забезпечення діяльності навчальних закладів </t>
  </si>
  <si>
    <t>1160</t>
  </si>
  <si>
    <t>3132</t>
  </si>
  <si>
    <t>Утримання клубів для підлітків за місцем проживання</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</si>
  <si>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</si>
  <si>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</si>
  <si>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 xml:space="preserve">Управління охорони здоров'я Івано-Франківської міської ради </t>
  </si>
  <si>
    <t>2030</t>
  </si>
  <si>
    <t>2080</t>
  </si>
  <si>
    <t>2100</t>
  </si>
  <si>
    <t>Стоматологічна допомога населенню</t>
  </si>
  <si>
    <t>6013</t>
  </si>
  <si>
    <t>Забезпечення діяльності водопровідно-каналізаційного господарства</t>
  </si>
  <si>
    <t>6030</t>
  </si>
  <si>
    <t>Організація благоустрою населених пунктів</t>
  </si>
  <si>
    <t>8311</t>
  </si>
  <si>
    <t>Реалізація інших заходів щодо соціально-економічного розвитку територій</t>
  </si>
  <si>
    <t>7610</t>
  </si>
  <si>
    <t>8600</t>
  </si>
  <si>
    <t>Обслуговування  місцевого боргу</t>
  </si>
  <si>
    <t>0170</t>
  </si>
  <si>
    <t>9110</t>
  </si>
  <si>
    <t>Надання інших пільг окремим категоріям громадян відповідно до законодавства</t>
  </si>
  <si>
    <t>3032</t>
  </si>
  <si>
    <t>3121</t>
  </si>
  <si>
    <t>0600000</t>
  </si>
  <si>
    <t>0700000</t>
  </si>
  <si>
    <t>0710000</t>
  </si>
  <si>
    <t>0710160</t>
  </si>
  <si>
    <t>0712010</t>
  </si>
  <si>
    <t>0712030</t>
  </si>
  <si>
    <t>0712080</t>
  </si>
  <si>
    <t>0712100</t>
  </si>
  <si>
    <t>0800000</t>
  </si>
  <si>
    <t>0900000</t>
  </si>
  <si>
    <t>1000000</t>
  </si>
  <si>
    <t>3700000</t>
  </si>
  <si>
    <t>3710000</t>
  </si>
  <si>
    <t>3710160</t>
  </si>
  <si>
    <t>3718600</t>
  </si>
  <si>
    <t>1200000</t>
  </si>
  <si>
    <t>1210000</t>
  </si>
  <si>
    <t>1210160</t>
  </si>
  <si>
    <t>1216030</t>
  </si>
  <si>
    <t>1217670</t>
  </si>
  <si>
    <t>0810160</t>
  </si>
  <si>
    <t>0813031</t>
  </si>
  <si>
    <t>0813032</t>
  </si>
  <si>
    <t>0813050</t>
  </si>
  <si>
    <t>0813090</t>
  </si>
  <si>
    <t>0813104</t>
  </si>
  <si>
    <t>0813121</t>
  </si>
  <si>
    <t>0810000</t>
  </si>
  <si>
    <t>0218130</t>
  </si>
  <si>
    <t>0610000</t>
  </si>
  <si>
    <t>0610160</t>
  </si>
  <si>
    <t>0611010</t>
  </si>
  <si>
    <t>0611020</t>
  </si>
  <si>
    <t>0611070</t>
  </si>
  <si>
    <t>0611140</t>
  </si>
  <si>
    <t>0611150</t>
  </si>
  <si>
    <t>0611160</t>
  </si>
  <si>
    <t>0613132</t>
  </si>
  <si>
    <t>0613140</t>
  </si>
  <si>
    <t>0615031</t>
  </si>
  <si>
    <t>0910000</t>
  </si>
  <si>
    <t>0910160</t>
  </si>
  <si>
    <t>1010000</t>
  </si>
  <si>
    <t>1010160</t>
  </si>
  <si>
    <t>1014010</t>
  </si>
  <si>
    <t>1014030</t>
  </si>
  <si>
    <t>1014060</t>
  </si>
  <si>
    <t>1900000</t>
  </si>
  <si>
    <t>1910000</t>
  </si>
  <si>
    <t>1910160</t>
  </si>
  <si>
    <t>1916030</t>
  </si>
  <si>
    <t>0813033</t>
  </si>
  <si>
    <t>3033</t>
  </si>
  <si>
    <t>0813035</t>
  </si>
  <si>
    <t>3035</t>
  </si>
  <si>
    <t>0813036</t>
  </si>
  <si>
    <t>3036</t>
  </si>
  <si>
    <t>0210180</t>
  </si>
  <si>
    <t>Інша діяльність у сфері державного управління</t>
  </si>
  <si>
    <t>0217680</t>
  </si>
  <si>
    <t>7680</t>
  </si>
  <si>
    <t>0218210</t>
  </si>
  <si>
    <t>8210</t>
  </si>
  <si>
    <t>0380</t>
  </si>
  <si>
    <t>Муніципальні формування з охорони громадського порядку</t>
  </si>
  <si>
    <t>видатки на утримання Громадського формування з охорони громадського порядку "Штаб"</t>
  </si>
  <si>
    <t>0218220</t>
  </si>
  <si>
    <t>8220</t>
  </si>
  <si>
    <t>0218110</t>
  </si>
  <si>
    <t>8110</t>
  </si>
  <si>
    <t>- відшкодування комунальних послуг за призовну дільницю</t>
  </si>
  <si>
    <t xml:space="preserve">у тому числі: </t>
  </si>
  <si>
    <t>Членські внески до асоціацій органів місцевого самоврядування</t>
  </si>
  <si>
    <t>3719110</t>
  </si>
  <si>
    <t>3710180</t>
  </si>
  <si>
    <t>Іншi діяльність у сфері державного управління</t>
  </si>
  <si>
    <t>Заходи та роботи з мобілізаційної підготовки місцевого значення</t>
  </si>
  <si>
    <t>7622</t>
  </si>
  <si>
    <t>0470</t>
  </si>
  <si>
    <t>2710000</t>
  </si>
  <si>
    <t>2710160</t>
  </si>
  <si>
    <t>2717693</t>
  </si>
  <si>
    <t>2717640</t>
  </si>
  <si>
    <t>7640</t>
  </si>
  <si>
    <t>Інші заходи, пов'язані з економічною діяльністю</t>
  </si>
  <si>
    <t>у тому числі:</t>
  </si>
  <si>
    <t>2717610</t>
  </si>
  <si>
    <t>2700000</t>
  </si>
  <si>
    <t>3100000</t>
  </si>
  <si>
    <t>3110000</t>
  </si>
  <si>
    <t>3110160</t>
  </si>
  <si>
    <t>3117130</t>
  </si>
  <si>
    <t>7130</t>
  </si>
  <si>
    <t>0421</t>
  </si>
  <si>
    <t>Здійснення заходів із землеустрою</t>
  </si>
  <si>
    <t>3110180</t>
  </si>
  <si>
    <t>Іншi програми, заклади та заходи у сфері освіти</t>
  </si>
  <si>
    <t>7350</t>
  </si>
  <si>
    <t>0443</t>
  </si>
  <si>
    <t>1600000</t>
  </si>
  <si>
    <t>1610000</t>
  </si>
  <si>
    <t>1610160</t>
  </si>
  <si>
    <t>1617350</t>
  </si>
  <si>
    <t>Організація та проведення громадських робіт</t>
  </si>
  <si>
    <t>1050</t>
  </si>
  <si>
    <t xml:space="preserve"> за рахунок субвенції з обласного бюджету</t>
  </si>
  <si>
    <t>Центр соціально-психологічної реабілітації "Дивосвіт"</t>
  </si>
  <si>
    <t>Будинок нічного перебування</t>
  </si>
  <si>
    <t>1500000</t>
  </si>
  <si>
    <t>1510000</t>
  </si>
  <si>
    <t>1510160</t>
  </si>
  <si>
    <t>1910180</t>
  </si>
  <si>
    <t>1210180</t>
  </si>
  <si>
    <t>0210160</t>
  </si>
  <si>
    <t>0453</t>
  </si>
  <si>
    <t>1510180</t>
  </si>
  <si>
    <t>1917422</t>
  </si>
  <si>
    <t>7422</t>
  </si>
  <si>
    <t>Регулювання цін на послуги місцевого наземного електротранспорту</t>
  </si>
  <si>
    <t>6011</t>
  </si>
  <si>
    <t>Експлуатація та технічне обслуговування житлового фонду</t>
  </si>
  <si>
    <t>7310</t>
  </si>
  <si>
    <t>1517310</t>
  </si>
  <si>
    <t>1517330</t>
  </si>
  <si>
    <t>7330</t>
  </si>
  <si>
    <t>Утримання та фінансова підтримка спортивних споруд</t>
  </si>
  <si>
    <t>5041</t>
  </si>
  <si>
    <t>8010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</si>
  <si>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</si>
  <si>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0813180</t>
  </si>
  <si>
    <t>3180</t>
  </si>
  <si>
    <t>0813241</t>
  </si>
  <si>
    <t>3241</t>
  </si>
  <si>
    <t>Забезпечення діяльності інших закладів у сфері соціального захисту і соціального забезпечення</t>
  </si>
  <si>
    <t>0813240</t>
  </si>
  <si>
    <t>3240</t>
  </si>
  <si>
    <t>0813242</t>
  </si>
  <si>
    <t>3242</t>
  </si>
  <si>
    <t>Інші заходи у сфері соціального захисту і соціального забезпечення</t>
  </si>
  <si>
    <t>в тому числі :</t>
  </si>
  <si>
    <t xml:space="preserve">інші видатки на соціальний захист населення </t>
  </si>
  <si>
    <t>0813160</t>
  </si>
  <si>
    <t>3160</t>
  </si>
  <si>
    <t>Надання соціальних гарантій фізичним особам , які надають соціальні послуги громадянам похилого віку, особам з інвалідністю , дітям з інвалідністю, хворим , які не здатні до самообслуговування і потребують сторонньої допомоги.</t>
  </si>
  <si>
    <t>Амбулаторно-поліклінічна допомога населенню, крім первинної медичної допомоги</t>
  </si>
  <si>
    <t>Утримання центрів фізичної культури і спорту осіб з інвалідністю і реабілітаційних шкіл</t>
  </si>
  <si>
    <t>Проведення навчально-тренувальних зборiв i змагань та заходiв зі спорту осіб з інвалідністю</t>
  </si>
  <si>
    <t>4081</t>
  </si>
  <si>
    <t>1014081</t>
  </si>
  <si>
    <t>Забезпечення діяльності інших закладів в галузі культури і мистецтва</t>
  </si>
  <si>
    <t>1014082</t>
  </si>
  <si>
    <t>4082</t>
  </si>
  <si>
    <t>Інші заходи в галузі культури і мистецтва</t>
  </si>
  <si>
    <t>1017691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</si>
  <si>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</si>
  <si>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</si>
  <si>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0617691</t>
  </si>
  <si>
    <t>0717691</t>
  </si>
  <si>
    <t>0817691</t>
  </si>
  <si>
    <t>0917691</t>
  </si>
  <si>
    <t>0213210</t>
  </si>
  <si>
    <t>3210</t>
  </si>
  <si>
    <t>Заходи із запобігання та ліквідації надзвичайних ситуацій та наслідків стихійного лиха</t>
  </si>
  <si>
    <t>0810180</t>
  </si>
  <si>
    <t>2717370</t>
  </si>
  <si>
    <t>7370</t>
  </si>
  <si>
    <t xml:space="preserve">Реалізація програм і заходів в галузі туризму та курортів </t>
  </si>
  <si>
    <t>Видатки на поховання учасників бойових дій тата осіб з інвалідністю внаслідок війни.</t>
  </si>
  <si>
    <t>Інші заклади та заходи:</t>
  </si>
  <si>
    <t>2111</t>
  </si>
  <si>
    <t>Первинна медична допомога населенню, що надається центрами первинної медичної (медико-санітарної) допомоги</t>
  </si>
  <si>
    <t>7693</t>
  </si>
  <si>
    <t>у тому числі бюджет розвитку</t>
  </si>
  <si>
    <t>Код Програмної класифікації видатків та кредитування місцевих бюджетів</t>
  </si>
  <si>
    <t>Код Типової програмної класифікації видатків та кредитування місцевих бюджетів</t>
  </si>
  <si>
    <t>Код Функціональної класифікації видатків та кредитування бюджету</t>
  </si>
  <si>
    <t>Загальний фонд</t>
  </si>
  <si>
    <t>Спеціальний фонд</t>
  </si>
  <si>
    <t>0712152</t>
  </si>
  <si>
    <t>2152</t>
  </si>
  <si>
    <t>в тому числі</t>
  </si>
  <si>
    <t>1218311</t>
  </si>
  <si>
    <t>0712111</t>
  </si>
  <si>
    <t>0726</t>
  </si>
  <si>
    <t>Інші програми  та заходи у сфері  охорона здоров'я</t>
  </si>
  <si>
    <t>0217693</t>
  </si>
  <si>
    <t>1610180</t>
  </si>
  <si>
    <t>1014020</t>
  </si>
  <si>
    <t>4020</t>
  </si>
  <si>
    <t>0822</t>
  </si>
  <si>
    <t>Фінансова підтримка філармоній, художніх і музичних колективів, ансамблів, концертних та циркових організацій</t>
  </si>
  <si>
    <t>примусове виконання рішень суду</t>
  </si>
  <si>
    <t>8420</t>
  </si>
  <si>
    <t>Інші заходи у сфері засобів масової інформації</t>
  </si>
  <si>
    <t>Проведення міжнародного мистецького фестивалю країн Карпатського регіону «Carpathian Space»</t>
  </si>
  <si>
    <t>Довгострокова програма фінансування мобілізаційних заходів та оборонної роботи Івано-Франківської міської ради на 2019-2023 роки</t>
  </si>
  <si>
    <t>1517370</t>
  </si>
  <si>
    <t>від ________ №________</t>
  </si>
  <si>
    <t>Забезпечення діяльності інклюзивно-ресурсних центрів</t>
  </si>
  <si>
    <t>Управління транспорту та зв'язку Івано-Франківської міської ради</t>
  </si>
  <si>
    <t>Департамент культури  Івано-Франківської міської ради</t>
  </si>
  <si>
    <t>Департамент соціальної політики виконкому Івано-Франківської міської ради</t>
  </si>
  <si>
    <t>Департамент молодіжної політики та спорту Івано-Франківської міської ради</t>
  </si>
  <si>
    <t>Служба у справах дітей виконавчого комітету Івано-Франківської міської ради</t>
  </si>
  <si>
    <t>Департамент освіти та науки  Івано-Франківської міської ради</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</si>
  <si>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</si>
  <si>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3118311</t>
  </si>
  <si>
    <t>1216016</t>
  </si>
  <si>
    <t>6016</t>
  </si>
  <si>
    <t>Впровадження засобів обліку витрат та регулювання споживання води та теплової енергії</t>
  </si>
  <si>
    <t>у т.ч</t>
  </si>
  <si>
    <t>КП"Простір Інноваційних Креацій "Палац" (Потоцьких)</t>
  </si>
  <si>
    <t xml:space="preserve">Інша діяльність у сфері державного управління </t>
  </si>
  <si>
    <t>Додаток 3</t>
  </si>
  <si>
    <t>Програма розвитку місцевого самоврядування та громадянського суспільства в м.Івано-Франківську на 2020-2025 роки</t>
  </si>
  <si>
    <t>Програма "Духовне життя " на 2020-2025 роки</t>
  </si>
  <si>
    <t>1400000</t>
  </si>
  <si>
    <t>1410000</t>
  </si>
  <si>
    <t>Департамент  благоустрою Івано-Франківської міської ради</t>
  </si>
  <si>
    <t>1410160</t>
  </si>
  <si>
    <t>Департамент інфраструктури, житлової та комунальної політики  Івано-Франківської міської ради</t>
  </si>
  <si>
    <t>3400000</t>
  </si>
  <si>
    <t>3410000</t>
  </si>
  <si>
    <t>3410160</t>
  </si>
  <si>
    <t>Департамент комунальних ресурсів Івано-Франківської міської ради</t>
  </si>
  <si>
    <t>Департамент адміністративних послуг ( Центр надання адміністративних послуг) Івано-Франківської міської ради</t>
  </si>
  <si>
    <t>2500000</t>
  </si>
  <si>
    <t>2510000</t>
  </si>
  <si>
    <t>Департамент інвестиційної політики, проєктів, міжнародних звязків, туризму та промоцій міста Івано-Франківської міської ради</t>
  </si>
  <si>
    <t>2510160</t>
  </si>
  <si>
    <t>2517622</t>
  </si>
  <si>
    <t>2517693</t>
  </si>
  <si>
    <t>2300000</t>
  </si>
  <si>
    <t>2310000</t>
  </si>
  <si>
    <t>2310160</t>
  </si>
  <si>
    <t>Департамент стратегічного розвитку, цифрових трансформацій, роботи із засобами масової інформації, комунікації з мешканцями Івано-Франківської міської ради</t>
  </si>
  <si>
    <t>2310180</t>
  </si>
  <si>
    <t>2318420</t>
  </si>
  <si>
    <t>Надання позашкільної освіти  закладами позашкільної освіти, заходи із позашкільної роботи з дітьми</t>
  </si>
  <si>
    <t>Цільова програма Івано-Франківської міської територіальної громади організації та відзначення загальнодержавних свят територіальної громади, державних пам'ятних дат, релігійних та історичних подій на 2021-2025 роки</t>
  </si>
  <si>
    <t>в тому числі:</t>
  </si>
  <si>
    <t>Програма розвитку дитячо-юнацького футболу Департаменту освіти та науки Івано-Франківської міської ради на 2021-2025 рр</t>
  </si>
  <si>
    <t>Проєкт "Альтернативні терапії в Марамуреші та Івано-Франківську"</t>
  </si>
  <si>
    <t>Програма поліпшення стану безпеки, гігєни праці та виробничого середовища на 2020-2023 роки Івано-Франківської ТГ</t>
  </si>
  <si>
    <t>Проєкт Партнерство Румунія - Україна для пом"якшення зміни клімату"</t>
  </si>
  <si>
    <t>Департамент містобудування та архітектури  Івано-Франківської міської ради</t>
  </si>
  <si>
    <t>1416030</t>
  </si>
  <si>
    <t>1417670</t>
  </si>
  <si>
    <t>Департамент економічного  розвитку, екології  та енергозбереження Івано-Франківської  міської ради</t>
  </si>
  <si>
    <t>2318410</t>
  </si>
  <si>
    <t>1410180</t>
  </si>
  <si>
    <t>Програма щодо співпраці між професійно-технічними навчальними закладами та промисловими підприємствами і  МСП Івано-Франківської міської територіальної громади</t>
  </si>
  <si>
    <t>Програма промоції Івано-Франківської міської територіальної громади на 2021-2025 роки</t>
  </si>
  <si>
    <r>
      <rPr>
        <i/>
        <sz val="9"/>
        <rFont val="Times New Roman"/>
        <family val="1"/>
        <charset val="204"/>
      </rPr>
      <t xml:space="preserve">у тому числі   </t>
    </r>
    <r>
      <rPr>
        <sz val="9"/>
        <rFont val="Times New Roman"/>
        <family val="1"/>
        <charset val="204"/>
      </rPr>
      <t>Програма розвитку туристичної галузі Івано-Франківської міської територіальної громади на 2021-2025 роки</t>
    </r>
  </si>
  <si>
    <t>2717670</t>
  </si>
  <si>
    <t>Програма легалізації заробітної плати та найманої праці  на 2021-2025 роки</t>
  </si>
  <si>
    <t>Управління капітального будівництва  Івано-Франківської міської ради</t>
  </si>
  <si>
    <t>Комплексна  програма  сприяння залученню інвестицій в економіку Івано-Франківської міської територіальної громади та проєктної діяльності на  2021 – 2025 роки</t>
  </si>
  <si>
    <t>Фінансове управління Івано-Франківської міської ради</t>
  </si>
  <si>
    <t>Проект  "Дослідження та збереження єврейської культурної спадщини на прикордонній території"</t>
  </si>
  <si>
    <t>(код бюджету)</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</si>
  <si>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</si>
  <si>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</si>
  <si>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</si>
  <si>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1011080</t>
  </si>
  <si>
    <t>1080</t>
  </si>
  <si>
    <t>0611021</t>
  </si>
  <si>
    <t>0611025</t>
  </si>
  <si>
    <t>1025</t>
  </si>
  <si>
    <t>0611030</t>
  </si>
  <si>
    <t>Надання загальної середньої освіти  за рахунок освітньої субвенції</t>
  </si>
  <si>
    <t>0611031</t>
  </si>
  <si>
    <t>1031</t>
  </si>
  <si>
    <t>061035</t>
  </si>
  <si>
    <t>1035</t>
  </si>
  <si>
    <t>0611120</t>
  </si>
  <si>
    <t>1120</t>
  </si>
  <si>
    <t>0611130</t>
  </si>
  <si>
    <t>1130</t>
  </si>
  <si>
    <t>0611141</t>
  </si>
  <si>
    <t>1141</t>
  </si>
  <si>
    <t>0611142</t>
  </si>
  <si>
    <t>1142</t>
  </si>
  <si>
    <t>1140</t>
  </si>
  <si>
    <t>0611151</t>
  </si>
  <si>
    <t>1151</t>
  </si>
  <si>
    <t>0611152</t>
  </si>
  <si>
    <t>1152</t>
  </si>
  <si>
    <t>Забезпечення діяльності центрів професійного розвитку педагогічних працівників</t>
  </si>
  <si>
    <t>0611090</t>
  </si>
  <si>
    <t>Підготовка кадрів закладами професійної (професійно-технічної) освіти та іншими закладами освіти</t>
  </si>
  <si>
    <t>0611091</t>
  </si>
  <si>
    <t>1091</t>
  </si>
  <si>
    <t>Підготовка кадрів закладами професійної (професійно-технічної) освіти та іншими закладами освіти за рахунок коштів місцевого бюджету</t>
  </si>
  <si>
    <t>0611092</t>
  </si>
  <si>
    <t>1092</t>
  </si>
  <si>
    <t>Підготовка кадрів закладами професійної (професійно-технічної) освіти та іншими закладами освіти за рахунок освітньої субвенції</t>
  </si>
  <si>
    <t xml:space="preserve">Утримання та забезпечення діяльності центрів  соціальних служб </t>
  </si>
  <si>
    <t>Надання пільг окремим категоріям громадян з оплати послуг зв`язку</t>
  </si>
  <si>
    <t>Надання загальної середньої освіти закладами загальної середньої освіти</t>
  </si>
  <si>
    <t xml:space="preserve">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t>
  </si>
  <si>
    <t>Забезпечення діяльності інших  закладів у сфері освіти</t>
  </si>
  <si>
    <t xml:space="preserve"> Іншi програми та заходи у сфері освіти</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</si>
  <si>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</si>
  <si>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коштів освітньої субвенції</t>
  </si>
  <si>
    <t>8710</t>
  </si>
  <si>
    <t>Резервний фонд місцевого бюджету</t>
  </si>
  <si>
    <t>3718710</t>
  </si>
  <si>
    <t>Надання загальної середньої освіти  за рахунок коштів місцевого бюджету</t>
  </si>
  <si>
    <t>0610180</t>
  </si>
  <si>
    <t>Програма забезпечення виконання рішень суду щодо безспірного списання коштів з розпорядника бюджетних коштів Департаменту  освіти та науки Івано-Франківської  міської ради на 2021-2025 роки</t>
  </si>
  <si>
    <t>Керівництво і управління увідповідній  сфері у містах (місті Києві), селищах, селах, територіальних громадах</t>
  </si>
  <si>
    <t>Програма розвитку професіоналізму і компетентності депутатів місцевих рад та посадорвих осіб місцевого самоврядування на 2021-2025 роки</t>
  </si>
  <si>
    <t xml:space="preserve">Проект "Безпечне майбутнє" в рамках програми транскордонного співробітництва Румунія - Україна </t>
  </si>
  <si>
    <t>Проект "Розбудова екосистеми іновацій Івано-Франківська</t>
  </si>
  <si>
    <t>Комплексна цільова соціальна програма розвитку цивільного захисту населення і  території Івано-Франківської міської територіальної громади  від надзвичайних ситуацій, забезпечення техногенної та пожежної безпеки на 2021-2025 роки</t>
  </si>
  <si>
    <t>Комплексна програма запобігання виникненню надзвичайних ситуацій природного і техногенного характеру та підвищення рівня готовності аварійно-рятувальної служби м.Івано-Франківська до дій за призначенням на 2021-2025 роки</t>
  </si>
  <si>
    <t>видатки на утримання КП "Муніципальна інспенкція "Добродій"</t>
  </si>
  <si>
    <t>7140</t>
  </si>
  <si>
    <t>Інші заходи у сфері сільського господарства</t>
  </si>
  <si>
    <t>Сприяння розвитку малого та середнього підприємництва в тому числі:</t>
  </si>
  <si>
    <t>Програма розвитку соціального підприємництва в Івано-Франківській міській територіальній громаді на 2021-2023 роки</t>
  </si>
  <si>
    <t>Заходи з енергозбереження в тому числі:</t>
  </si>
  <si>
    <t>Програма сталого енергетичного розвитку Івано-Франківської міької територіальної громади до 2030 року</t>
  </si>
  <si>
    <t>Програма поетапного відключення (відокремлення ) споживачів теплової енергії що постачається котелнею на вул. Індустріальній 34 від системи централізованого опалення</t>
  </si>
  <si>
    <t>0210170</t>
  </si>
  <si>
    <t>0131</t>
  </si>
  <si>
    <t>Підвищення кваліфікації депутатів місцевих ради та посадових осіб місцевого самоврядування в тому числі:</t>
  </si>
  <si>
    <t>0611101</t>
  </si>
  <si>
    <t>1101</t>
  </si>
  <si>
    <t xml:space="preserve">Підготовка кадрів закладами фахової передвищої освіти за рахунок коштів місцевого бюджету </t>
  </si>
  <si>
    <t>1216011</t>
  </si>
  <si>
    <t>0813192</t>
  </si>
  <si>
    <t>3192</t>
  </si>
  <si>
    <t>Надання фінансової підтримки громадським організаціям ветеранів і осіб з інвалідністю, діяльність яких має соціальну спрямованість</t>
  </si>
  <si>
    <t>0941</t>
  </si>
  <si>
    <t xml:space="preserve">Надання спеціалізованої освіти мистецькими школами  </t>
  </si>
  <si>
    <t>0913241</t>
  </si>
  <si>
    <t>Порограма розвитку електронного урядування в  Івано-Франківській  міській територіальній громаді на 2022-2024 роки</t>
  </si>
  <si>
    <t>Програми і заходи цнтру  служб для сім'ї, дітей та молоді</t>
  </si>
  <si>
    <t>Розроблення схем планування та забудови територій (містобудівної документації) в тому числі:</t>
  </si>
  <si>
    <t>Розроблення містобудівної документації</t>
  </si>
  <si>
    <t>Керівництво і управління у відповідній  сфері у містах (місті Києві), селищах, селах, територіальних громадах</t>
  </si>
  <si>
    <t>Розподіл видатків  бюджету  Івано-Франківської міської територіальної громади на 2023 рік</t>
  </si>
  <si>
    <t>1516030</t>
  </si>
  <si>
    <t>1213090</t>
  </si>
  <si>
    <t>3090</t>
  </si>
  <si>
    <t>1416013</t>
  </si>
  <si>
    <t>0813230</t>
  </si>
  <si>
    <t>3230</t>
  </si>
  <si>
    <t>Видатки пов'язані з наданням підтримки внутрішньо переміщеним та/або евакуйованим особам у зв’язку із введенням воєнного стану в Україні</t>
  </si>
  <si>
    <t>1700000</t>
  </si>
  <si>
    <t>1710000</t>
  </si>
  <si>
    <t>1710160</t>
  </si>
  <si>
    <t>Управління з питань архітектурно-будівельного контролю Івано-Франківської міської ради</t>
  </si>
  <si>
    <t>Програма сприяння розвитку волонтерства Івано-Франківської міської територіальної громади  на 2021-2025 роки</t>
  </si>
  <si>
    <t xml:space="preserve">  0953300000      </t>
  </si>
  <si>
    <t>3117140</t>
  </si>
  <si>
    <t>3117110</t>
  </si>
  <si>
    <t>7110</t>
  </si>
  <si>
    <t>Реалізація програм в галузі сільського господарства</t>
  </si>
  <si>
    <t>0218240</t>
  </si>
  <si>
    <t xml:space="preserve"> Заходи та роботи з територіальної оборони</t>
  </si>
  <si>
    <t>8240</t>
  </si>
  <si>
    <t xml:space="preserve">Програма заходів національного спротиву ІФ МТГ та підтримки добровольчих формувань територіальної громади </t>
  </si>
  <si>
    <t>Проєкт "Нова економіка  Івано-Франківська"</t>
  </si>
  <si>
    <t>Співфінансування проектів в рамках програми транскордонного співробітництва Ромунія -Україна 2014-2020  "Назад до наших спільних коренів"</t>
  </si>
  <si>
    <t>Програма розвитку КВП "Архітектурно-планувальне бюро-ІФ"</t>
  </si>
  <si>
    <t>Програма розвитку міжнародного і транскордонного співробітництва Івано-Франківської міської територіальної громади  на 2023-2027 роки</t>
  </si>
  <si>
    <t>Програма  посилення конкурентноспроможності малого і середнього підприємництва в м.Івано-Франкіську на 2022-2025 роки</t>
  </si>
  <si>
    <t>Видатки на поховання учасників бойових дій та осіб з інвалідністю внаслідок війни</t>
  </si>
  <si>
    <t>Забезпечення діяльності місцевої  та добровільної пожежної охорони</t>
  </si>
  <si>
    <t>КП Муніципальні ринки Івано-Франківської міської ради</t>
  </si>
  <si>
    <t>1617691</t>
  </si>
  <si>
    <t>Містечко милосердя "Святого Миколая"</t>
  </si>
  <si>
    <t>0217140</t>
  </si>
  <si>
    <t>Проєкт "Створення комунікаційної єврорегіональної Платформи "ідеальних" міст для переорієнтації туризму в Івано-Франківській області"</t>
  </si>
  <si>
    <t xml:space="preserve">             до  рішення ___________________міської ради</t>
  </si>
  <si>
    <t>КП "Франківськ АГРО"</t>
  </si>
  <si>
    <t>Будівництво об'єктів житлово-комунального господарства</t>
  </si>
  <si>
    <t>Будівництво інших об'єктів комунальної власності</t>
  </si>
  <si>
    <t>Затверджено з урахуванням змін</t>
  </si>
  <si>
    <t>Зміни, що вносяться</t>
  </si>
  <si>
    <t>споживання</t>
  </si>
  <si>
    <t>видатки споживання</t>
  </si>
  <si>
    <t>0217330</t>
  </si>
  <si>
    <t>Будівництво інших об'єктів комунальної власності</t>
  </si>
  <si>
    <t>0217670</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</si>
  <si>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</si>
  <si>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</si>
  <si>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</si>
  <si>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0613230</t>
  </si>
  <si>
    <t>Видатка пов'язані з наданням підтримки внутрішньо переміщеним та/або евакуйованим особам у звязку із введенням воєнного стану</t>
  </si>
  <si>
    <t>0617321</t>
  </si>
  <si>
    <t>7321</t>
  </si>
  <si>
    <t>Будівництво освітніх установ та закладів</t>
  </si>
  <si>
    <t>0717322</t>
  </si>
  <si>
    <t>7322</t>
  </si>
  <si>
    <t>Будівництво медичних установ та закладів</t>
  </si>
  <si>
    <t>1017324</t>
  </si>
  <si>
    <t>7324</t>
  </si>
  <si>
    <t>Будівництво установ та закладів культури</t>
  </si>
  <si>
    <t>1217310</t>
  </si>
  <si>
    <t>1217691</t>
  </si>
  <si>
    <t>1417310</t>
  </si>
  <si>
    <t>1418311</t>
  </si>
  <si>
    <t>1517321</t>
  </si>
  <si>
    <t>1517324</t>
  </si>
  <si>
    <t>1517340</t>
  </si>
  <si>
    <t>7340</t>
  </si>
  <si>
    <t>Проектування, реставрація та охорона пам'яток архітектури</t>
  </si>
  <si>
    <t>1617330</t>
  </si>
  <si>
    <t>1917310</t>
  </si>
  <si>
    <t>1917421</t>
  </si>
  <si>
    <t>Утримання та розвиток наземного електротранспорту</t>
  </si>
  <si>
    <t>7421</t>
  </si>
  <si>
    <t>1917691</t>
  </si>
  <si>
    <t>3117670</t>
  </si>
  <si>
    <t>3719800</t>
  </si>
  <si>
    <t>9800</t>
  </si>
  <si>
    <t>Субвенція з місцевого бюджету державному бюджету на виконання програм соціально-економічного розвитку регіонів</t>
  </si>
  <si>
    <t>Субвенція державному бюджету для регіонального сервісного центру ГСЦ МВС в Івано-Франківській області для придбання автомобіля на виконання Комплексної програми профілактики злочинності в місті до 2024 року</t>
  </si>
  <si>
    <t>Субвенція державному бюджету для головного управління Національної поліції в Івано-Франківській області для придбання службового автомобіля на виконання Комплексної програми профілактики злочинності в місті до 2024 року</t>
  </si>
  <si>
    <t>Субвенція державному бюджету для головного управління Національної поліції в Івано-Франківській області для придбання спецавтомобіля на виконання Комплексної програми профілактики злочинності в місті до 2024 року</t>
  </si>
  <si>
    <t>Субвенція державному бюджету для головного управління Національної поліції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</si>
  <si>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управління патрульної поліції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</si>
  <si>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Івано-Франківської квартирно-експлуатаційної частини (району) на капітальний ремонт системи опалення об’єктів КЕЧ (району) на виконання Програми поетапного відключення (відокремлення) споживачів теплової енергії, що постачаються котельнею на вул. Індустріальній, 34, від системи централізованого опалення та переведення їх на альтернативні джерела теплопостачання</t>
  </si>
  <si>
    <t>Субвенція державному бюджету для покращення матеріально-технічного забезпечення військової частини А 4576 41 бригаді ЗСУ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</si>
  <si>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військової частини 1241 Національної Гвардії України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</si>
  <si>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військової частини А4604 на покращення матеріально-технічної бази»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</si>
  <si>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військової частини А1349 на придбання обладнання і предметів довгострокового користування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</si>
  <si>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управління Служби безпеки України в Івано-Франківській області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</si>
  <si>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придбання безпілотних літальних апаратів та матеріально-технічних засобів військовій частині А2943 на виконання Довгострокової програми фінансування мобілізаційних заходів та оборонної роботи Івано-Франківської міської ради на 2019-2023 роки</t>
  </si>
  <si>
    <t>в т.ч. 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</si>
  <si>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в т.ч. Дотація з ДБ на оплату комунальних послуг ВПО</t>
  </si>
  <si>
    <t>в тому числі за рахунок субвенції з обласного бюджету на придбання матеріалів, будівельних матеріалів для проведення ремонтних робіт господарським способом у ліцеї №18 Івано-Франківської міської ради Івано-Франківської області</t>
  </si>
  <si>
    <t xml:space="preserve">в тому числі за рахунок субвенції з обласного бюджету на поточний ремонт захисної споруди цивільного захисту ( найпростіших укриттів ) в Братковецькому ліцеї Івано-Франківської міської ради </t>
  </si>
  <si>
    <t xml:space="preserve">в тому числі за рахунок субвенції з обласного бюджету на облаштування укриття ( придбання меблів ) в  ліцеї №3 Івано-Франківської міської ради </t>
  </si>
  <si>
    <t xml:space="preserve">в тому числі за рахунок субвенції з обласного бюджету на поточний ремонт харчоблоку та придбання матеріалів для харчоблоку господарським способом для ЗДО № 29 " Кобзарик"  Івано-Франківської міської ради </t>
  </si>
  <si>
    <t>в тому числі за рахунок субвенції з обласного бюджету на  придбання матеріалів для проведення ремонтних робіт господарським способом для приміщення ЗДО № 29 " Кобзарик"  Івано-Франківської міської ради Івано-Франківської області</t>
  </si>
  <si>
    <t>за рахунок субвенції з обласного бюджету</t>
  </si>
  <si>
    <t>0818751</t>
  </si>
  <si>
    <t>8751</t>
  </si>
  <si>
    <t>Допомога населенню, що постраждало внаслідок надзвичайної ситуації або стихійного лиха, за рахунок коштів резервного фонду місцевого бюджету</t>
  </si>
  <si>
    <t>5049</t>
  </si>
  <si>
    <t>Виконання окремих заходів з реалізації соціального проекту "Активні парки - локації здорової України"</t>
  </si>
  <si>
    <t>в т.ч. 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</si>
  <si>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Інші субвенції з місцевого бюджету</t>
  </si>
  <si>
    <t>9770</t>
  </si>
  <si>
    <t>3719770</t>
  </si>
  <si>
    <t>в т.ч</t>
  </si>
  <si>
    <t>Субвенція Покровській селищній територіальній громаді на придбання  засобів реабілітації та іншого обладнання для Покровського територіального центру соціального обслуговування ( надання соціальних послуг)</t>
  </si>
  <si>
    <t>Субвенція Бобровицькій міській територіальної громаді для соціально - економічного розвитку громади</t>
  </si>
  <si>
    <t>Субвенція Гуляйпільській міській територіальної громаді на придбання пально–мастильних матеріалів</t>
  </si>
  <si>
    <t>Субвенція Галицькій міській територіальної громаді для соціально - економічного розвитку громади</t>
  </si>
  <si>
    <t>Субвенція державному бюджету для проведення поточних видатків придбання безпілотних літальних апаратів та матеріально-технічних засобів для Львівського територіального центру комплектування та соціальної підтримки  ( для військовоїй частини А4026) на виконання Довгострокової програми фінансування мобілізаційних заходів та оборонної роботи Івано-Франківської міської ради на 2019-2023 роки</t>
  </si>
  <si>
    <t>Придбання матеріалів длшя ремонту СВ.Архисраига Михаїла</t>
  </si>
  <si>
    <t>Субвенція з обласного бюджету "Придбання будівельних матеріалів для будівницва дочірнього Храму Непорочного Зачаття Пресвяої Богородиці УГКЦ в с.Угорники</t>
  </si>
  <si>
    <t>Субвенція з МБ ДБ для 1ДПРЗ ГУ ДСНС України (Комплексна програма запобігання виникненню надзвичайних ситуацій природного та техногенного характеру та підвищення рівня готовності аварійно-рятувальної служби м.ІФ до дій за призначенням на 2021-2025 роки)</t>
  </si>
  <si>
    <t>Субвенція державному бюджету для Головного управління ДПС в Івано-Франківській області  на виконання Програми створення розвинутої інформаційної інфраструктури   Головного управління ДПС в Івано-Франківській області  на 2023-2025 роки</t>
  </si>
  <si>
    <t>Субвенція державному бюджету для Івано-Франківської установи виконання покарань (№12) на проведення ремонтних робіт та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</si>
  <si>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Івано-Франківського зонального відділу Військової служби правопорядку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</si>
  <si>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управління Державної міграційної служби України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</si>
  <si>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територіального управління Служби судової охорони у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</si>
  <si>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</si>
  <si>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8761</t>
  </si>
  <si>
    <t>8775</t>
  </si>
  <si>
    <t>0218761</t>
  </si>
  <si>
    <t>0218775</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</si>
  <si>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</si>
  <si>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 xml:space="preserve">   Інші заходи за рахунок коштів резервного фонду місцевого бюджету</t>
  </si>
  <si>
    <t xml:space="preserve"> в т.ч.за рахунок субвенції з обласного бюджету</t>
  </si>
  <si>
    <t>Віктор СИНИШИН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</si>
</sst>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 _₽_-;\-* #,##0.00\ _₽_-;_-* &quot;-&quot;??\ _₽_-;_-@_-"/>
    <numFmt numFmtId="165" formatCode="0000000"/>
    <numFmt numFmtId="166" formatCode="General_)"/>
    <numFmt numFmtId="167" formatCode="0.0"/>
    <numFmt numFmtId="168" formatCode="#,##0.0"/>
  </numFmts>
  <fonts count="20" x14ac:knownFonts="1">
    <font>
      <sz val="8"/>
      <name val="Arial"/>
    </font>
    <font>
      <sz val="8"/>
      <name val="Arial"/>
      <family val="2"/>
    </font>
    <font>
      <sz val="12"/>
      <name val="Courier"/>
      <family val="1"/>
      <charset val="204"/>
    </font>
    <font>
      <sz val="10"/>
      <name val="Times New Roman"/>
      <family val="1"/>
      <charset val="204"/>
    </font>
    <font>
      <b/>
      <sz val="8"/>
      <name val="Times New Roman"/>
      <family val="1"/>
      <charset val="204"/>
    </font>
    <font>
      <b/>
      <sz val="10"/>
      <name val="Times New Roman"/>
      <family val="1"/>
      <charset val="204"/>
    </font>
    <font>
      <sz val="10"/>
      <name val="Helv"/>
      <charset val="204"/>
    </font>
    <font>
      <sz val="9"/>
      <name val="Times New Roman"/>
      <family val="1"/>
      <charset val="204"/>
    </font>
    <font>
      <sz val="8"/>
      <name val="Arial"/>
      <family val="2"/>
      <charset val="204"/>
    </font>
    <font>
      <sz val="8"/>
      <name val="Times New Roman"/>
      <family val="1"/>
      <charset val="204"/>
    </font>
    <font>
      <b/>
      <sz val="14"/>
      <name val="Times New Roman"/>
      <family val="1"/>
      <charset val="204"/>
    </font>
    <font>
      <b/>
      <sz val="7"/>
      <name val="Times New Roman"/>
      <family val="1"/>
      <charset val="204"/>
    </font>
    <font>
      <b/>
      <sz val="9"/>
      <name val="Times New Roman"/>
      <family val="1"/>
      <charset val="204"/>
    </font>
    <font>
      <i/>
      <sz val="9"/>
      <name val="Times New Roman"/>
      <family val="1"/>
      <charset val="204"/>
    </font>
    <font>
      <sz val="10"/>
      <name val="Times New Roman Cyr"/>
      <family val="1"/>
      <charset val="204"/>
    </font>
    <font>
      <sz val="10"/>
      <name val="Arial Cyr"/>
      <charset val="204"/>
    </font>
    <font>
      <sz val="12"/>
      <name val="Times New Roman"/>
      <family val="1"/>
      <charset val="204"/>
    </font>
    <font>
      <b/>
      <u/>
      <sz val="9"/>
      <name val="Times New Roman"/>
      <family val="1"/>
      <charset val="204"/>
    </font>
    <font>
      <b/>
      <sz val="12"/>
      <name val="Times New Roman"/>
      <family val="1"/>
      <charset val="204"/>
    </font>
    <font>
      <sz val="8"/>
      <name val="Arial"/>
      <family val="2"/>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4">
    <xf numFmtId="0" fontId="0" fillId="0" borderId="0"/>
    <xf numFmtId="0" fontId="3" fillId="0" borderId="0"/>
    <xf numFmtId="166" fontId="2" fillId="0" borderId="0"/>
    <xf numFmtId="0" fontId="1" fillId="0" borderId="0"/>
    <xf numFmtId="0" fontId="6" fillId="0" borderId="0"/>
    <xf numFmtId="0" fontId="14" fillId="0" borderId="0"/>
    <xf numFmtId="0" fontId="15" fillId="0" borderId="0"/>
    <xf numFmtId="0" fontId="8" fillId="0" borderId="0"/>
    <xf numFmtId="43" fontId="8" fillId="0" borderId="0" applyFont="0" applyFill="0" applyBorder="0" applyAlignment="0" applyProtection="0"/>
    <xf numFmtId="0" fontId="8" fillId="0" borderId="0"/>
    <xf numFmtId="164" fontId="8" fillId="0" borderId="0" applyFont="0" applyFill="0" applyBorder="0" applyAlignment="0" applyProtection="0"/>
    <xf numFmtId="0" fontId="3" fillId="0" borderId="0"/>
    <xf numFmtId="0" fontId="3" fillId="0" borderId="0"/>
    <xf numFmtId="43" fontId="19" fillId="0" borderId="0" applyFont="0" applyFill="0" applyBorder="0" applyAlignment="0" applyProtection="0"/>
  </cellStyleXfs>
  <cellXfs count="89">
    <xf numFmtId="0" fontId="0" fillId="0" borderId="0" xfId="0"/>
    <xf numFmtId="49" fontId="5" fillId="2" borderId="1" xfId="0" applyNumberFormat="1" applyFont="1" applyFill="1" applyBorder="1" applyAlignment="1">
      <alignment horizontal="center" vertical="center" wrapText="1"/>
    </xf>
    <xf numFmtId="3" fontId="12" fillId="2" borderId="1"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0" fontId="5" fillId="2" borderId="0" xfId="0" applyFont="1" applyFill="1" applyAlignment="1">
      <alignment horizontal="left"/>
    </xf>
    <xf numFmtId="3" fontId="7" fillId="2" borderId="1" xfId="0" applyNumberFormat="1" applyFont="1" applyFill="1" applyBorder="1" applyAlignment="1">
      <alignment horizontal="center" vertical="center"/>
    </xf>
    <xf numFmtId="0" fontId="9" fillId="2" borderId="0" xfId="0" applyFont="1" applyFill="1" applyAlignment="1">
      <alignment horizontal="center" vertical="center"/>
    </xf>
    <xf numFmtId="0" fontId="9" fillId="2" borderId="0" xfId="0" applyFont="1" applyFill="1" applyAlignment="1">
      <alignment horizontal="left"/>
    </xf>
    <xf numFmtId="49" fontId="9" fillId="2" borderId="0" xfId="0" applyNumberFormat="1" applyFont="1" applyFill="1" applyAlignment="1">
      <alignment horizontal="center" vertical="center"/>
    </xf>
    <xf numFmtId="0" fontId="9" fillId="2" borderId="0" xfId="0" applyFont="1" applyFill="1" applyAlignment="1">
      <alignment horizontal="left" vertical="top"/>
    </xf>
    <xf numFmtId="3" fontId="7" fillId="2" borderId="0" xfId="0" applyNumberFormat="1" applyFont="1" applyFill="1" applyAlignment="1">
      <alignment horizontal="left"/>
    </xf>
    <xf numFmtId="0" fontId="7" fillId="2" borderId="0" xfId="0" applyFont="1" applyFill="1" applyAlignment="1">
      <alignment horizontal="left"/>
    </xf>
    <xf numFmtId="3" fontId="3" fillId="2" borderId="1" xfId="0" applyNumberFormat="1" applyFont="1" applyFill="1" applyBorder="1" applyAlignment="1">
      <alignment horizontal="center" vertical="center"/>
    </xf>
    <xf numFmtId="0" fontId="4" fillId="2" borderId="0" xfId="0" applyFont="1" applyFill="1" applyAlignment="1">
      <alignment horizontal="left"/>
    </xf>
    <xf numFmtId="0" fontId="9" fillId="2" borderId="0" xfId="0" applyFont="1" applyFill="1"/>
    <xf numFmtId="0" fontId="5" fillId="2" borderId="0" xfId="0" applyFont="1" applyFill="1" applyBorder="1" applyAlignment="1">
      <alignment horizontal="left"/>
    </xf>
    <xf numFmtId="0" fontId="7" fillId="2" borderId="0" xfId="0" applyFont="1" applyFill="1" applyBorder="1" applyAlignment="1">
      <alignment horizontal="left"/>
    </xf>
    <xf numFmtId="49" fontId="5" fillId="2" borderId="1" xfId="0" applyNumberFormat="1" applyFont="1" applyFill="1" applyBorder="1" applyAlignment="1">
      <alignment horizontal="center" vertical="center"/>
    </xf>
    <xf numFmtId="0" fontId="7" fillId="2" borderId="1" xfId="0" applyFont="1" applyFill="1" applyBorder="1" applyAlignment="1">
      <alignment horizontal="left" vertical="center" wrapText="1"/>
    </xf>
    <xf numFmtId="165" fontId="5" fillId="2" borderId="1" xfId="0" applyNumberFormat="1" applyFont="1" applyFill="1" applyBorder="1" applyAlignment="1">
      <alignment horizontal="center" vertical="center"/>
    </xf>
    <xf numFmtId="49" fontId="7" fillId="2" borderId="1" xfId="0" applyNumberFormat="1" applyFont="1" applyFill="1" applyBorder="1" applyAlignment="1">
      <alignment horizontal="left" vertical="center" wrapText="1"/>
    </xf>
    <xf numFmtId="167" fontId="7" fillId="2" borderId="1" xfId="4" applyNumberFormat="1" applyFont="1" applyFill="1" applyBorder="1" applyAlignment="1">
      <alignment horizontal="left" vertical="center" wrapText="1"/>
    </xf>
    <xf numFmtId="0" fontId="5"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left" vertical="center" wrapText="1"/>
    </xf>
    <xf numFmtId="3" fontId="9" fillId="2" borderId="0" xfId="0" applyNumberFormat="1" applyFont="1" applyFill="1" applyAlignment="1">
      <alignment horizontal="left"/>
    </xf>
    <xf numFmtId="0" fontId="9" fillId="2" borderId="0" xfId="0" applyFont="1" applyFill="1" applyBorder="1" applyAlignment="1">
      <alignment horizontal="left"/>
    </xf>
    <xf numFmtId="3" fontId="9" fillId="2" borderId="0" xfId="0" applyNumberFormat="1" applyFont="1" applyFill="1" applyBorder="1" applyAlignment="1">
      <alignment horizontal="left"/>
    </xf>
    <xf numFmtId="3" fontId="9" fillId="2" borderId="0" xfId="0" applyNumberFormat="1" applyFont="1" applyFill="1" applyBorder="1" applyAlignment="1">
      <alignment horizontal="center" vertical="center"/>
    </xf>
    <xf numFmtId="3" fontId="16" fillId="2" borderId="0" xfId="0" applyNumberFormat="1" applyFont="1" applyFill="1" applyBorder="1" applyAlignment="1">
      <alignment vertical="top" wrapText="1"/>
    </xf>
    <xf numFmtId="0" fontId="16" fillId="2" borderId="0" xfId="0" applyFont="1" applyFill="1" applyBorder="1" applyAlignment="1">
      <alignment vertical="top" wrapText="1"/>
    </xf>
    <xf numFmtId="0" fontId="9" fillId="2" borderId="0" xfId="0" applyFont="1" applyFill="1" applyBorder="1" applyAlignment="1">
      <alignment horizontal="left" vertical="top"/>
    </xf>
    <xf numFmtId="3" fontId="9" fillId="2" borderId="0" xfId="0" applyNumberFormat="1" applyFont="1" applyFill="1" applyBorder="1" applyAlignment="1">
      <alignment horizontal="left" vertical="top"/>
    </xf>
    <xf numFmtId="3" fontId="9" fillId="2" borderId="0" xfId="0" applyNumberFormat="1" applyFont="1" applyFill="1" applyAlignment="1">
      <alignment horizontal="left" vertical="top"/>
    </xf>
    <xf numFmtId="49" fontId="7" fillId="2" borderId="1" xfId="1" applyNumberFormat="1" applyFont="1" applyFill="1" applyBorder="1" applyAlignment="1">
      <alignment horizontal="center" vertical="center" wrapText="1"/>
    </xf>
    <xf numFmtId="0" fontId="7" fillId="2" borderId="1" xfId="1" applyFont="1" applyFill="1" applyBorder="1" applyAlignment="1">
      <alignment horizontal="justify" vertical="top" wrapText="1"/>
    </xf>
    <xf numFmtId="3" fontId="16" fillId="2" borderId="0" xfId="0" applyNumberFormat="1" applyFont="1" applyFill="1" applyBorder="1" applyAlignment="1">
      <alignment horizontal="center" vertical="top" wrapText="1"/>
    </xf>
    <xf numFmtId="0" fontId="7" fillId="2" borderId="1" xfId="0" applyFont="1" applyFill="1" applyBorder="1" applyAlignment="1">
      <alignment vertical="center" wrapText="1"/>
    </xf>
    <xf numFmtId="0" fontId="13" fillId="2" borderId="1" xfId="0" applyFont="1" applyFill="1" applyBorder="1" applyAlignment="1">
      <alignment horizontal="left" vertical="center" wrapText="1"/>
    </xf>
    <xf numFmtId="49" fontId="7" fillId="2" borderId="1" xfId="0" applyNumberFormat="1" applyFont="1" applyFill="1" applyBorder="1" applyAlignment="1">
      <alignment vertical="center" wrapText="1"/>
    </xf>
    <xf numFmtId="49" fontId="7" fillId="2" borderId="1" xfId="5" applyNumberFormat="1" applyFont="1" applyFill="1" applyBorder="1" applyAlignment="1">
      <alignment horizontal="left" vertical="center" wrapText="1"/>
    </xf>
    <xf numFmtId="49" fontId="3" fillId="2" borderId="1" xfId="0" applyNumberFormat="1" applyFont="1" applyFill="1" applyBorder="1" applyAlignment="1">
      <alignment vertical="center" wrapText="1"/>
    </xf>
    <xf numFmtId="0" fontId="3" fillId="2" borderId="1" xfId="0" applyNumberFormat="1" applyFont="1" applyFill="1" applyBorder="1" applyAlignment="1">
      <alignment vertical="center" wrapText="1"/>
    </xf>
    <xf numFmtId="0" fontId="4" fillId="2" borderId="1" xfId="0" applyFont="1" applyFill="1" applyBorder="1" applyAlignment="1">
      <alignment horizontal="center" vertical="center"/>
    </xf>
    <xf numFmtId="3" fontId="4" fillId="2" borderId="0" xfId="0" applyNumberFormat="1" applyFont="1" applyFill="1" applyAlignment="1">
      <alignment horizontal="center" vertical="center" wrapText="1"/>
    </xf>
    <xf numFmtId="3" fontId="4" fillId="2" borderId="0" xfId="0" applyNumberFormat="1" applyFont="1" applyFill="1" applyAlignment="1">
      <alignment horizontal="center" vertical="center"/>
    </xf>
    <xf numFmtId="3" fontId="4" fillId="2" borderId="0" xfId="0" applyNumberFormat="1" applyFont="1" applyFill="1" applyAlignment="1">
      <alignment horizontal="left"/>
    </xf>
    <xf numFmtId="3" fontId="18" fillId="2" borderId="0" xfId="0" applyNumberFormat="1" applyFont="1" applyFill="1" applyAlignment="1">
      <alignment horizontal="center" vertical="center" wrapText="1"/>
    </xf>
    <xf numFmtId="0" fontId="4" fillId="2" borderId="0" xfId="0" applyFont="1" applyFill="1"/>
    <xf numFmtId="3" fontId="4" fillId="2" borderId="0" xfId="0" applyNumberFormat="1" applyFont="1" applyFill="1" applyBorder="1" applyAlignment="1">
      <alignment horizontal="left" vertical="top"/>
    </xf>
    <xf numFmtId="49" fontId="7" fillId="2" borderId="1" xfId="7" applyNumberFormat="1" applyFont="1" applyFill="1" applyBorder="1" applyAlignment="1">
      <alignment horizontal="center" vertical="center" wrapText="1"/>
    </xf>
    <xf numFmtId="49" fontId="7" fillId="2" borderId="1" xfId="7" applyNumberFormat="1" applyFont="1" applyFill="1" applyBorder="1" applyAlignment="1">
      <alignment horizontal="center" vertical="center"/>
    </xf>
    <xf numFmtId="0" fontId="5" fillId="2" borderId="1" xfId="0" applyFont="1" applyFill="1" applyBorder="1" applyAlignment="1">
      <alignment horizontal="left" vertical="center" wrapText="1"/>
    </xf>
    <xf numFmtId="43" fontId="9" fillId="2" borderId="0" xfId="13" applyFont="1" applyFill="1" applyBorder="1" applyAlignment="1">
      <alignment horizontal="left"/>
    </xf>
    <xf numFmtId="3" fontId="7" fillId="2" borderId="0" xfId="0" applyNumberFormat="1" applyFont="1" applyFill="1" applyBorder="1" applyAlignment="1">
      <alignment horizontal="center" vertical="center"/>
    </xf>
    <xf numFmtId="166" fontId="7" fillId="2" borderId="1" xfId="2" applyFont="1" applyFill="1" applyBorder="1" applyAlignment="1" applyProtection="1">
      <alignment horizontal="left" vertical="center" wrapText="1"/>
    </xf>
    <xf numFmtId="49" fontId="7" fillId="2" borderId="1" xfId="9" applyNumberFormat="1" applyFont="1" applyFill="1" applyBorder="1" applyAlignment="1">
      <alignment horizontal="center" vertical="center"/>
    </xf>
    <xf numFmtId="49" fontId="7" fillId="2" borderId="1" xfId="9" applyNumberFormat="1" applyFont="1" applyFill="1" applyBorder="1" applyAlignment="1">
      <alignment horizontal="center" vertical="center" wrapText="1"/>
    </xf>
    <xf numFmtId="0" fontId="7" fillId="2" borderId="1" xfId="9" applyFont="1" applyFill="1" applyBorder="1" applyAlignment="1">
      <alignment horizontal="left" vertical="center" wrapText="1"/>
    </xf>
    <xf numFmtId="4" fontId="7" fillId="2" borderId="1" xfId="0" applyNumberFormat="1" applyFont="1" applyFill="1" applyBorder="1" applyAlignment="1">
      <alignment horizontal="center" vertical="center"/>
    </xf>
    <xf numFmtId="1" fontId="5" fillId="2" borderId="1" xfId="0" applyNumberFormat="1" applyFont="1" applyFill="1" applyBorder="1" applyAlignment="1">
      <alignment horizontal="center" vertical="center"/>
    </xf>
    <xf numFmtId="1" fontId="7" fillId="2" borderId="1" xfId="0" applyNumberFormat="1" applyFont="1" applyFill="1" applyBorder="1" applyAlignment="1">
      <alignment horizontal="center" vertical="center"/>
    </xf>
    <xf numFmtId="0" fontId="7" fillId="2" borderId="1" xfId="3" applyNumberFormat="1" applyFont="1" applyFill="1" applyBorder="1" applyAlignment="1">
      <alignment horizontal="left" vertical="center" wrapText="1"/>
    </xf>
    <xf numFmtId="0" fontId="5" fillId="2" borderId="1" xfId="0" applyFont="1" applyFill="1" applyBorder="1" applyAlignment="1">
      <alignment horizontal="center" vertical="center" wrapText="1"/>
    </xf>
    <xf numFmtId="3" fontId="9" fillId="2" borderId="0" xfId="0" applyNumberFormat="1" applyFont="1" applyFill="1" applyAlignment="1">
      <alignment horizontal="center" vertical="center"/>
    </xf>
    <xf numFmtId="0" fontId="16" fillId="2" borderId="0" xfId="0" applyFont="1" applyFill="1" applyAlignment="1">
      <alignment horizontal="center" vertical="center" wrapText="1"/>
    </xf>
    <xf numFmtId="3" fontId="16" fillId="2" borderId="0"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wrapText="1"/>
    </xf>
    <xf numFmtId="0" fontId="9" fillId="2" borderId="2" xfId="0" applyFont="1" applyFill="1" applyBorder="1" applyAlignment="1">
      <alignment vertical="center" wrapText="1"/>
    </xf>
    <xf numFmtId="4" fontId="12" fillId="2" borderId="1" xfId="0" applyNumberFormat="1" applyFont="1" applyFill="1" applyBorder="1" applyAlignment="1">
      <alignment horizontal="center" vertical="center"/>
    </xf>
    <xf numFmtId="168" fontId="7" fillId="2" borderId="1" xfId="0" applyNumberFormat="1" applyFont="1" applyFill="1" applyBorder="1" applyAlignment="1">
      <alignment horizontal="center" vertical="center"/>
    </xf>
    <xf numFmtId="0" fontId="10"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3" fontId="9" fillId="2" borderId="0" xfId="0" applyNumberFormat="1" applyFont="1" applyFill="1" applyAlignment="1">
      <alignment horizontal="center" vertical="center"/>
    </xf>
    <xf numFmtId="49" fontId="17" fillId="2" borderId="0" xfId="6" applyNumberFormat="1" applyFont="1" applyFill="1" applyAlignment="1">
      <alignment horizontal="center" vertical="center" wrapText="1"/>
    </xf>
    <xf numFmtId="0" fontId="12" fillId="2" borderId="0" xfId="6" applyFont="1" applyFill="1" applyAlignment="1">
      <alignment horizontal="center" vertical="center" wrapText="1"/>
    </xf>
    <xf numFmtId="0" fontId="11" fillId="2" borderId="1" xfId="0" applyFont="1" applyFill="1" applyBorder="1" applyAlignment="1">
      <alignment horizontal="center" vertical="center" wrapText="1"/>
    </xf>
    <xf numFmtId="49" fontId="4" fillId="2"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0" fontId="4" fillId="2" borderId="1" xfId="0" applyFont="1" applyFill="1" applyBorder="1" applyAlignment="1">
      <alignment horizontal="center" vertical="center" wrapText="1"/>
    </xf>
    <xf numFmtId="3" fontId="4" fillId="2" borderId="1" xfId="0" applyNumberFormat="1" applyFont="1" applyFill="1" applyBorder="1" applyAlignment="1">
      <alignment horizontal="center" vertical="center" wrapText="1"/>
    </xf>
    <xf numFmtId="0" fontId="16" fillId="2" borderId="0" xfId="0" applyFont="1" applyFill="1" applyAlignment="1">
      <alignment horizontal="center" vertical="center" wrapText="1"/>
    </xf>
    <xf numFmtId="3" fontId="16" fillId="2" borderId="0" xfId="0" applyNumberFormat="1" applyFont="1" applyFill="1" applyBorder="1" applyAlignment="1">
      <alignment horizontal="center" vertical="center" wrapText="1"/>
    </xf>
    <xf numFmtId="3" fontId="16" fillId="2" borderId="0" xfId="0" applyNumberFormat="1" applyFont="1" applyFill="1" applyAlignment="1">
      <alignment horizontal="center" vertical="center" wrapText="1"/>
    </xf>
    <xf numFmtId="0" fontId="5" fillId="2" borderId="1" xfId="0" applyFont="1" applyFill="1" applyBorder="1" applyAlignment="1">
      <alignment horizontal="center" vertical="top" wrapText="1"/>
    </xf>
    <xf numFmtId="0" fontId="5" fillId="2" borderId="1" xfId="0" applyFont="1" applyFill="1" applyBorder="1" applyAlignment="1">
      <alignment horizontal="right" vertical="center"/>
    </xf>
    <xf numFmtId="49"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wrapText="1"/>
    </xf>
    <xf numFmtId="168" fontId="5" fillId="2" borderId="1" xfId="0" applyNumberFormat="1" applyFont="1" applyFill="1" applyBorder="1" applyAlignment="1">
      <alignment horizontal="center" vertical="center"/>
    </xf>
  </cellXfs>
  <cellStyles count="14">
    <cellStyle name="Звичайний 2" xfId="9"/>
    <cellStyle name="Звичайний 3" xfId="7"/>
    <cellStyle name="Обычный" xfId="0" builtinId="0"/>
    <cellStyle name="Обычный 2" xfId="12"/>
    <cellStyle name="Обычный 3" xfId="1"/>
    <cellStyle name="Обычный 4" xfId="11"/>
    <cellStyle name="Обычный_osvita" xfId="2"/>
    <cellStyle name="Обычный_TDSheet" xfId="3"/>
    <cellStyle name="Обычный_Лист1" xfId="5"/>
    <cellStyle name="Обычный_СОЦ-ЕКОН.РОЗВ.2009" xfId="6"/>
    <cellStyle name="Стиль 1" xfId="4"/>
    <cellStyle name="Финансовый" xfId="13" builtinId="3"/>
    <cellStyle name="Фінансовий 2" xfId="10"/>
    <cellStyle name="Фінансовий 3" xfId="8"/>
  </cellStyles>
  <dxfs count="0"/>
  <tableStyles count="0" defaultTableStyle="TableStyleMedium9" defaultPivotStyle="PivotStyleLight16"/>
  <colors>
    <mruColors>
      <color rgb="FFCCFF99"/>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FS345"/>
  <sheetViews>
    <sheetView showZeros="0" tabSelected="1" zoomScale="90" zoomScaleNormal="90" zoomScaleSheetLayoutView="95" workbookViewId="0">
      <pane xSplit="4" ySplit="12" topLeftCell="E13" activePane="bottomRight" state="frozen"/>
      <selection pane="topRight" activeCell="E1" sqref="E1"/>
      <selection pane="bottomLeft" activeCell="A10" sqref="A10"/>
      <selection pane="bottomRight" activeCell="D6" sqref="D6"/>
    </sheetView>
  </sheetViews>
  <sheetFormatPr defaultColWidth="10.1640625" defaultRowHeight="11.25" x14ac:dyDescent="0.2"/>
  <cols>
    <col min="1" max="1" width="14" style="6" customWidth="1"/>
    <col min="2" max="2" width="14.6640625" style="8" customWidth="1"/>
    <col min="3" max="3" width="15.5" style="8" customWidth="1"/>
    <col min="4" max="4" width="48.6640625" style="9" customWidth="1"/>
    <col min="5" max="6" width="18.6640625" style="9" customWidth="1"/>
    <col min="7" max="7" width="17.5" style="9" customWidth="1"/>
    <col min="8" max="8" width="15.83203125" style="9" customWidth="1"/>
    <col min="9" max="9" width="19" style="9" customWidth="1"/>
    <col min="10" max="14" width="15.83203125" style="63" customWidth="1"/>
    <col min="15" max="15" width="19.5" style="63" customWidth="1"/>
    <col min="16" max="16" width="16.33203125" style="44" customWidth="1"/>
    <col min="17" max="18" width="16.33203125" style="47" customWidth="1"/>
    <col min="19" max="152" width="10.1640625" style="14"/>
    <col min="153" max="402" width="0" style="14" hidden="1" customWidth="1"/>
    <col min="403" max="16384" width="10.1640625" style="14"/>
  </cols>
  <sheetData>
    <row r="1" spans="1:18" s="7" customFormat="1" ht="18.75" x14ac:dyDescent="0.2">
      <c r="A1" s="6"/>
      <c r="B1" s="71" t="s">
        <v>451</v>
      </c>
      <c r="C1" s="71"/>
      <c r="D1" s="71"/>
      <c r="E1" s="71"/>
      <c r="F1" s="71"/>
      <c r="G1" s="71"/>
      <c r="H1" s="71"/>
      <c r="I1" s="71"/>
      <c r="J1" s="71"/>
      <c r="K1" s="71"/>
      <c r="L1" s="71"/>
      <c r="M1" s="71"/>
      <c r="N1" s="71"/>
      <c r="O1" s="63"/>
      <c r="P1" s="43"/>
      <c r="Q1" s="13"/>
      <c r="R1" s="13"/>
    </row>
    <row r="2" spans="1:18" s="7" customFormat="1" ht="18.75" x14ac:dyDescent="0.2">
      <c r="A2" s="6"/>
      <c r="B2" s="71"/>
      <c r="C2" s="71"/>
      <c r="D2" s="71"/>
      <c r="E2" s="71"/>
      <c r="F2" s="71"/>
      <c r="G2" s="71"/>
      <c r="H2" s="71"/>
      <c r="I2" s="71"/>
      <c r="J2" s="71"/>
      <c r="K2" s="71"/>
      <c r="L2" s="71"/>
      <c r="M2" s="71"/>
      <c r="N2" s="71"/>
      <c r="O2" s="63" t="s">
        <v>321</v>
      </c>
      <c r="P2" s="43"/>
      <c r="Q2" s="13"/>
      <c r="R2" s="13"/>
    </row>
    <row r="3" spans="1:18" s="7" customFormat="1" x14ac:dyDescent="0.2">
      <c r="A3" s="6"/>
      <c r="B3" s="8"/>
      <c r="C3" s="8"/>
      <c r="J3" s="63"/>
      <c r="K3" s="63"/>
      <c r="L3" s="63"/>
      <c r="M3" s="63"/>
      <c r="N3" s="63" t="s">
        <v>485</v>
      </c>
      <c r="O3" s="63"/>
      <c r="P3" s="44"/>
      <c r="Q3" s="13"/>
      <c r="R3" s="13"/>
    </row>
    <row r="4" spans="1:18" s="7" customFormat="1" x14ac:dyDescent="0.2">
      <c r="A4" s="6"/>
      <c r="B4" s="8"/>
      <c r="C4" s="8"/>
      <c r="J4" s="63"/>
      <c r="K4" s="63"/>
      <c r="L4" s="63"/>
      <c r="M4" s="63"/>
      <c r="N4" s="73" t="s">
        <v>305</v>
      </c>
      <c r="O4" s="73"/>
      <c r="P4" s="44"/>
      <c r="Q4" s="13"/>
      <c r="R4" s="13"/>
    </row>
    <row r="5" spans="1:18" s="7" customFormat="1" x14ac:dyDescent="0.2">
      <c r="A5" s="6"/>
      <c r="B5" s="8"/>
      <c r="C5" s="8"/>
      <c r="J5" s="63"/>
      <c r="K5" s="63"/>
      <c r="L5" s="63"/>
      <c r="M5" s="63"/>
      <c r="N5" s="63"/>
      <c r="O5" s="63"/>
      <c r="P5" s="44"/>
      <c r="Q5" s="13"/>
      <c r="R5" s="13"/>
    </row>
    <row r="6" spans="1:18" s="7" customFormat="1" ht="12" x14ac:dyDescent="0.2">
      <c r="A6" s="74" t="s">
        <v>464</v>
      </c>
      <c r="B6" s="74"/>
      <c r="C6" s="8"/>
      <c r="J6" s="63"/>
      <c r="K6" s="63"/>
      <c r="L6" s="63"/>
      <c r="M6" s="63"/>
      <c r="N6" s="63"/>
      <c r="O6" s="63"/>
      <c r="P6" s="44"/>
      <c r="Q6" s="13"/>
      <c r="R6" s="13"/>
    </row>
    <row r="7" spans="1:18" s="7" customFormat="1" ht="12" x14ac:dyDescent="0.2">
      <c r="A7" s="75" t="s">
        <v>368</v>
      </c>
      <c r="B7" s="75"/>
      <c r="C7" s="8"/>
      <c r="E7" s="24"/>
      <c r="J7" s="63"/>
      <c r="K7" s="63"/>
      <c r="L7" s="63"/>
      <c r="M7" s="63"/>
      <c r="N7" s="63"/>
      <c r="O7" s="63"/>
      <c r="P7" s="44"/>
      <c r="Q7" s="13"/>
      <c r="R7" s="13"/>
    </row>
    <row r="8" spans="1:18" s="7" customFormat="1" x14ac:dyDescent="0.2">
      <c r="A8" s="6"/>
      <c r="B8" s="8"/>
      <c r="C8" s="8"/>
      <c r="G8" s="24"/>
      <c r="J8" s="63"/>
      <c r="K8" s="63"/>
      <c r="L8" s="63"/>
      <c r="M8" s="63"/>
      <c r="N8" s="63"/>
      <c r="O8" s="63"/>
      <c r="P8" s="44" t="s">
        <v>0</v>
      </c>
      <c r="Q8" s="13"/>
      <c r="R8" s="13"/>
    </row>
    <row r="9" spans="1:18" s="7" customFormat="1" ht="27.75" customHeight="1" x14ac:dyDescent="0.2">
      <c r="A9" s="76" t="s">
        <v>281</v>
      </c>
      <c r="B9" s="77" t="s">
        <v>282</v>
      </c>
      <c r="C9" s="77" t="s">
        <v>283</v>
      </c>
      <c r="D9" s="78" t="s">
        <v>313</v>
      </c>
      <c r="E9" s="79" t="s">
        <v>284</v>
      </c>
      <c r="F9" s="79"/>
      <c r="G9" s="79"/>
      <c r="H9" s="79"/>
      <c r="I9" s="79"/>
      <c r="J9" s="80" t="s">
        <v>285</v>
      </c>
      <c r="K9" s="80"/>
      <c r="L9" s="80"/>
      <c r="M9" s="80"/>
      <c r="N9" s="80"/>
      <c r="O9" s="80"/>
      <c r="P9" s="80" t="s">
        <v>1</v>
      </c>
      <c r="Q9" s="80"/>
      <c r="R9" s="80"/>
    </row>
    <row r="10" spans="1:18" s="7" customFormat="1" ht="27.75" customHeight="1" x14ac:dyDescent="0.2">
      <c r="A10" s="76"/>
      <c r="B10" s="77"/>
      <c r="C10" s="77"/>
      <c r="D10" s="78"/>
      <c r="E10" s="72" t="s">
        <v>489</v>
      </c>
      <c r="F10" s="88" t="s">
        <v>490</v>
      </c>
      <c r="G10" s="88"/>
      <c r="H10" s="88"/>
      <c r="I10" s="72" t="s">
        <v>489</v>
      </c>
      <c r="J10" s="72" t="s">
        <v>489</v>
      </c>
      <c r="K10" s="80" t="s">
        <v>490</v>
      </c>
      <c r="L10" s="80"/>
      <c r="M10" s="80"/>
      <c r="N10" s="80"/>
      <c r="O10" s="72" t="s">
        <v>489</v>
      </c>
      <c r="P10" s="80"/>
      <c r="Q10" s="80"/>
      <c r="R10" s="80"/>
    </row>
    <row r="11" spans="1:18" s="7" customFormat="1" ht="27.75" customHeight="1" x14ac:dyDescent="0.2">
      <c r="A11" s="76"/>
      <c r="B11" s="77"/>
      <c r="C11" s="77"/>
      <c r="D11" s="78"/>
      <c r="E11" s="72"/>
      <c r="F11" s="72" t="s">
        <v>2</v>
      </c>
      <c r="G11" s="72" t="s">
        <v>491</v>
      </c>
      <c r="H11" s="72" t="s">
        <v>52</v>
      </c>
      <c r="I11" s="72"/>
      <c r="J11" s="72"/>
      <c r="K11" s="72" t="s">
        <v>2</v>
      </c>
      <c r="L11" s="72" t="s">
        <v>280</v>
      </c>
      <c r="M11" s="72" t="s">
        <v>492</v>
      </c>
      <c r="N11" s="72" t="s">
        <v>52</v>
      </c>
      <c r="O11" s="72"/>
      <c r="P11" s="84" t="s">
        <v>489</v>
      </c>
      <c r="Q11" s="72" t="s">
        <v>490</v>
      </c>
      <c r="R11" s="72" t="s">
        <v>489</v>
      </c>
    </row>
    <row r="12" spans="1:18" s="7" customFormat="1" ht="27.75" customHeight="1" x14ac:dyDescent="0.2">
      <c r="A12" s="76"/>
      <c r="B12" s="77"/>
      <c r="C12" s="77"/>
      <c r="D12" s="78"/>
      <c r="E12" s="72"/>
      <c r="F12" s="72"/>
      <c r="G12" s="72"/>
      <c r="H12" s="72"/>
      <c r="I12" s="72"/>
      <c r="J12" s="72"/>
      <c r="K12" s="72"/>
      <c r="L12" s="72"/>
      <c r="M12" s="72"/>
      <c r="N12" s="72"/>
      <c r="O12" s="72"/>
      <c r="P12" s="84"/>
      <c r="Q12" s="72"/>
      <c r="R12" s="72"/>
    </row>
    <row r="13" spans="1:18" s="4" customFormat="1" ht="25.5" x14ac:dyDescent="0.2">
      <c r="A13" s="19">
        <v>200000</v>
      </c>
      <c r="B13" s="1"/>
      <c r="C13" s="1"/>
      <c r="D13" s="62" t="s">
        <v>3</v>
      </c>
      <c r="E13" s="3">
        <f>E15+E16+E18+E28+E34+E35+E44+E48+E49+E53+E56+E29+E60+E61</f>
        <v>180275665</v>
      </c>
      <c r="F13" s="3">
        <f t="shared" ref="F13:I13" si="0">F15+F16+F18+F28+F34+F35+F44+F48+F49+F53+F56+F29+F60+F61</f>
        <v>-38639395</v>
      </c>
      <c r="G13" s="3">
        <f t="shared" si="0"/>
        <v>-38639395</v>
      </c>
      <c r="H13" s="3">
        <f t="shared" si="0"/>
        <v>0</v>
      </c>
      <c r="I13" s="3">
        <f t="shared" si="0"/>
        <v>141636270</v>
      </c>
      <c r="J13" s="3">
        <f>J15+J16+J18+J28+J34+J35+J44+J48+J49+J53+J56+J29+J32+J33</f>
        <v>50000</v>
      </c>
      <c r="K13" s="3">
        <f>K15+K16+K18+K28+K34+K35+K44+K48+K49+K53+K56+K29+K32+K33</f>
        <v>19591857</v>
      </c>
      <c r="L13" s="3">
        <f t="shared" ref="L13:O13" si="1">L15+L16+L18+L28+L34+L35+L44+L48+L49+L53+L56+L29+L32+L33</f>
        <v>0</v>
      </c>
      <c r="M13" s="3">
        <f t="shared" si="1"/>
        <v>0</v>
      </c>
      <c r="N13" s="3">
        <f t="shared" si="1"/>
        <v>19591857</v>
      </c>
      <c r="O13" s="3">
        <f t="shared" si="1"/>
        <v>19641857</v>
      </c>
      <c r="P13" s="3">
        <f>P15+P16+P18+P28+P34+P35+P44+P48+P49+P53+P56+P29+P60+P61</f>
        <v>180325665</v>
      </c>
      <c r="Q13" s="3">
        <f>F13+K13</f>
        <v>-19047538</v>
      </c>
      <c r="R13" s="3">
        <f>P13+Q13</f>
        <v>161278127</v>
      </c>
    </row>
    <row r="14" spans="1:18" s="4" customFormat="1" ht="25.5" x14ac:dyDescent="0.2">
      <c r="A14" s="19">
        <v>210000</v>
      </c>
      <c r="B14" s="1"/>
      <c r="C14" s="1"/>
      <c r="D14" s="62" t="s">
        <v>3</v>
      </c>
      <c r="E14" s="2"/>
      <c r="F14" s="2"/>
      <c r="G14" s="2"/>
      <c r="H14" s="2"/>
      <c r="I14" s="2"/>
      <c r="J14" s="5"/>
      <c r="K14" s="5"/>
      <c r="L14" s="2"/>
      <c r="M14" s="2"/>
      <c r="N14" s="2"/>
      <c r="O14" s="5"/>
      <c r="P14" s="2"/>
      <c r="Q14" s="2"/>
      <c r="R14" s="2">
        <f t="shared" ref="R14:R32" si="2">P14+Q14</f>
        <v>0</v>
      </c>
    </row>
    <row r="15" spans="1:18" s="11" customFormat="1" ht="36" x14ac:dyDescent="0.2">
      <c r="A15" s="66" t="s">
        <v>221</v>
      </c>
      <c r="B15" s="67" t="s">
        <v>61</v>
      </c>
      <c r="C15" s="67" t="s">
        <v>22</v>
      </c>
      <c r="D15" s="18" t="s">
        <v>450</v>
      </c>
      <c r="E15" s="5">
        <v>75000000</v>
      </c>
      <c r="F15" s="5">
        <f>G15+H15</f>
        <v>-795617</v>
      </c>
      <c r="G15" s="5">
        <f>-795617</f>
        <v>-795617</v>
      </c>
      <c r="H15" s="5"/>
      <c r="I15" s="5">
        <f>E15+F15</f>
        <v>74204383</v>
      </c>
      <c r="J15" s="5">
        <v>50000</v>
      </c>
      <c r="K15" s="5">
        <f>M15+N15</f>
        <v>30984</v>
      </c>
      <c r="L15" s="5"/>
      <c r="M15" s="5"/>
      <c r="N15" s="5">
        <f>30984</f>
        <v>30984</v>
      </c>
      <c r="O15" s="5">
        <f t="shared" ref="O15:O91" si="3">J15+K15</f>
        <v>80984</v>
      </c>
      <c r="P15" s="2">
        <f>E15+J15</f>
        <v>75050000</v>
      </c>
      <c r="Q15" s="2">
        <f t="shared" ref="Q15:Q90" si="4">F15+K15</f>
        <v>-764633</v>
      </c>
      <c r="R15" s="2">
        <f t="shared" si="2"/>
        <v>74285367</v>
      </c>
    </row>
    <row r="16" spans="1:18" s="11" customFormat="1" ht="36" x14ac:dyDescent="0.2">
      <c r="A16" s="66" t="s">
        <v>433</v>
      </c>
      <c r="B16" s="67" t="s">
        <v>103</v>
      </c>
      <c r="C16" s="67" t="s">
        <v>434</v>
      </c>
      <c r="D16" s="18" t="s">
        <v>435</v>
      </c>
      <c r="E16" s="5">
        <f>E17</f>
        <v>396000</v>
      </c>
      <c r="F16" s="5">
        <f t="shared" ref="F16:F61" si="5">G16+H16</f>
        <v>0</v>
      </c>
      <c r="G16" s="5"/>
      <c r="H16" s="5"/>
      <c r="I16" s="5">
        <f t="shared" ref="I16:I92" si="6">E16+F16</f>
        <v>396000</v>
      </c>
      <c r="J16" s="5"/>
      <c r="K16" s="5">
        <f t="shared" ref="K16:K59" si="7">M16+N16</f>
        <v>0</v>
      </c>
      <c r="L16" s="5"/>
      <c r="M16" s="5"/>
      <c r="N16" s="5"/>
      <c r="O16" s="5">
        <f t="shared" si="3"/>
        <v>0</v>
      </c>
      <c r="P16" s="2">
        <f t="shared" ref="P16:P89" si="8">E16+J16</f>
        <v>396000</v>
      </c>
      <c r="Q16" s="2">
        <f t="shared" si="4"/>
        <v>0</v>
      </c>
      <c r="R16" s="2">
        <f t="shared" si="2"/>
        <v>396000</v>
      </c>
    </row>
    <row r="17" spans="1:18" s="11" customFormat="1" ht="50.25" customHeight="1" x14ac:dyDescent="0.2">
      <c r="A17" s="66"/>
      <c r="B17" s="67"/>
      <c r="C17" s="67"/>
      <c r="D17" s="23" t="s">
        <v>420</v>
      </c>
      <c r="E17" s="5">
        <v>396000</v>
      </c>
      <c r="F17" s="5">
        <f t="shared" si="5"/>
        <v>0</v>
      </c>
      <c r="G17" s="5"/>
      <c r="H17" s="5"/>
      <c r="I17" s="5">
        <f t="shared" si="6"/>
        <v>396000</v>
      </c>
      <c r="J17" s="5">
        <v>0</v>
      </c>
      <c r="K17" s="5">
        <f t="shared" si="7"/>
        <v>0</v>
      </c>
      <c r="L17" s="5"/>
      <c r="M17" s="5"/>
      <c r="N17" s="5"/>
      <c r="O17" s="5">
        <f t="shared" si="3"/>
        <v>0</v>
      </c>
      <c r="P17" s="2">
        <f t="shared" si="8"/>
        <v>396000</v>
      </c>
      <c r="Q17" s="2">
        <f t="shared" si="4"/>
        <v>0</v>
      </c>
      <c r="R17" s="2">
        <f t="shared" si="2"/>
        <v>396000</v>
      </c>
    </row>
    <row r="18" spans="1:18" s="11" customFormat="1" ht="12" x14ac:dyDescent="0.2">
      <c r="A18" s="66" t="s">
        <v>165</v>
      </c>
      <c r="B18" s="67" t="s">
        <v>11</v>
      </c>
      <c r="C18" s="67" t="s">
        <v>14</v>
      </c>
      <c r="D18" s="18" t="s">
        <v>166</v>
      </c>
      <c r="E18" s="5">
        <f>SUM(E20:E24)</f>
        <v>7200000</v>
      </c>
      <c r="F18" s="5">
        <f>G18+H18</f>
        <v>379900</v>
      </c>
      <c r="G18" s="5">
        <f>-490000+202100-202100+650000+90000+99900+30000</f>
        <v>379900</v>
      </c>
      <c r="H18" s="5"/>
      <c r="I18" s="5">
        <f t="shared" si="6"/>
        <v>7579900</v>
      </c>
      <c r="J18" s="5">
        <v>0</v>
      </c>
      <c r="K18" s="5">
        <f t="shared" si="7"/>
        <v>0</v>
      </c>
      <c r="L18" s="5">
        <f>SUM(L19:L24)</f>
        <v>0</v>
      </c>
      <c r="M18" s="5">
        <f>SUM(M19:M24)</f>
        <v>0</v>
      </c>
      <c r="N18" s="5">
        <f>SUM(N19:N24)</f>
        <v>0</v>
      </c>
      <c r="O18" s="5">
        <f t="shared" si="3"/>
        <v>0</v>
      </c>
      <c r="P18" s="2">
        <f t="shared" si="8"/>
        <v>7200000</v>
      </c>
      <c r="Q18" s="2">
        <f t="shared" si="4"/>
        <v>379900</v>
      </c>
      <c r="R18" s="2">
        <f t="shared" si="2"/>
        <v>7579900</v>
      </c>
    </row>
    <row r="19" spans="1:18" s="11" customFormat="1" ht="12" x14ac:dyDescent="0.2">
      <c r="A19" s="66"/>
      <c r="B19" s="67"/>
      <c r="C19" s="67"/>
      <c r="D19" s="18" t="s">
        <v>179</v>
      </c>
      <c r="E19" s="5"/>
      <c r="F19" s="5">
        <f t="shared" si="5"/>
        <v>0</v>
      </c>
      <c r="G19" s="5"/>
      <c r="H19" s="5"/>
      <c r="I19" s="5">
        <f t="shared" si="6"/>
        <v>0</v>
      </c>
      <c r="J19" s="5"/>
      <c r="K19" s="5">
        <f t="shared" si="7"/>
        <v>0</v>
      </c>
      <c r="L19" s="5"/>
      <c r="M19" s="5"/>
      <c r="N19" s="5"/>
      <c r="O19" s="5">
        <f t="shared" si="3"/>
        <v>0</v>
      </c>
      <c r="P19" s="2">
        <f t="shared" si="8"/>
        <v>0</v>
      </c>
      <c r="Q19" s="2">
        <f t="shared" si="4"/>
        <v>0</v>
      </c>
      <c r="R19" s="2">
        <f t="shared" si="2"/>
        <v>0</v>
      </c>
    </row>
    <row r="20" spans="1:18" s="11" customFormat="1" ht="12" x14ac:dyDescent="0.2">
      <c r="A20" s="66"/>
      <c r="B20" s="67"/>
      <c r="C20" s="67"/>
      <c r="D20" s="20" t="s">
        <v>39</v>
      </c>
      <c r="E20" s="5">
        <v>800000</v>
      </c>
      <c r="F20" s="5">
        <f t="shared" si="5"/>
        <v>0</v>
      </c>
      <c r="G20" s="5"/>
      <c r="H20" s="5"/>
      <c r="I20" s="5">
        <f t="shared" si="6"/>
        <v>800000</v>
      </c>
      <c r="J20" s="5">
        <v>0</v>
      </c>
      <c r="K20" s="5">
        <f t="shared" si="7"/>
        <v>0</v>
      </c>
      <c r="L20" s="5"/>
      <c r="M20" s="5"/>
      <c r="N20" s="5"/>
      <c r="O20" s="5">
        <f t="shared" si="3"/>
        <v>0</v>
      </c>
      <c r="P20" s="2">
        <f t="shared" si="8"/>
        <v>800000</v>
      </c>
      <c r="Q20" s="2">
        <f t="shared" si="4"/>
        <v>0</v>
      </c>
      <c r="R20" s="2">
        <f t="shared" si="2"/>
        <v>800000</v>
      </c>
    </row>
    <row r="21" spans="1:18" s="11" customFormat="1" ht="12" x14ac:dyDescent="0.2">
      <c r="A21" s="66"/>
      <c r="B21" s="67"/>
      <c r="C21" s="67"/>
      <c r="D21" s="20" t="s">
        <v>40</v>
      </c>
      <c r="E21" s="5">
        <f>600000+4200000</f>
        <v>4800000</v>
      </c>
      <c r="F21" s="5">
        <f t="shared" si="5"/>
        <v>0</v>
      </c>
      <c r="G21" s="5"/>
      <c r="H21" s="5"/>
      <c r="I21" s="5">
        <f t="shared" si="6"/>
        <v>4800000</v>
      </c>
      <c r="J21" s="5">
        <v>0</v>
      </c>
      <c r="K21" s="5">
        <f t="shared" si="7"/>
        <v>0</v>
      </c>
      <c r="L21" s="5"/>
      <c r="M21" s="5"/>
      <c r="N21" s="5"/>
      <c r="O21" s="5">
        <f t="shared" si="3"/>
        <v>0</v>
      </c>
      <c r="P21" s="2">
        <f t="shared" si="8"/>
        <v>4800000</v>
      </c>
      <c r="Q21" s="2">
        <f t="shared" si="4"/>
        <v>0</v>
      </c>
      <c r="R21" s="2">
        <f t="shared" si="2"/>
        <v>4800000</v>
      </c>
    </row>
    <row r="22" spans="1:18" s="11" customFormat="1" ht="24" x14ac:dyDescent="0.2">
      <c r="A22" s="66"/>
      <c r="B22" s="67"/>
      <c r="C22" s="67"/>
      <c r="D22" s="20" t="s">
        <v>178</v>
      </c>
      <c r="E22" s="5">
        <v>100000</v>
      </c>
      <c r="F22" s="5">
        <f t="shared" si="5"/>
        <v>0</v>
      </c>
      <c r="G22" s="5"/>
      <c r="H22" s="5"/>
      <c r="I22" s="5">
        <f t="shared" si="6"/>
        <v>100000</v>
      </c>
      <c r="J22" s="5">
        <v>0</v>
      </c>
      <c r="K22" s="5">
        <f t="shared" si="7"/>
        <v>0</v>
      </c>
      <c r="L22" s="5"/>
      <c r="M22" s="5"/>
      <c r="N22" s="5"/>
      <c r="O22" s="5">
        <f t="shared" si="3"/>
        <v>0</v>
      </c>
      <c r="P22" s="2">
        <f t="shared" si="8"/>
        <v>100000</v>
      </c>
      <c r="Q22" s="2">
        <f t="shared" si="4"/>
        <v>0</v>
      </c>
      <c r="R22" s="2">
        <f t="shared" si="2"/>
        <v>100000</v>
      </c>
    </row>
    <row r="23" spans="1:18" s="11" customFormat="1" ht="60" x14ac:dyDescent="0.2">
      <c r="A23" s="66"/>
      <c r="B23" s="67"/>
      <c r="C23" s="67"/>
      <c r="D23" s="20" t="s">
        <v>347</v>
      </c>
      <c r="E23" s="5">
        <v>1000000</v>
      </c>
      <c r="F23" s="5">
        <f t="shared" si="5"/>
        <v>650000</v>
      </c>
      <c r="G23" s="5">
        <f>202100-202100+650000</f>
        <v>650000</v>
      </c>
      <c r="H23" s="5"/>
      <c r="I23" s="5">
        <f t="shared" si="6"/>
        <v>1650000</v>
      </c>
      <c r="J23" s="5">
        <v>0</v>
      </c>
      <c r="K23" s="5">
        <f t="shared" si="7"/>
        <v>0</v>
      </c>
      <c r="L23" s="5"/>
      <c r="M23" s="5"/>
      <c r="N23" s="5"/>
      <c r="O23" s="5">
        <f t="shared" si="3"/>
        <v>0</v>
      </c>
      <c r="P23" s="2">
        <f t="shared" si="8"/>
        <v>1000000</v>
      </c>
      <c r="Q23" s="2">
        <f t="shared" si="4"/>
        <v>650000</v>
      </c>
      <c r="R23" s="2">
        <f t="shared" si="2"/>
        <v>1650000</v>
      </c>
    </row>
    <row r="24" spans="1:18" s="11" customFormat="1" ht="36" x14ac:dyDescent="0.2">
      <c r="A24" s="66"/>
      <c r="B24" s="67"/>
      <c r="C24" s="67"/>
      <c r="D24" s="20" t="s">
        <v>446</v>
      </c>
      <c r="E24" s="5">
        <v>500000</v>
      </c>
      <c r="F24" s="5">
        <f t="shared" si="5"/>
        <v>-490000</v>
      </c>
      <c r="G24" s="5">
        <v>-490000</v>
      </c>
      <c r="H24" s="5"/>
      <c r="I24" s="5">
        <f t="shared" si="6"/>
        <v>10000</v>
      </c>
      <c r="J24" s="5">
        <v>0</v>
      </c>
      <c r="K24" s="5">
        <f t="shared" si="7"/>
        <v>0</v>
      </c>
      <c r="L24" s="5"/>
      <c r="M24" s="5"/>
      <c r="N24" s="5"/>
      <c r="O24" s="5">
        <f t="shared" si="3"/>
        <v>0</v>
      </c>
      <c r="P24" s="2">
        <f t="shared" si="8"/>
        <v>500000</v>
      </c>
      <c r="Q24" s="2">
        <f t="shared" si="4"/>
        <v>-490000</v>
      </c>
      <c r="R24" s="2">
        <f t="shared" si="2"/>
        <v>10000</v>
      </c>
    </row>
    <row r="25" spans="1:18" s="11" customFormat="1" ht="12" x14ac:dyDescent="0.2">
      <c r="A25" s="66"/>
      <c r="B25" s="67"/>
      <c r="C25" s="67"/>
      <c r="D25" s="20" t="s">
        <v>323</v>
      </c>
      <c r="E25" s="5"/>
      <c r="F25" s="5">
        <f t="shared" si="5"/>
        <v>99900</v>
      </c>
      <c r="G25" s="5">
        <v>99900</v>
      </c>
      <c r="H25" s="5"/>
      <c r="I25" s="5">
        <f t="shared" si="6"/>
        <v>99900</v>
      </c>
      <c r="J25" s="5"/>
      <c r="K25" s="5"/>
      <c r="L25" s="5"/>
      <c r="M25" s="5"/>
      <c r="N25" s="5"/>
      <c r="O25" s="5"/>
      <c r="P25" s="2"/>
      <c r="Q25" s="2"/>
      <c r="R25" s="2"/>
    </row>
    <row r="26" spans="1:18" s="11" customFormat="1" ht="35.25" customHeight="1" x14ac:dyDescent="0.2">
      <c r="A26" s="66"/>
      <c r="B26" s="67"/>
      <c r="C26" s="67"/>
      <c r="D26" s="20" t="s">
        <v>565</v>
      </c>
      <c r="E26" s="5"/>
      <c r="F26" s="5">
        <f t="shared" si="5"/>
        <v>30000</v>
      </c>
      <c r="G26" s="5">
        <v>30000</v>
      </c>
      <c r="H26" s="5"/>
      <c r="I26" s="5">
        <f t="shared" si="6"/>
        <v>30000</v>
      </c>
      <c r="J26" s="5"/>
      <c r="K26" s="5"/>
      <c r="L26" s="5"/>
      <c r="M26" s="5"/>
      <c r="N26" s="5"/>
      <c r="O26" s="5"/>
      <c r="P26" s="2"/>
      <c r="Q26" s="2"/>
      <c r="R26" s="2"/>
    </row>
    <row r="27" spans="1:18" s="11" customFormat="1" ht="26.25" customHeight="1" x14ac:dyDescent="0.2">
      <c r="A27" s="66"/>
      <c r="B27" s="67"/>
      <c r="C27" s="67"/>
      <c r="D27" s="20" t="s">
        <v>564</v>
      </c>
      <c r="E27" s="5"/>
      <c r="F27" s="5">
        <f t="shared" si="5"/>
        <v>90000</v>
      </c>
      <c r="G27" s="5">
        <v>90000</v>
      </c>
      <c r="H27" s="5"/>
      <c r="I27" s="5">
        <f t="shared" si="6"/>
        <v>90000</v>
      </c>
      <c r="J27" s="5"/>
      <c r="K27" s="5"/>
      <c r="L27" s="5"/>
      <c r="M27" s="5"/>
      <c r="N27" s="5"/>
      <c r="O27" s="5"/>
      <c r="P27" s="2"/>
      <c r="Q27" s="2"/>
      <c r="R27" s="2"/>
    </row>
    <row r="28" spans="1:18" s="11" customFormat="1" ht="12" x14ac:dyDescent="0.2">
      <c r="A28" s="66" t="s">
        <v>268</v>
      </c>
      <c r="B28" s="67" t="s">
        <v>269</v>
      </c>
      <c r="C28" s="67" t="s">
        <v>212</v>
      </c>
      <c r="D28" s="18" t="s">
        <v>211</v>
      </c>
      <c r="E28" s="5">
        <v>200000</v>
      </c>
      <c r="F28" s="5">
        <f t="shared" si="5"/>
        <v>200000</v>
      </c>
      <c r="G28" s="5">
        <v>200000</v>
      </c>
      <c r="H28" s="5"/>
      <c r="I28" s="5">
        <f t="shared" si="6"/>
        <v>400000</v>
      </c>
      <c r="J28" s="5">
        <v>0</v>
      </c>
      <c r="K28" s="5">
        <f t="shared" si="7"/>
        <v>0</v>
      </c>
      <c r="L28" s="5"/>
      <c r="M28" s="5"/>
      <c r="N28" s="5"/>
      <c r="O28" s="5">
        <f t="shared" si="3"/>
        <v>0</v>
      </c>
      <c r="P28" s="2">
        <f t="shared" si="8"/>
        <v>200000</v>
      </c>
      <c r="Q28" s="2">
        <f t="shared" si="4"/>
        <v>200000</v>
      </c>
      <c r="R28" s="2">
        <f t="shared" si="2"/>
        <v>400000</v>
      </c>
    </row>
    <row r="29" spans="1:18" s="11" customFormat="1" ht="12" x14ac:dyDescent="0.2">
      <c r="A29" s="66" t="s">
        <v>483</v>
      </c>
      <c r="B29" s="67" t="s">
        <v>426</v>
      </c>
      <c r="C29" s="67" t="s">
        <v>201</v>
      </c>
      <c r="D29" s="18" t="s">
        <v>427</v>
      </c>
      <c r="E29" s="5">
        <v>1500000</v>
      </c>
      <c r="F29" s="5">
        <f t="shared" si="5"/>
        <v>0</v>
      </c>
      <c r="G29" s="5"/>
      <c r="H29" s="5"/>
      <c r="I29" s="5">
        <f t="shared" si="6"/>
        <v>1500000</v>
      </c>
      <c r="J29" s="5"/>
      <c r="K29" s="5">
        <f t="shared" si="7"/>
        <v>0</v>
      </c>
      <c r="L29" s="5"/>
      <c r="M29" s="5"/>
      <c r="N29" s="5"/>
      <c r="O29" s="5">
        <f t="shared" si="3"/>
        <v>0</v>
      </c>
      <c r="P29" s="2">
        <f t="shared" si="8"/>
        <v>1500000</v>
      </c>
      <c r="Q29" s="2">
        <f t="shared" si="4"/>
        <v>0</v>
      </c>
      <c r="R29" s="2">
        <f t="shared" si="2"/>
        <v>1500000</v>
      </c>
    </row>
    <row r="30" spans="1:18" s="11" customFormat="1" ht="12" x14ac:dyDescent="0.2">
      <c r="A30" s="66"/>
      <c r="B30" s="67"/>
      <c r="C30" s="67"/>
      <c r="D30" s="21" t="s">
        <v>193</v>
      </c>
      <c r="E30" s="5"/>
      <c r="F30" s="5">
        <f t="shared" si="5"/>
        <v>0</v>
      </c>
      <c r="G30" s="5"/>
      <c r="H30" s="5"/>
      <c r="I30" s="5">
        <f t="shared" si="6"/>
        <v>0</v>
      </c>
      <c r="J30" s="5"/>
      <c r="K30" s="5">
        <f t="shared" si="7"/>
        <v>0</v>
      </c>
      <c r="L30" s="5"/>
      <c r="M30" s="5"/>
      <c r="N30" s="5"/>
      <c r="O30" s="5">
        <f t="shared" si="3"/>
        <v>0</v>
      </c>
      <c r="P30" s="2"/>
      <c r="Q30" s="2">
        <f t="shared" si="4"/>
        <v>0</v>
      </c>
      <c r="R30" s="2">
        <f t="shared" si="2"/>
        <v>0</v>
      </c>
    </row>
    <row r="31" spans="1:18" s="11" customFormat="1" ht="24" x14ac:dyDescent="0.2">
      <c r="A31" s="66"/>
      <c r="B31" s="67"/>
      <c r="C31" s="67"/>
      <c r="D31" s="23" t="s">
        <v>480</v>
      </c>
      <c r="E31" s="5">
        <v>1500000</v>
      </c>
      <c r="F31" s="5">
        <f t="shared" si="5"/>
        <v>0</v>
      </c>
      <c r="G31" s="5"/>
      <c r="H31" s="5"/>
      <c r="I31" s="5">
        <f t="shared" si="6"/>
        <v>1500000</v>
      </c>
      <c r="J31" s="5"/>
      <c r="K31" s="5">
        <f t="shared" si="7"/>
        <v>0</v>
      </c>
      <c r="L31" s="5"/>
      <c r="M31" s="5"/>
      <c r="N31" s="5"/>
      <c r="O31" s="5">
        <f t="shared" si="3"/>
        <v>0</v>
      </c>
      <c r="P31" s="2">
        <f t="shared" si="8"/>
        <v>1500000</v>
      </c>
      <c r="Q31" s="2">
        <f t="shared" si="4"/>
        <v>0</v>
      </c>
      <c r="R31" s="2">
        <f t="shared" si="2"/>
        <v>1500000</v>
      </c>
    </row>
    <row r="32" spans="1:18" s="11" customFormat="1" ht="12" x14ac:dyDescent="0.2">
      <c r="A32" s="66" t="s">
        <v>493</v>
      </c>
      <c r="B32" s="67" t="s">
        <v>232</v>
      </c>
      <c r="C32" s="67" t="s">
        <v>206</v>
      </c>
      <c r="D32" s="18" t="s">
        <v>494</v>
      </c>
      <c r="E32" s="5"/>
      <c r="F32" s="5"/>
      <c r="G32" s="5"/>
      <c r="H32" s="5"/>
      <c r="I32" s="5"/>
      <c r="J32" s="5"/>
      <c r="K32" s="5">
        <f t="shared" si="7"/>
        <v>1562262</v>
      </c>
      <c r="L32" s="5"/>
      <c r="M32" s="5"/>
      <c r="N32" s="5">
        <f>1562262</f>
        <v>1562262</v>
      </c>
      <c r="O32" s="5">
        <f t="shared" ref="O32:O33" si="9">K32+J32</f>
        <v>1562262</v>
      </c>
      <c r="P32" s="2">
        <f t="shared" si="8"/>
        <v>0</v>
      </c>
      <c r="Q32" s="2">
        <f t="shared" si="4"/>
        <v>1562262</v>
      </c>
      <c r="R32" s="2">
        <f t="shared" si="2"/>
        <v>1562262</v>
      </c>
    </row>
    <row r="33" spans="1:18" s="11" customFormat="1" ht="24" x14ac:dyDescent="0.2">
      <c r="A33" s="66" t="s">
        <v>495</v>
      </c>
      <c r="B33" s="67" t="s">
        <v>79</v>
      </c>
      <c r="C33" s="67" t="s">
        <v>25</v>
      </c>
      <c r="D33" s="18" t="s">
        <v>53</v>
      </c>
      <c r="E33" s="5"/>
      <c r="F33" s="5"/>
      <c r="G33" s="5"/>
      <c r="H33" s="5"/>
      <c r="I33" s="5"/>
      <c r="J33" s="5"/>
      <c r="K33" s="5">
        <f>M33+N33</f>
        <v>99000</v>
      </c>
      <c r="L33" s="5"/>
      <c r="M33" s="5"/>
      <c r="N33" s="5">
        <f>99000</f>
        <v>99000</v>
      </c>
      <c r="O33" s="5">
        <f t="shared" si="9"/>
        <v>99000</v>
      </c>
      <c r="P33" s="2">
        <f t="shared" si="8"/>
        <v>0</v>
      </c>
      <c r="Q33" s="2">
        <f t="shared" si="4"/>
        <v>99000</v>
      </c>
      <c r="R33" s="2">
        <f>P33+Q33</f>
        <v>99000</v>
      </c>
    </row>
    <row r="34" spans="1:18" s="11" customFormat="1" ht="24" x14ac:dyDescent="0.2">
      <c r="A34" s="66" t="s">
        <v>167</v>
      </c>
      <c r="B34" s="67" t="s">
        <v>168</v>
      </c>
      <c r="C34" s="67" t="s">
        <v>25</v>
      </c>
      <c r="D34" s="20" t="s">
        <v>180</v>
      </c>
      <c r="E34" s="5">
        <v>650000</v>
      </c>
      <c r="F34" s="5">
        <f t="shared" si="5"/>
        <v>737533</v>
      </c>
      <c r="G34" s="5">
        <v>737533</v>
      </c>
      <c r="H34" s="5"/>
      <c r="I34" s="5">
        <f t="shared" si="6"/>
        <v>1387533</v>
      </c>
      <c r="J34" s="5">
        <v>0</v>
      </c>
      <c r="K34" s="5">
        <f t="shared" si="7"/>
        <v>0</v>
      </c>
      <c r="L34" s="5"/>
      <c r="M34" s="5"/>
      <c r="N34" s="5"/>
      <c r="O34" s="5">
        <f t="shared" si="3"/>
        <v>0</v>
      </c>
      <c r="P34" s="2">
        <f t="shared" si="8"/>
        <v>650000</v>
      </c>
      <c r="Q34" s="2">
        <f t="shared" si="4"/>
        <v>737533</v>
      </c>
      <c r="R34" s="2">
        <f t="shared" ref="R34:R109" si="10">P34+Q34</f>
        <v>1387533</v>
      </c>
    </row>
    <row r="35" spans="1:18" s="11" customFormat="1" ht="12" x14ac:dyDescent="0.2">
      <c r="A35" s="66" t="s">
        <v>293</v>
      </c>
      <c r="B35" s="66" t="s">
        <v>279</v>
      </c>
      <c r="C35" s="67" t="s">
        <v>25</v>
      </c>
      <c r="D35" s="21" t="s">
        <v>192</v>
      </c>
      <c r="E35" s="5">
        <f>E37+E38+E39+E40+E41+E42+E43</f>
        <v>11440000</v>
      </c>
      <c r="F35" s="5">
        <f t="shared" si="5"/>
        <v>-6908968</v>
      </c>
      <c r="G35" s="5">
        <f>G37</f>
        <v>-6908968</v>
      </c>
      <c r="H35" s="5"/>
      <c r="I35" s="5">
        <f t="shared" si="6"/>
        <v>4531032</v>
      </c>
      <c r="J35" s="5">
        <v>0</v>
      </c>
      <c r="K35" s="5">
        <f t="shared" si="7"/>
        <v>6908968</v>
      </c>
      <c r="L35" s="5"/>
      <c r="M35" s="5"/>
      <c r="N35" s="5">
        <f>6908968</f>
        <v>6908968</v>
      </c>
      <c r="O35" s="5">
        <f t="shared" si="3"/>
        <v>6908968</v>
      </c>
      <c r="P35" s="2">
        <f t="shared" si="8"/>
        <v>11440000</v>
      </c>
      <c r="Q35" s="2">
        <f t="shared" si="4"/>
        <v>0</v>
      </c>
      <c r="R35" s="2">
        <f t="shared" si="10"/>
        <v>11440000</v>
      </c>
    </row>
    <row r="36" spans="1:18" s="11" customFormat="1" ht="12" x14ac:dyDescent="0.2">
      <c r="A36" s="66"/>
      <c r="B36" s="66"/>
      <c r="C36" s="67"/>
      <c r="D36" s="21" t="s">
        <v>193</v>
      </c>
      <c r="E36" s="5"/>
      <c r="F36" s="5">
        <f t="shared" si="5"/>
        <v>0</v>
      </c>
      <c r="G36" s="5"/>
      <c r="H36" s="5"/>
      <c r="I36" s="5">
        <f t="shared" si="6"/>
        <v>0</v>
      </c>
      <c r="J36" s="5"/>
      <c r="K36" s="5">
        <f t="shared" si="7"/>
        <v>0</v>
      </c>
      <c r="L36" s="5"/>
      <c r="M36" s="5"/>
      <c r="N36" s="5"/>
      <c r="O36" s="5">
        <f t="shared" si="3"/>
        <v>0</v>
      </c>
      <c r="P36" s="2">
        <f t="shared" si="8"/>
        <v>0</v>
      </c>
      <c r="Q36" s="2">
        <f t="shared" si="4"/>
        <v>0</v>
      </c>
      <c r="R36" s="2">
        <f t="shared" si="10"/>
        <v>0</v>
      </c>
    </row>
    <row r="37" spans="1:18" s="11" customFormat="1" ht="24" x14ac:dyDescent="0.2">
      <c r="A37" s="66"/>
      <c r="B37" s="66"/>
      <c r="C37" s="67"/>
      <c r="D37" s="20" t="s">
        <v>421</v>
      </c>
      <c r="E37" s="5">
        <v>7080000</v>
      </c>
      <c r="F37" s="5">
        <f t="shared" si="5"/>
        <v>-6908968</v>
      </c>
      <c r="G37" s="5">
        <v>-6908968</v>
      </c>
      <c r="H37" s="5"/>
      <c r="I37" s="5">
        <f t="shared" si="6"/>
        <v>171032</v>
      </c>
      <c r="J37" s="5">
        <v>0</v>
      </c>
      <c r="K37" s="5">
        <f t="shared" si="7"/>
        <v>6908968</v>
      </c>
      <c r="L37" s="5"/>
      <c r="M37" s="5"/>
      <c r="N37" s="5">
        <f>6908968</f>
        <v>6908968</v>
      </c>
      <c r="O37" s="5">
        <f t="shared" si="3"/>
        <v>6908968</v>
      </c>
      <c r="P37" s="2">
        <f t="shared" si="8"/>
        <v>7080000</v>
      </c>
      <c r="Q37" s="2">
        <f t="shared" si="4"/>
        <v>0</v>
      </c>
      <c r="R37" s="2">
        <f t="shared" si="10"/>
        <v>7080000</v>
      </c>
    </row>
    <row r="38" spans="1:18" s="11" customFormat="1" ht="24" x14ac:dyDescent="0.2">
      <c r="A38" s="66"/>
      <c r="B38" s="66"/>
      <c r="C38" s="67"/>
      <c r="D38" s="20" t="s">
        <v>350</v>
      </c>
      <c r="E38" s="5">
        <v>2800000</v>
      </c>
      <c r="F38" s="5">
        <f t="shared" si="5"/>
        <v>0</v>
      </c>
      <c r="G38" s="5"/>
      <c r="H38" s="5"/>
      <c r="I38" s="5">
        <f t="shared" si="6"/>
        <v>2800000</v>
      </c>
      <c r="J38" s="5">
        <v>0</v>
      </c>
      <c r="K38" s="5">
        <f t="shared" si="7"/>
        <v>0</v>
      </c>
      <c r="L38" s="5"/>
      <c r="M38" s="5"/>
      <c r="N38" s="5"/>
      <c r="O38" s="5">
        <f t="shared" si="3"/>
        <v>0</v>
      </c>
      <c r="P38" s="2">
        <f t="shared" si="8"/>
        <v>2800000</v>
      </c>
      <c r="Q38" s="2">
        <f t="shared" si="4"/>
        <v>0</v>
      </c>
      <c r="R38" s="2">
        <f t="shared" si="10"/>
        <v>2800000</v>
      </c>
    </row>
    <row r="39" spans="1:18" s="11" customFormat="1" ht="24" x14ac:dyDescent="0.2">
      <c r="A39" s="66"/>
      <c r="B39" s="66"/>
      <c r="C39" s="67"/>
      <c r="D39" s="20" t="s">
        <v>422</v>
      </c>
      <c r="E39" s="5">
        <v>100000</v>
      </c>
      <c r="F39" s="5">
        <f t="shared" si="5"/>
        <v>0</v>
      </c>
      <c r="G39" s="5"/>
      <c r="H39" s="5"/>
      <c r="I39" s="5">
        <f t="shared" si="6"/>
        <v>100000</v>
      </c>
      <c r="J39" s="5">
        <v>0</v>
      </c>
      <c r="K39" s="5">
        <f t="shared" si="7"/>
        <v>0</v>
      </c>
      <c r="L39" s="5"/>
      <c r="M39" s="5"/>
      <c r="N39" s="5"/>
      <c r="O39" s="5">
        <f t="shared" si="3"/>
        <v>0</v>
      </c>
      <c r="P39" s="2">
        <f t="shared" si="8"/>
        <v>100000</v>
      </c>
      <c r="Q39" s="2">
        <f t="shared" si="4"/>
        <v>0</v>
      </c>
      <c r="R39" s="2">
        <f t="shared" si="10"/>
        <v>100000</v>
      </c>
    </row>
    <row r="40" spans="1:18" s="11" customFormat="1" ht="12" x14ac:dyDescent="0.2">
      <c r="A40" s="66"/>
      <c r="B40" s="66"/>
      <c r="C40" s="67"/>
      <c r="D40" s="20" t="s">
        <v>473</v>
      </c>
      <c r="E40" s="5">
        <v>1200000</v>
      </c>
      <c r="F40" s="5">
        <f t="shared" si="5"/>
        <v>0</v>
      </c>
      <c r="G40" s="5"/>
      <c r="H40" s="5"/>
      <c r="I40" s="5">
        <f t="shared" si="6"/>
        <v>1200000</v>
      </c>
      <c r="J40" s="5"/>
      <c r="K40" s="5">
        <f t="shared" si="7"/>
        <v>0</v>
      </c>
      <c r="L40" s="5"/>
      <c r="M40" s="5"/>
      <c r="N40" s="5"/>
      <c r="O40" s="5">
        <f t="shared" si="3"/>
        <v>0</v>
      </c>
      <c r="P40" s="2">
        <f t="shared" si="8"/>
        <v>1200000</v>
      </c>
      <c r="Q40" s="2">
        <f t="shared" si="4"/>
        <v>0</v>
      </c>
      <c r="R40" s="2">
        <f t="shared" si="10"/>
        <v>1200000</v>
      </c>
    </row>
    <row r="41" spans="1:18" s="11" customFormat="1" ht="24" x14ac:dyDescent="0.2">
      <c r="A41" s="66"/>
      <c r="B41" s="66"/>
      <c r="C41" s="67"/>
      <c r="D41" s="21" t="s">
        <v>363</v>
      </c>
      <c r="E41" s="5">
        <v>100000</v>
      </c>
      <c r="F41" s="5">
        <f t="shared" si="5"/>
        <v>0</v>
      </c>
      <c r="G41" s="5"/>
      <c r="H41" s="5"/>
      <c r="I41" s="5">
        <f t="shared" si="6"/>
        <v>100000</v>
      </c>
      <c r="J41" s="5">
        <v>0</v>
      </c>
      <c r="K41" s="5">
        <f t="shared" si="7"/>
        <v>0</v>
      </c>
      <c r="L41" s="5"/>
      <c r="M41" s="5"/>
      <c r="N41" s="5"/>
      <c r="O41" s="5">
        <f t="shared" si="3"/>
        <v>0</v>
      </c>
      <c r="P41" s="2">
        <f t="shared" si="8"/>
        <v>100000</v>
      </c>
      <c r="Q41" s="2">
        <f t="shared" si="4"/>
        <v>0</v>
      </c>
      <c r="R41" s="2">
        <f t="shared" si="10"/>
        <v>100000</v>
      </c>
    </row>
    <row r="42" spans="1:18" s="11" customFormat="1" ht="48" x14ac:dyDescent="0.2">
      <c r="A42" s="66"/>
      <c r="B42" s="66"/>
      <c r="C42" s="67"/>
      <c r="D42" s="21" t="s">
        <v>359</v>
      </c>
      <c r="E42" s="5">
        <v>75000</v>
      </c>
      <c r="F42" s="5">
        <f t="shared" si="5"/>
        <v>0</v>
      </c>
      <c r="G42" s="5"/>
      <c r="H42" s="5"/>
      <c r="I42" s="5">
        <f t="shared" si="6"/>
        <v>75000</v>
      </c>
      <c r="J42" s="5">
        <v>0</v>
      </c>
      <c r="K42" s="5">
        <f t="shared" si="7"/>
        <v>0</v>
      </c>
      <c r="L42" s="5"/>
      <c r="M42" s="5"/>
      <c r="N42" s="5"/>
      <c r="O42" s="5">
        <f t="shared" si="3"/>
        <v>0</v>
      </c>
      <c r="P42" s="2">
        <f t="shared" si="8"/>
        <v>75000</v>
      </c>
      <c r="Q42" s="2">
        <f t="shared" si="4"/>
        <v>0</v>
      </c>
      <c r="R42" s="2">
        <f t="shared" si="10"/>
        <v>75000</v>
      </c>
    </row>
    <row r="43" spans="1:18" s="11" customFormat="1" ht="36" x14ac:dyDescent="0.2">
      <c r="A43" s="66"/>
      <c r="B43" s="66"/>
      <c r="C43" s="67"/>
      <c r="D43" s="21" t="s">
        <v>351</v>
      </c>
      <c r="E43" s="5">
        <v>85000</v>
      </c>
      <c r="F43" s="5">
        <f t="shared" si="5"/>
        <v>0</v>
      </c>
      <c r="G43" s="5"/>
      <c r="H43" s="5"/>
      <c r="I43" s="5">
        <f t="shared" si="6"/>
        <v>85000</v>
      </c>
      <c r="J43" s="5">
        <v>0</v>
      </c>
      <c r="K43" s="5">
        <f t="shared" si="7"/>
        <v>0</v>
      </c>
      <c r="L43" s="5"/>
      <c r="M43" s="5"/>
      <c r="N43" s="5"/>
      <c r="O43" s="5">
        <f t="shared" si="3"/>
        <v>0</v>
      </c>
      <c r="P43" s="2">
        <f t="shared" si="8"/>
        <v>85000</v>
      </c>
      <c r="Q43" s="2">
        <f t="shared" si="4"/>
        <v>0</v>
      </c>
      <c r="R43" s="2">
        <f t="shared" si="10"/>
        <v>85000</v>
      </c>
    </row>
    <row r="44" spans="1:18" s="11" customFormat="1" ht="24" x14ac:dyDescent="0.2">
      <c r="A44" s="66" t="s">
        <v>176</v>
      </c>
      <c r="B44" s="67" t="s">
        <v>177</v>
      </c>
      <c r="C44" s="67" t="s">
        <v>58</v>
      </c>
      <c r="D44" s="20" t="s">
        <v>270</v>
      </c>
      <c r="E44" s="5">
        <f>E46+E47</f>
        <v>390000</v>
      </c>
      <c r="F44" s="5">
        <f t="shared" si="5"/>
        <v>-300000</v>
      </c>
      <c r="G44" s="5">
        <f>G46+G47</f>
        <v>-300000</v>
      </c>
      <c r="H44" s="5"/>
      <c r="I44" s="5">
        <f t="shared" si="6"/>
        <v>90000</v>
      </c>
      <c r="J44" s="5">
        <v>0</v>
      </c>
      <c r="K44" s="5">
        <f t="shared" si="7"/>
        <v>0</v>
      </c>
      <c r="L44" s="5"/>
      <c r="M44" s="5"/>
      <c r="N44" s="5"/>
      <c r="O44" s="5">
        <f t="shared" si="3"/>
        <v>0</v>
      </c>
      <c r="P44" s="2">
        <f t="shared" si="8"/>
        <v>390000</v>
      </c>
      <c r="Q44" s="2">
        <f t="shared" si="4"/>
        <v>-300000</v>
      </c>
      <c r="R44" s="2">
        <f t="shared" si="10"/>
        <v>90000</v>
      </c>
    </row>
    <row r="45" spans="1:18" s="11" customFormat="1" ht="12" x14ac:dyDescent="0.2">
      <c r="A45" s="66"/>
      <c r="B45" s="67"/>
      <c r="C45" s="67"/>
      <c r="D45" s="18" t="s">
        <v>179</v>
      </c>
      <c r="E45" s="5"/>
      <c r="F45" s="5">
        <f t="shared" si="5"/>
        <v>0</v>
      </c>
      <c r="G45" s="5"/>
      <c r="H45" s="5"/>
      <c r="I45" s="5">
        <f t="shared" si="6"/>
        <v>0</v>
      </c>
      <c r="J45" s="5"/>
      <c r="K45" s="5">
        <f t="shared" si="7"/>
        <v>0</v>
      </c>
      <c r="L45" s="5"/>
      <c r="M45" s="5"/>
      <c r="N45" s="5"/>
      <c r="O45" s="5">
        <f t="shared" si="3"/>
        <v>0</v>
      </c>
      <c r="P45" s="2">
        <f t="shared" si="8"/>
        <v>0</v>
      </c>
      <c r="Q45" s="2">
        <f t="shared" si="4"/>
        <v>0</v>
      </c>
      <c r="R45" s="2">
        <f t="shared" si="10"/>
        <v>0</v>
      </c>
    </row>
    <row r="46" spans="1:18" s="11" customFormat="1" ht="60" x14ac:dyDescent="0.2">
      <c r="A46" s="66"/>
      <c r="B46" s="67"/>
      <c r="C46" s="67"/>
      <c r="D46" s="20" t="s">
        <v>423</v>
      </c>
      <c r="E46" s="5">
        <v>90000</v>
      </c>
      <c r="F46" s="5">
        <f t="shared" si="5"/>
        <v>0</v>
      </c>
      <c r="G46" s="5"/>
      <c r="H46" s="5"/>
      <c r="I46" s="5">
        <f t="shared" si="6"/>
        <v>90000</v>
      </c>
      <c r="J46" s="5">
        <v>0</v>
      </c>
      <c r="K46" s="5">
        <f t="shared" si="7"/>
        <v>0</v>
      </c>
      <c r="L46" s="5"/>
      <c r="M46" s="5"/>
      <c r="N46" s="5"/>
      <c r="O46" s="5">
        <f t="shared" si="3"/>
        <v>0</v>
      </c>
      <c r="P46" s="2">
        <f t="shared" si="8"/>
        <v>90000</v>
      </c>
      <c r="Q46" s="2">
        <f t="shared" si="4"/>
        <v>0</v>
      </c>
      <c r="R46" s="2">
        <f t="shared" si="10"/>
        <v>90000</v>
      </c>
    </row>
    <row r="47" spans="1:18" s="11" customFormat="1" ht="60" x14ac:dyDescent="0.2">
      <c r="A47" s="66"/>
      <c r="B47" s="67"/>
      <c r="C47" s="67"/>
      <c r="D47" s="20" t="s">
        <v>424</v>
      </c>
      <c r="E47" s="5">
        <v>300000</v>
      </c>
      <c r="F47" s="5">
        <f t="shared" si="5"/>
        <v>-300000</v>
      </c>
      <c r="G47" s="5">
        <v>-300000</v>
      </c>
      <c r="H47" s="5"/>
      <c r="I47" s="5">
        <f t="shared" si="6"/>
        <v>0</v>
      </c>
      <c r="J47" s="5">
        <v>0</v>
      </c>
      <c r="K47" s="5">
        <f t="shared" si="7"/>
        <v>0</v>
      </c>
      <c r="L47" s="5"/>
      <c r="M47" s="5"/>
      <c r="N47" s="5"/>
      <c r="O47" s="5">
        <f t="shared" si="3"/>
        <v>0</v>
      </c>
      <c r="P47" s="2">
        <f t="shared" si="8"/>
        <v>300000</v>
      </c>
      <c r="Q47" s="2">
        <f t="shared" si="4"/>
        <v>-300000</v>
      </c>
      <c r="R47" s="2">
        <f t="shared" si="10"/>
        <v>0</v>
      </c>
    </row>
    <row r="48" spans="1:18" s="11" customFormat="1" ht="24" x14ac:dyDescent="0.2">
      <c r="A48" s="66" t="s">
        <v>136</v>
      </c>
      <c r="B48" s="67" t="s">
        <v>78</v>
      </c>
      <c r="C48" s="67" t="s">
        <v>58</v>
      </c>
      <c r="D48" s="20" t="s">
        <v>479</v>
      </c>
      <c r="E48" s="5">
        <v>6200000</v>
      </c>
      <c r="F48" s="5">
        <f t="shared" si="5"/>
        <v>0</v>
      </c>
      <c r="G48" s="5"/>
      <c r="H48" s="5"/>
      <c r="I48" s="5">
        <f t="shared" si="6"/>
        <v>6200000</v>
      </c>
      <c r="J48" s="5">
        <v>0</v>
      </c>
      <c r="K48" s="5">
        <f t="shared" si="7"/>
        <v>0</v>
      </c>
      <c r="L48" s="5"/>
      <c r="M48" s="5"/>
      <c r="N48" s="5"/>
      <c r="O48" s="5">
        <f t="shared" si="3"/>
        <v>0</v>
      </c>
      <c r="P48" s="2">
        <f t="shared" si="8"/>
        <v>6200000</v>
      </c>
      <c r="Q48" s="2">
        <f t="shared" si="4"/>
        <v>0</v>
      </c>
      <c r="R48" s="2">
        <f t="shared" si="10"/>
        <v>6200000</v>
      </c>
    </row>
    <row r="49" spans="1:18" s="11" customFormat="1" ht="24" x14ac:dyDescent="0.2">
      <c r="A49" s="66" t="s">
        <v>169</v>
      </c>
      <c r="B49" s="67" t="s">
        <v>170</v>
      </c>
      <c r="C49" s="67" t="s">
        <v>171</v>
      </c>
      <c r="D49" s="20" t="s">
        <v>172</v>
      </c>
      <c r="E49" s="5">
        <f>E51+E52</f>
        <v>35400000</v>
      </c>
      <c r="F49" s="5">
        <f t="shared" si="5"/>
        <v>0</v>
      </c>
      <c r="G49" s="5"/>
      <c r="H49" s="5"/>
      <c r="I49" s="5">
        <f t="shared" si="6"/>
        <v>35400000</v>
      </c>
      <c r="J49" s="5">
        <v>0</v>
      </c>
      <c r="K49" s="5">
        <f t="shared" si="7"/>
        <v>0</v>
      </c>
      <c r="L49" s="5"/>
      <c r="M49" s="5"/>
      <c r="N49" s="5"/>
      <c r="O49" s="5">
        <f t="shared" si="3"/>
        <v>0</v>
      </c>
      <c r="P49" s="2">
        <f t="shared" si="8"/>
        <v>35400000</v>
      </c>
      <c r="Q49" s="2">
        <f t="shared" si="4"/>
        <v>0</v>
      </c>
      <c r="R49" s="2">
        <f t="shared" si="10"/>
        <v>35400000</v>
      </c>
    </row>
    <row r="50" spans="1:18" s="11" customFormat="1" ht="12" x14ac:dyDescent="0.2">
      <c r="A50" s="66"/>
      <c r="B50" s="67"/>
      <c r="C50" s="67"/>
      <c r="D50" s="18" t="s">
        <v>179</v>
      </c>
      <c r="E50" s="5"/>
      <c r="F50" s="5">
        <f t="shared" si="5"/>
        <v>0</v>
      </c>
      <c r="G50" s="5"/>
      <c r="H50" s="5"/>
      <c r="I50" s="5">
        <f t="shared" si="6"/>
        <v>0</v>
      </c>
      <c r="J50" s="5"/>
      <c r="K50" s="5">
        <f t="shared" si="7"/>
        <v>0</v>
      </c>
      <c r="L50" s="5"/>
      <c r="M50" s="5"/>
      <c r="N50" s="5"/>
      <c r="O50" s="5">
        <f t="shared" si="3"/>
        <v>0</v>
      </c>
      <c r="P50" s="2">
        <f t="shared" si="8"/>
        <v>0</v>
      </c>
      <c r="Q50" s="2">
        <f t="shared" si="4"/>
        <v>0</v>
      </c>
      <c r="R50" s="2">
        <f t="shared" si="10"/>
        <v>0</v>
      </c>
    </row>
    <row r="51" spans="1:18" s="11" customFormat="1" ht="24" x14ac:dyDescent="0.2">
      <c r="A51" s="66"/>
      <c r="B51" s="67"/>
      <c r="C51" s="67"/>
      <c r="D51" s="20" t="s">
        <v>425</v>
      </c>
      <c r="E51" s="5">
        <v>35000000</v>
      </c>
      <c r="F51" s="5">
        <f t="shared" si="5"/>
        <v>0</v>
      </c>
      <c r="G51" s="5"/>
      <c r="H51" s="5"/>
      <c r="I51" s="5">
        <f t="shared" si="6"/>
        <v>35000000</v>
      </c>
      <c r="J51" s="5">
        <v>0</v>
      </c>
      <c r="K51" s="5">
        <f t="shared" si="7"/>
        <v>0</v>
      </c>
      <c r="L51" s="5"/>
      <c r="M51" s="5"/>
      <c r="N51" s="5"/>
      <c r="O51" s="5">
        <f t="shared" si="3"/>
        <v>0</v>
      </c>
      <c r="P51" s="2">
        <f t="shared" si="8"/>
        <v>35000000</v>
      </c>
      <c r="Q51" s="2">
        <f t="shared" si="4"/>
        <v>0</v>
      </c>
      <c r="R51" s="2">
        <f t="shared" si="10"/>
        <v>35000000</v>
      </c>
    </row>
    <row r="52" spans="1:18" s="11" customFormat="1" ht="24" x14ac:dyDescent="0.2">
      <c r="A52" s="66"/>
      <c r="B52" s="67"/>
      <c r="C52" s="67"/>
      <c r="D52" s="20" t="s">
        <v>173</v>
      </c>
      <c r="E52" s="5">
        <v>400000</v>
      </c>
      <c r="F52" s="5">
        <f t="shared" si="5"/>
        <v>0</v>
      </c>
      <c r="G52" s="5"/>
      <c r="H52" s="5"/>
      <c r="I52" s="5">
        <f t="shared" si="6"/>
        <v>400000</v>
      </c>
      <c r="J52" s="5">
        <v>0</v>
      </c>
      <c r="K52" s="5">
        <f t="shared" si="7"/>
        <v>0</v>
      </c>
      <c r="L52" s="5"/>
      <c r="M52" s="5"/>
      <c r="N52" s="5"/>
      <c r="O52" s="5">
        <f t="shared" si="3"/>
        <v>0</v>
      </c>
      <c r="P52" s="2">
        <f t="shared" si="8"/>
        <v>400000</v>
      </c>
      <c r="Q52" s="2">
        <f t="shared" si="4"/>
        <v>0</v>
      </c>
      <c r="R52" s="2">
        <f t="shared" si="10"/>
        <v>400000</v>
      </c>
    </row>
    <row r="53" spans="1:18" s="11" customFormat="1" ht="24" x14ac:dyDescent="0.2">
      <c r="A53" s="66" t="s">
        <v>174</v>
      </c>
      <c r="B53" s="67" t="s">
        <v>175</v>
      </c>
      <c r="C53" s="67" t="s">
        <v>171</v>
      </c>
      <c r="D53" s="20" t="s">
        <v>184</v>
      </c>
      <c r="E53" s="5">
        <f>E55</f>
        <v>20000000</v>
      </c>
      <c r="F53" s="5">
        <f t="shared" si="5"/>
        <v>-18513800</v>
      </c>
      <c r="G53" s="5">
        <f>G55</f>
        <v>-18513800</v>
      </c>
      <c r="H53" s="5"/>
      <c r="I53" s="5">
        <f t="shared" si="6"/>
        <v>1486200</v>
      </c>
      <c r="J53" s="5">
        <v>0</v>
      </c>
      <c r="K53" s="5">
        <f t="shared" si="7"/>
        <v>0</v>
      </c>
      <c r="L53" s="5"/>
      <c r="M53" s="5"/>
      <c r="N53" s="5"/>
      <c r="O53" s="5">
        <f t="shared" si="3"/>
        <v>0</v>
      </c>
      <c r="P53" s="2">
        <f t="shared" si="8"/>
        <v>20000000</v>
      </c>
      <c r="Q53" s="2">
        <f t="shared" si="4"/>
        <v>-18513800</v>
      </c>
      <c r="R53" s="2">
        <f t="shared" si="10"/>
        <v>1486200</v>
      </c>
    </row>
    <row r="54" spans="1:18" s="11" customFormat="1" ht="12" x14ac:dyDescent="0.2">
      <c r="A54" s="66"/>
      <c r="B54" s="67"/>
      <c r="C54" s="67"/>
      <c r="D54" s="18" t="s">
        <v>179</v>
      </c>
      <c r="E54" s="5"/>
      <c r="F54" s="5">
        <f t="shared" si="5"/>
        <v>0</v>
      </c>
      <c r="G54" s="5"/>
      <c r="H54" s="5"/>
      <c r="I54" s="5">
        <f t="shared" si="6"/>
        <v>0</v>
      </c>
      <c r="J54" s="5"/>
      <c r="K54" s="5">
        <f t="shared" si="7"/>
        <v>0</v>
      </c>
      <c r="L54" s="5"/>
      <c r="M54" s="5"/>
      <c r="N54" s="5"/>
      <c r="O54" s="5">
        <f t="shared" si="3"/>
        <v>0</v>
      </c>
      <c r="P54" s="2">
        <f t="shared" si="8"/>
        <v>0</v>
      </c>
      <c r="Q54" s="2">
        <f t="shared" si="4"/>
        <v>0</v>
      </c>
      <c r="R54" s="2">
        <f t="shared" si="10"/>
        <v>0</v>
      </c>
    </row>
    <row r="55" spans="1:18" s="11" customFormat="1" ht="36" x14ac:dyDescent="0.2">
      <c r="A55" s="66"/>
      <c r="B55" s="67"/>
      <c r="C55" s="67"/>
      <c r="D55" s="20" t="s">
        <v>303</v>
      </c>
      <c r="E55" s="5">
        <v>20000000</v>
      </c>
      <c r="F55" s="5">
        <f t="shared" si="5"/>
        <v>-18513800</v>
      </c>
      <c r="G55" s="5">
        <v>-18513800</v>
      </c>
      <c r="H55" s="5"/>
      <c r="I55" s="5">
        <f t="shared" si="6"/>
        <v>1486200</v>
      </c>
      <c r="J55" s="5">
        <v>0</v>
      </c>
      <c r="K55" s="5">
        <f t="shared" si="7"/>
        <v>0</v>
      </c>
      <c r="L55" s="5"/>
      <c r="M55" s="5"/>
      <c r="N55" s="5"/>
      <c r="O55" s="5">
        <f t="shared" si="3"/>
        <v>0</v>
      </c>
      <c r="P55" s="2">
        <f t="shared" si="8"/>
        <v>20000000</v>
      </c>
      <c r="Q55" s="2">
        <f t="shared" si="4"/>
        <v>-18513800</v>
      </c>
      <c r="R55" s="2">
        <f t="shared" si="10"/>
        <v>1486200</v>
      </c>
    </row>
    <row r="56" spans="1:18" s="11" customFormat="1" ht="12" x14ac:dyDescent="0.2">
      <c r="A56" s="66" t="s">
        <v>469</v>
      </c>
      <c r="B56" s="67" t="s">
        <v>471</v>
      </c>
      <c r="C56" s="67" t="s">
        <v>171</v>
      </c>
      <c r="D56" s="20" t="s">
        <v>470</v>
      </c>
      <c r="E56" s="5">
        <f>E59+E58</f>
        <v>21700000</v>
      </c>
      <c r="F56" s="5">
        <f t="shared" si="5"/>
        <v>-13438443</v>
      </c>
      <c r="G56" s="5">
        <f>G58+G59</f>
        <v>-13438443</v>
      </c>
      <c r="H56" s="5"/>
      <c r="I56" s="5">
        <f t="shared" si="6"/>
        <v>8261557</v>
      </c>
      <c r="J56" s="5">
        <v>0</v>
      </c>
      <c r="K56" s="5">
        <f t="shared" si="7"/>
        <v>10990643</v>
      </c>
      <c r="L56" s="5">
        <f>L59+L58</f>
        <v>0</v>
      </c>
      <c r="M56" s="5">
        <f>M59+M58</f>
        <v>0</v>
      </c>
      <c r="N56" s="5">
        <f>10990643</f>
        <v>10990643</v>
      </c>
      <c r="O56" s="5">
        <f t="shared" si="3"/>
        <v>10990643</v>
      </c>
      <c r="P56" s="2">
        <f>P59+P58</f>
        <v>21700000</v>
      </c>
      <c r="Q56" s="2">
        <f t="shared" si="4"/>
        <v>-2447800</v>
      </c>
      <c r="R56" s="2">
        <f t="shared" si="10"/>
        <v>19252200</v>
      </c>
    </row>
    <row r="57" spans="1:18" s="11" customFormat="1" ht="12" x14ac:dyDescent="0.2">
      <c r="A57" s="66"/>
      <c r="B57" s="67"/>
      <c r="C57" s="67"/>
      <c r="D57" s="18" t="s">
        <v>179</v>
      </c>
      <c r="E57" s="5"/>
      <c r="F57" s="5">
        <f t="shared" si="5"/>
        <v>0</v>
      </c>
      <c r="G57" s="5"/>
      <c r="H57" s="5"/>
      <c r="I57" s="5">
        <f t="shared" si="6"/>
        <v>0</v>
      </c>
      <c r="J57" s="5"/>
      <c r="K57" s="5">
        <f t="shared" si="7"/>
        <v>0</v>
      </c>
      <c r="L57" s="5"/>
      <c r="M57" s="5"/>
      <c r="N57" s="5"/>
      <c r="O57" s="5">
        <f t="shared" si="3"/>
        <v>0</v>
      </c>
      <c r="P57" s="2">
        <f t="shared" si="8"/>
        <v>0</v>
      </c>
      <c r="Q57" s="2">
        <f t="shared" si="4"/>
        <v>0</v>
      </c>
      <c r="R57" s="2">
        <f t="shared" si="10"/>
        <v>0</v>
      </c>
    </row>
    <row r="58" spans="1:18" s="11" customFormat="1" ht="36" x14ac:dyDescent="0.2">
      <c r="A58" s="66"/>
      <c r="B58" s="67"/>
      <c r="C58" s="67"/>
      <c r="D58" s="18" t="s">
        <v>303</v>
      </c>
      <c r="E58" s="5">
        <v>20000000</v>
      </c>
      <c r="F58" s="5">
        <f t="shared" si="5"/>
        <v>-13290643</v>
      </c>
      <c r="G58" s="5">
        <v>-13290643</v>
      </c>
      <c r="H58" s="5"/>
      <c r="I58" s="5">
        <f t="shared" si="6"/>
        <v>6709357</v>
      </c>
      <c r="J58" s="5"/>
      <c r="K58" s="5">
        <f t="shared" si="7"/>
        <v>10990643</v>
      </c>
      <c r="L58" s="5"/>
      <c r="M58" s="5"/>
      <c r="N58" s="5">
        <f>10990643</f>
        <v>10990643</v>
      </c>
      <c r="O58" s="5">
        <f t="shared" si="3"/>
        <v>10990643</v>
      </c>
      <c r="P58" s="2">
        <f t="shared" si="8"/>
        <v>20000000</v>
      </c>
      <c r="Q58" s="2">
        <f t="shared" si="4"/>
        <v>-2300000</v>
      </c>
      <c r="R58" s="2">
        <f t="shared" si="10"/>
        <v>17700000</v>
      </c>
    </row>
    <row r="59" spans="1:18" s="11" customFormat="1" ht="36" x14ac:dyDescent="0.2">
      <c r="A59" s="66"/>
      <c r="B59" s="67"/>
      <c r="C59" s="67"/>
      <c r="D59" s="20" t="s">
        <v>472</v>
      </c>
      <c r="E59" s="5">
        <v>1700000</v>
      </c>
      <c r="F59" s="5">
        <f t="shared" si="5"/>
        <v>-147800</v>
      </c>
      <c r="G59" s="5">
        <v>-147800</v>
      </c>
      <c r="H59" s="5"/>
      <c r="I59" s="5">
        <f t="shared" si="6"/>
        <v>1552200</v>
      </c>
      <c r="J59" s="5">
        <v>0</v>
      </c>
      <c r="K59" s="5">
        <f t="shared" si="7"/>
        <v>0</v>
      </c>
      <c r="L59" s="5"/>
      <c r="M59" s="5"/>
      <c r="N59" s="5"/>
      <c r="O59" s="5">
        <f t="shared" si="3"/>
        <v>0</v>
      </c>
      <c r="P59" s="2">
        <f t="shared" si="8"/>
        <v>1700000</v>
      </c>
      <c r="Q59" s="2">
        <f t="shared" si="4"/>
        <v>-147800</v>
      </c>
      <c r="R59" s="2">
        <f t="shared" si="10"/>
        <v>1552200</v>
      </c>
    </row>
    <row r="60" spans="1:18" s="11" customFormat="1" ht="57" customHeight="1" x14ac:dyDescent="0.2">
      <c r="A60" s="66" t="s">
        <v>575</v>
      </c>
      <c r="B60" s="67" t="s">
        <v>573</v>
      </c>
      <c r="C60" s="67" t="s">
        <v>171</v>
      </c>
      <c r="D60" s="20" t="s">
        <v>577</v>
      </c>
      <c r="E60" s="5">
        <v>49665</v>
      </c>
      <c r="F60" s="5">
        <f t="shared" si="5"/>
        <v>0</v>
      </c>
      <c r="G60" s="5"/>
      <c r="H60" s="5"/>
      <c r="I60" s="5">
        <f t="shared" si="6"/>
        <v>49665</v>
      </c>
      <c r="J60" s="5"/>
      <c r="K60" s="5"/>
      <c r="L60" s="5"/>
      <c r="M60" s="5"/>
      <c r="N60" s="5"/>
      <c r="O60" s="5"/>
      <c r="P60" s="2">
        <f t="shared" si="8"/>
        <v>49665</v>
      </c>
      <c r="Q60" s="2">
        <f t="shared" si="4"/>
        <v>0</v>
      </c>
      <c r="R60" s="2">
        <f t="shared" si="10"/>
        <v>49665</v>
      </c>
    </row>
    <row r="61" spans="1:18" s="11" customFormat="1" ht="38.25" customHeight="1" x14ac:dyDescent="0.2">
      <c r="A61" s="66" t="s">
        <v>576</v>
      </c>
      <c r="B61" s="67" t="s">
        <v>574</v>
      </c>
      <c r="C61" s="67" t="s">
        <v>171</v>
      </c>
      <c r="D61" s="20" t="s">
        <v>578</v>
      </c>
      <c r="E61" s="5">
        <v>150000</v>
      </c>
      <c r="F61" s="5">
        <f t="shared" si="5"/>
        <v>0</v>
      </c>
      <c r="G61" s="5"/>
      <c r="H61" s="5"/>
      <c r="I61" s="5">
        <f t="shared" si="6"/>
        <v>150000</v>
      </c>
      <c r="J61" s="5"/>
      <c r="K61" s="5"/>
      <c r="L61" s="5"/>
      <c r="M61" s="5"/>
      <c r="N61" s="5"/>
      <c r="O61" s="5"/>
      <c r="P61" s="2">
        <f t="shared" si="8"/>
        <v>150000</v>
      </c>
      <c r="Q61" s="2">
        <f t="shared" si="4"/>
        <v>0</v>
      </c>
      <c r="R61" s="2">
        <f t="shared" si="10"/>
        <v>150000</v>
      </c>
    </row>
    <row r="62" spans="1:18" s="4" customFormat="1" ht="25.5" x14ac:dyDescent="0.2">
      <c r="A62" s="17" t="s">
        <v>108</v>
      </c>
      <c r="B62" s="1"/>
      <c r="C62" s="1"/>
      <c r="D62" s="22" t="s">
        <v>312</v>
      </c>
      <c r="E62" s="3">
        <f>E64+E68+E71+E79+E82+E83+E88+E89+E102+E103+E105+E107+E90+E96+E100+E99+E65+E87</f>
        <v>1075055000</v>
      </c>
      <c r="F62" s="3">
        <f>F64+F68+F71+F79+F82+F83+F88+F89+F102+F103+F105+F107+F90+F96+F100+F99+F65+F87+F101+F104</f>
        <v>613375224.66999996</v>
      </c>
      <c r="G62" s="3">
        <f>G64+G68+G71+G79+G82+G83+G88+G89+G102+G103+G105+G107+G90+G96+G100+G99+G65+G87+G101+G104</f>
        <v>613375224.66999996</v>
      </c>
      <c r="H62" s="3">
        <f>H64+H68+H71+H79+H82+H83+H88+H89+H102+H103+H105+H107+H90+H96+H100+H99+H65+H87</f>
        <v>0</v>
      </c>
      <c r="I62" s="3">
        <f>E62+F62</f>
        <v>1688430224.6700001</v>
      </c>
      <c r="J62" s="3">
        <f t="shared" ref="J62:O62" si="11">J64+J68+J71+J79+J82+J83+J88+J89+J102+J103+J105+J107+J90+J96+J100+J99+J65+J87+J101+J104+J106</f>
        <v>64413200</v>
      </c>
      <c r="K62" s="3">
        <f t="shared" si="11"/>
        <v>14298052</v>
      </c>
      <c r="L62" s="3">
        <f t="shared" si="11"/>
        <v>0</v>
      </c>
      <c r="M62" s="3">
        <f t="shared" si="11"/>
        <v>-94628</v>
      </c>
      <c r="N62" s="3">
        <f t="shared" si="11"/>
        <v>14392680</v>
      </c>
      <c r="O62" s="3">
        <f t="shared" si="11"/>
        <v>78711252</v>
      </c>
      <c r="P62" s="3">
        <f>E62+J62</f>
        <v>1139468200</v>
      </c>
      <c r="Q62" s="3">
        <f t="shared" si="4"/>
        <v>627673276.66999996</v>
      </c>
      <c r="R62" s="3">
        <f t="shared" si="10"/>
        <v>1767141476.6700001</v>
      </c>
    </row>
    <row r="63" spans="1:18" s="4" customFormat="1" ht="25.5" x14ac:dyDescent="0.2">
      <c r="A63" s="17" t="s">
        <v>137</v>
      </c>
      <c r="B63" s="1"/>
      <c r="C63" s="1"/>
      <c r="D63" s="22" t="s">
        <v>312</v>
      </c>
      <c r="E63" s="2"/>
      <c r="F63" s="2"/>
      <c r="G63" s="2"/>
      <c r="H63" s="2"/>
      <c r="I63" s="5">
        <f t="shared" si="6"/>
        <v>0</v>
      </c>
      <c r="J63" s="5"/>
      <c r="K63" s="5"/>
      <c r="L63" s="2"/>
      <c r="M63" s="2"/>
      <c r="N63" s="2"/>
      <c r="O63" s="5">
        <f t="shared" si="3"/>
        <v>0</v>
      </c>
      <c r="P63" s="2">
        <f t="shared" si="8"/>
        <v>0</v>
      </c>
      <c r="Q63" s="2">
        <f t="shared" si="4"/>
        <v>0</v>
      </c>
      <c r="R63" s="2">
        <f t="shared" si="10"/>
        <v>0</v>
      </c>
    </row>
    <row r="64" spans="1:18" s="11" customFormat="1" ht="36" x14ac:dyDescent="0.2">
      <c r="A64" s="66" t="s">
        <v>138</v>
      </c>
      <c r="B64" s="67" t="s">
        <v>61</v>
      </c>
      <c r="C64" s="67" t="s">
        <v>22</v>
      </c>
      <c r="D64" s="18" t="s">
        <v>450</v>
      </c>
      <c r="E64" s="5">
        <v>6225000</v>
      </c>
      <c r="F64" s="5">
        <f>G64+H64</f>
        <v>0</v>
      </c>
      <c r="G64" s="5"/>
      <c r="H64" s="5"/>
      <c r="I64" s="5">
        <f t="shared" si="6"/>
        <v>6225000</v>
      </c>
      <c r="J64" s="5">
        <v>0</v>
      </c>
      <c r="K64" s="5">
        <f t="shared" ref="K64:K68" si="12">M64+N64</f>
        <v>0</v>
      </c>
      <c r="L64" s="5"/>
      <c r="M64" s="5"/>
      <c r="N64" s="5"/>
      <c r="O64" s="5">
        <f t="shared" si="3"/>
        <v>0</v>
      </c>
      <c r="P64" s="2">
        <f t="shared" si="8"/>
        <v>6225000</v>
      </c>
      <c r="Q64" s="2">
        <f t="shared" si="4"/>
        <v>0</v>
      </c>
      <c r="R64" s="2">
        <f t="shared" si="10"/>
        <v>6225000</v>
      </c>
    </row>
    <row r="65" spans="1:19" s="11" customFormat="1" ht="12" x14ac:dyDescent="0.2">
      <c r="A65" s="66" t="s">
        <v>417</v>
      </c>
      <c r="B65" s="67" t="s">
        <v>11</v>
      </c>
      <c r="C65" s="67" t="s">
        <v>14</v>
      </c>
      <c r="D65" s="18" t="s">
        <v>166</v>
      </c>
      <c r="E65" s="5">
        <f>E67</f>
        <v>7000000</v>
      </c>
      <c r="F65" s="5">
        <f>F67</f>
        <v>4481776</v>
      </c>
      <c r="G65" s="5">
        <f>G67</f>
        <v>4481776</v>
      </c>
      <c r="H65" s="5">
        <f>H67</f>
        <v>0</v>
      </c>
      <c r="I65" s="5">
        <f t="shared" si="6"/>
        <v>11481776</v>
      </c>
      <c r="J65" s="5"/>
      <c r="K65" s="5">
        <f t="shared" si="12"/>
        <v>0</v>
      </c>
      <c r="L65" s="5"/>
      <c r="M65" s="5"/>
      <c r="N65" s="5"/>
      <c r="O65" s="5">
        <f t="shared" si="3"/>
        <v>0</v>
      </c>
      <c r="P65" s="2">
        <f t="shared" si="8"/>
        <v>7000000</v>
      </c>
      <c r="Q65" s="2">
        <f>F65+K65</f>
        <v>4481776</v>
      </c>
      <c r="R65" s="2">
        <f t="shared" si="10"/>
        <v>11481776</v>
      </c>
    </row>
    <row r="66" spans="1:19" s="11" customFormat="1" ht="12" x14ac:dyDescent="0.2">
      <c r="A66" s="66"/>
      <c r="B66" s="67"/>
      <c r="C66" s="67"/>
      <c r="D66" s="18" t="s">
        <v>179</v>
      </c>
      <c r="E66" s="5"/>
      <c r="F66" s="5"/>
      <c r="G66" s="5"/>
      <c r="H66" s="5"/>
      <c r="I66" s="5">
        <f t="shared" si="6"/>
        <v>0</v>
      </c>
      <c r="J66" s="5"/>
      <c r="K66" s="5">
        <f t="shared" si="12"/>
        <v>0</v>
      </c>
      <c r="L66" s="5"/>
      <c r="M66" s="5"/>
      <c r="N66" s="5"/>
      <c r="O66" s="5">
        <f t="shared" si="3"/>
        <v>0</v>
      </c>
      <c r="P66" s="2">
        <f t="shared" si="8"/>
        <v>0</v>
      </c>
      <c r="Q66" s="2">
        <f t="shared" si="4"/>
        <v>0</v>
      </c>
      <c r="R66" s="2">
        <f t="shared" si="10"/>
        <v>0</v>
      </c>
    </row>
    <row r="67" spans="1:19" s="11" customFormat="1" ht="48" x14ac:dyDescent="0.2">
      <c r="A67" s="66"/>
      <c r="B67" s="67"/>
      <c r="C67" s="67"/>
      <c r="D67" s="18" t="s">
        <v>418</v>
      </c>
      <c r="E67" s="5">
        <v>7000000</v>
      </c>
      <c r="F67" s="5">
        <f>G67+H67</f>
        <v>4481776</v>
      </c>
      <c r="G67" s="5">
        <v>4481776</v>
      </c>
      <c r="H67" s="5"/>
      <c r="I67" s="5">
        <f t="shared" si="6"/>
        <v>11481776</v>
      </c>
      <c r="J67" s="5"/>
      <c r="K67" s="5">
        <f t="shared" si="12"/>
        <v>0</v>
      </c>
      <c r="L67" s="5"/>
      <c r="M67" s="5"/>
      <c r="N67" s="5"/>
      <c r="O67" s="5">
        <f t="shared" si="3"/>
        <v>0</v>
      </c>
      <c r="P67" s="2">
        <f t="shared" si="8"/>
        <v>7000000</v>
      </c>
      <c r="Q67" s="2">
        <f t="shared" si="4"/>
        <v>4481776</v>
      </c>
      <c r="R67" s="2">
        <f t="shared" si="10"/>
        <v>11481776</v>
      </c>
    </row>
    <row r="68" spans="1:19" s="11" customFormat="1" ht="12" x14ac:dyDescent="0.2">
      <c r="A68" s="66" t="s">
        <v>139</v>
      </c>
      <c r="B68" s="67">
        <v>1010</v>
      </c>
      <c r="C68" s="67" t="s">
        <v>29</v>
      </c>
      <c r="D68" s="18" t="s">
        <v>80</v>
      </c>
      <c r="E68" s="5">
        <v>399500000</v>
      </c>
      <c r="F68" s="5">
        <f>G68+H68</f>
        <v>1394135</v>
      </c>
      <c r="G68" s="5">
        <f>288947-30040+235217-50000+25000+70535-788500+143250-35000+12538+4130+50887+405702+479469+60000+82000+90000+175000+230000-150000+75000+20000</f>
        <v>1394135</v>
      </c>
      <c r="H68" s="5"/>
      <c r="I68" s="5">
        <f>E68+F68</f>
        <v>400894135</v>
      </c>
      <c r="J68" s="5">
        <v>32595900</v>
      </c>
      <c r="K68" s="5">
        <f t="shared" si="12"/>
        <v>584550</v>
      </c>
      <c r="L68" s="5"/>
      <c r="M68" s="5"/>
      <c r="N68" s="5">
        <f>584550</f>
        <v>584550</v>
      </c>
      <c r="O68" s="5">
        <f t="shared" si="3"/>
        <v>33180450</v>
      </c>
      <c r="P68" s="2">
        <f t="shared" si="8"/>
        <v>432095900</v>
      </c>
      <c r="Q68" s="2">
        <f t="shared" si="4"/>
        <v>1978685</v>
      </c>
      <c r="R68" s="2">
        <f>P68+Q68</f>
        <v>434074585</v>
      </c>
    </row>
    <row r="69" spans="1:19" s="11" customFormat="1" ht="72" x14ac:dyDescent="0.2">
      <c r="A69" s="66"/>
      <c r="B69" s="67"/>
      <c r="C69" s="67"/>
      <c r="D69" s="37" t="s">
        <v>547</v>
      </c>
      <c r="E69" s="5"/>
      <c r="F69" s="5">
        <f t="shared" ref="F69:F70" si="13">G69+H69</f>
        <v>60000</v>
      </c>
      <c r="G69" s="5">
        <v>60000</v>
      </c>
      <c r="H69" s="5"/>
      <c r="I69" s="5">
        <f t="shared" ref="I69:I70" si="14">E69+F69</f>
        <v>60000</v>
      </c>
      <c r="J69" s="5"/>
      <c r="K69" s="5"/>
      <c r="L69" s="5"/>
      <c r="M69" s="5"/>
      <c r="N69" s="5"/>
      <c r="O69" s="5"/>
      <c r="P69" s="2"/>
      <c r="Q69" s="2">
        <f t="shared" si="4"/>
        <v>60000</v>
      </c>
      <c r="R69" s="2">
        <f t="shared" ref="R69:R70" si="15">P69+Q69</f>
        <v>60000</v>
      </c>
    </row>
    <row r="70" spans="1:19" s="11" customFormat="1" ht="60" x14ac:dyDescent="0.2">
      <c r="A70" s="66"/>
      <c r="B70" s="67"/>
      <c r="C70" s="67"/>
      <c r="D70" s="37" t="s">
        <v>546</v>
      </c>
      <c r="E70" s="5"/>
      <c r="F70" s="5">
        <f t="shared" si="13"/>
        <v>82000</v>
      </c>
      <c r="G70" s="5">
        <v>82000</v>
      </c>
      <c r="H70" s="5"/>
      <c r="I70" s="5">
        <f t="shared" si="14"/>
        <v>82000</v>
      </c>
      <c r="J70" s="5"/>
      <c r="K70" s="5"/>
      <c r="L70" s="5"/>
      <c r="M70" s="5"/>
      <c r="N70" s="5"/>
      <c r="O70" s="5"/>
      <c r="P70" s="2"/>
      <c r="Q70" s="2">
        <f t="shared" si="4"/>
        <v>82000</v>
      </c>
      <c r="R70" s="2">
        <f t="shared" si="15"/>
        <v>82000</v>
      </c>
    </row>
    <row r="71" spans="1:19" s="11" customFormat="1" ht="24" x14ac:dyDescent="0.2">
      <c r="A71" s="66" t="s">
        <v>140</v>
      </c>
      <c r="B71" s="67">
        <v>1020</v>
      </c>
      <c r="C71" s="67"/>
      <c r="D71" s="18" t="s">
        <v>416</v>
      </c>
      <c r="E71" s="5">
        <f>E72+E77</f>
        <v>344000000</v>
      </c>
      <c r="F71" s="5">
        <f>F72+F77</f>
        <v>27150746</v>
      </c>
      <c r="G71" s="5">
        <f>G72+G77</f>
        <v>27150746</v>
      </c>
      <c r="H71" s="5"/>
      <c r="I71" s="5">
        <f t="shared" si="6"/>
        <v>371150746</v>
      </c>
      <c r="J71" s="5">
        <v>1658600</v>
      </c>
      <c r="K71" s="5">
        <f>K72+K77</f>
        <v>2948701</v>
      </c>
      <c r="L71" s="5">
        <f>L72+L77</f>
        <v>0</v>
      </c>
      <c r="M71" s="5">
        <f>M72+M77</f>
        <v>0</v>
      </c>
      <c r="N71" s="5">
        <f>N72+N77</f>
        <v>2948701</v>
      </c>
      <c r="O71" s="5">
        <f t="shared" si="3"/>
        <v>4607301</v>
      </c>
      <c r="P71" s="2">
        <f t="shared" si="8"/>
        <v>345658600</v>
      </c>
      <c r="Q71" s="2">
        <f t="shared" si="4"/>
        <v>30099447</v>
      </c>
      <c r="R71" s="2">
        <f t="shared" si="10"/>
        <v>375758047</v>
      </c>
    </row>
    <row r="72" spans="1:19" s="11" customFormat="1" ht="24" x14ac:dyDescent="0.2">
      <c r="A72" s="66" t="s">
        <v>374</v>
      </c>
      <c r="B72" s="67">
        <v>1021</v>
      </c>
      <c r="C72" s="67" t="s">
        <v>30</v>
      </c>
      <c r="D72" s="18" t="s">
        <v>407</v>
      </c>
      <c r="E72" s="5">
        <f>321100000+8000000</f>
        <v>329100000</v>
      </c>
      <c r="F72" s="5">
        <f>G72+H72</f>
        <v>26922846</v>
      </c>
      <c r="G72" s="5">
        <f>306337+597101+24500+55000-70535+200000+99984+1009000+5758000+35000+40000+12000+150000+9738+200000+40000+80000+2768+99990+467887-159850+54417+60000+156600+60000+7918050+509396+5145804-32773+23000+1973615+974417+49500+370000+50000+160000+179900+380000-150000+49000+35000</f>
        <v>26922846</v>
      </c>
      <c r="H72" s="5"/>
      <c r="I72" s="5">
        <f t="shared" si="6"/>
        <v>356022846</v>
      </c>
      <c r="J72" s="5">
        <v>1658600</v>
      </c>
      <c r="K72" s="5">
        <f t="shared" ref="K72:K82" si="16">M72+N72</f>
        <v>2948701</v>
      </c>
      <c r="L72" s="5"/>
      <c r="M72" s="5"/>
      <c r="N72" s="5">
        <f>2948701</f>
        <v>2948701</v>
      </c>
      <c r="O72" s="5">
        <f t="shared" si="3"/>
        <v>4607301</v>
      </c>
      <c r="P72" s="2">
        <f t="shared" si="8"/>
        <v>330758600</v>
      </c>
      <c r="Q72" s="2">
        <f t="shared" si="4"/>
        <v>29871547</v>
      </c>
      <c r="R72" s="2">
        <f t="shared" si="10"/>
        <v>360630147</v>
      </c>
    </row>
    <row r="73" spans="1:19" s="11" customFormat="1" ht="84" x14ac:dyDescent="0.2">
      <c r="A73" s="66"/>
      <c r="B73" s="67"/>
      <c r="C73" s="67"/>
      <c r="D73" s="18" t="s">
        <v>541</v>
      </c>
      <c r="E73" s="5">
        <v>0</v>
      </c>
      <c r="F73" s="5">
        <f t="shared" ref="F73:F107" si="17">G73+H73</f>
        <v>13540477</v>
      </c>
      <c r="G73" s="5">
        <f>7918050+509396+5145804-32773</f>
        <v>13540477</v>
      </c>
      <c r="H73" s="5"/>
      <c r="I73" s="5">
        <f t="shared" si="6"/>
        <v>13540477</v>
      </c>
      <c r="J73" s="5"/>
      <c r="K73" s="5">
        <f t="shared" si="16"/>
        <v>0</v>
      </c>
      <c r="L73" s="5"/>
      <c r="M73" s="5"/>
      <c r="N73" s="5"/>
      <c r="O73" s="5">
        <f t="shared" si="3"/>
        <v>0</v>
      </c>
      <c r="P73" s="2">
        <f t="shared" si="8"/>
        <v>0</v>
      </c>
      <c r="Q73" s="2">
        <f t="shared" si="4"/>
        <v>13540477</v>
      </c>
      <c r="R73" s="2">
        <f t="shared" si="10"/>
        <v>13540477</v>
      </c>
    </row>
    <row r="74" spans="1:19" s="11" customFormat="1" ht="72" x14ac:dyDescent="0.2">
      <c r="A74" s="66"/>
      <c r="B74" s="67"/>
      <c r="C74" s="67"/>
      <c r="D74" s="37" t="s">
        <v>543</v>
      </c>
      <c r="E74" s="53"/>
      <c r="F74" s="5">
        <f t="shared" si="17"/>
        <v>50000</v>
      </c>
      <c r="G74" s="5">
        <v>50000</v>
      </c>
      <c r="H74" s="5"/>
      <c r="I74" s="5">
        <f t="shared" si="6"/>
        <v>50000</v>
      </c>
      <c r="J74" s="5"/>
      <c r="K74" s="5"/>
      <c r="L74" s="5"/>
      <c r="M74" s="5"/>
      <c r="N74" s="5"/>
      <c r="O74" s="5"/>
      <c r="P74" s="2"/>
      <c r="Q74" s="2">
        <f t="shared" ref="Q74:Q76" si="18">F74+K74</f>
        <v>50000</v>
      </c>
      <c r="R74" s="2">
        <f t="shared" ref="R74:R76" si="19">P74+Q74</f>
        <v>50000</v>
      </c>
    </row>
    <row r="75" spans="1:19" s="11" customFormat="1" ht="71.25" customHeight="1" x14ac:dyDescent="0.2">
      <c r="A75" s="66"/>
      <c r="B75" s="67"/>
      <c r="C75" s="67"/>
      <c r="D75" s="37" t="s">
        <v>544</v>
      </c>
      <c r="E75" s="68"/>
      <c r="F75" s="5">
        <f t="shared" si="17"/>
        <v>370000</v>
      </c>
      <c r="G75" s="5">
        <v>370000</v>
      </c>
      <c r="H75" s="5"/>
      <c r="I75" s="5">
        <f t="shared" si="6"/>
        <v>370000</v>
      </c>
      <c r="J75" s="5"/>
      <c r="K75" s="5"/>
      <c r="L75" s="5"/>
      <c r="M75" s="5"/>
      <c r="N75" s="5"/>
      <c r="O75" s="5"/>
      <c r="P75" s="2"/>
      <c r="Q75" s="2">
        <f t="shared" si="18"/>
        <v>370000</v>
      </c>
      <c r="R75" s="2">
        <f t="shared" si="19"/>
        <v>370000</v>
      </c>
    </row>
    <row r="76" spans="1:19" s="11" customFormat="1" ht="42" customHeight="1" x14ac:dyDescent="0.2">
      <c r="A76" s="66"/>
      <c r="B76" s="67"/>
      <c r="C76" s="67"/>
      <c r="D76" s="37" t="s">
        <v>545</v>
      </c>
      <c r="E76" s="5"/>
      <c r="F76" s="5">
        <f t="shared" si="17"/>
        <v>160000</v>
      </c>
      <c r="G76" s="5">
        <v>160000</v>
      </c>
      <c r="H76" s="5"/>
      <c r="I76" s="5">
        <f t="shared" si="6"/>
        <v>160000</v>
      </c>
      <c r="J76" s="5"/>
      <c r="K76" s="5"/>
      <c r="L76" s="5"/>
      <c r="M76" s="5"/>
      <c r="N76" s="5"/>
      <c r="O76" s="5"/>
      <c r="P76" s="2"/>
      <c r="Q76" s="2">
        <f t="shared" si="18"/>
        <v>160000</v>
      </c>
      <c r="R76" s="2">
        <f t="shared" si="19"/>
        <v>160000</v>
      </c>
    </row>
    <row r="77" spans="1:19" s="11" customFormat="1" ht="48" x14ac:dyDescent="0.2">
      <c r="A77" s="66" t="s">
        <v>375</v>
      </c>
      <c r="B77" s="67" t="s">
        <v>376</v>
      </c>
      <c r="C77" s="67" t="s">
        <v>31</v>
      </c>
      <c r="D77" s="54" t="s">
        <v>408</v>
      </c>
      <c r="E77" s="5">
        <v>14900000</v>
      </c>
      <c r="F77" s="5">
        <f t="shared" si="17"/>
        <v>227900</v>
      </c>
      <c r="G77" s="5">
        <f>171900+56000</f>
        <v>227900</v>
      </c>
      <c r="H77" s="5"/>
      <c r="I77" s="5">
        <f t="shared" si="6"/>
        <v>15127900</v>
      </c>
      <c r="J77" s="5">
        <v>0</v>
      </c>
      <c r="K77" s="5">
        <f t="shared" si="16"/>
        <v>0</v>
      </c>
      <c r="L77" s="5"/>
      <c r="M77" s="5"/>
      <c r="N77" s="5"/>
      <c r="O77" s="5">
        <f t="shared" si="3"/>
        <v>0</v>
      </c>
      <c r="P77" s="2">
        <f t="shared" si="8"/>
        <v>14900000</v>
      </c>
      <c r="Q77" s="2">
        <f t="shared" si="4"/>
        <v>227900</v>
      </c>
      <c r="R77" s="2">
        <f t="shared" si="10"/>
        <v>15127900</v>
      </c>
    </row>
    <row r="78" spans="1:19" s="11" customFormat="1" ht="84" x14ac:dyDescent="0.2">
      <c r="A78" s="66"/>
      <c r="B78" s="67"/>
      <c r="C78" s="67"/>
      <c r="D78" s="18" t="s">
        <v>541</v>
      </c>
      <c r="E78" s="5">
        <v>0</v>
      </c>
      <c r="F78" s="5">
        <f t="shared" si="17"/>
        <v>171900</v>
      </c>
      <c r="G78" s="5">
        <f>171900</f>
        <v>171900</v>
      </c>
      <c r="H78" s="5"/>
      <c r="I78" s="5">
        <f t="shared" si="6"/>
        <v>171900</v>
      </c>
      <c r="J78" s="5"/>
      <c r="K78" s="5">
        <f t="shared" si="16"/>
        <v>0</v>
      </c>
      <c r="L78" s="5"/>
      <c r="M78" s="5"/>
      <c r="N78" s="5"/>
      <c r="O78" s="5">
        <f t="shared" si="3"/>
        <v>0</v>
      </c>
      <c r="P78" s="2">
        <f t="shared" si="8"/>
        <v>0</v>
      </c>
      <c r="Q78" s="2">
        <f t="shared" si="4"/>
        <v>171900</v>
      </c>
      <c r="R78" s="2">
        <f t="shared" si="10"/>
        <v>171900</v>
      </c>
    </row>
    <row r="79" spans="1:19" s="11" customFormat="1" ht="24" x14ac:dyDescent="0.2">
      <c r="A79" s="66" t="s">
        <v>377</v>
      </c>
      <c r="B79" s="67" t="s">
        <v>46</v>
      </c>
      <c r="C79" s="67"/>
      <c r="D79" s="18" t="s">
        <v>378</v>
      </c>
      <c r="E79" s="5">
        <f>E80+E81</f>
        <v>0</v>
      </c>
      <c r="F79" s="5">
        <f t="shared" si="17"/>
        <v>547094400</v>
      </c>
      <c r="G79" s="5">
        <f>G80+G81</f>
        <v>547094400</v>
      </c>
      <c r="H79" s="5"/>
      <c r="I79" s="5">
        <f t="shared" si="6"/>
        <v>547094400</v>
      </c>
      <c r="J79" s="5">
        <v>0</v>
      </c>
      <c r="K79" s="5">
        <f t="shared" si="16"/>
        <v>0</v>
      </c>
      <c r="L79" s="5"/>
      <c r="M79" s="5"/>
      <c r="N79" s="5"/>
      <c r="O79" s="5">
        <f t="shared" si="3"/>
        <v>0</v>
      </c>
      <c r="P79" s="2">
        <f t="shared" si="8"/>
        <v>0</v>
      </c>
      <c r="Q79" s="2">
        <f t="shared" si="4"/>
        <v>547094400</v>
      </c>
      <c r="R79" s="2">
        <f t="shared" si="10"/>
        <v>547094400</v>
      </c>
      <c r="S79" s="10"/>
    </row>
    <row r="80" spans="1:19" s="11" customFormat="1" ht="24" x14ac:dyDescent="0.2">
      <c r="A80" s="66" t="s">
        <v>379</v>
      </c>
      <c r="B80" s="67" t="s">
        <v>380</v>
      </c>
      <c r="C80" s="67" t="s">
        <v>30</v>
      </c>
      <c r="D80" s="18" t="s">
        <v>407</v>
      </c>
      <c r="E80" s="5"/>
      <c r="F80" s="5">
        <f t="shared" si="17"/>
        <v>536233400</v>
      </c>
      <c r="G80" s="5">
        <f>523492500+12633000+107900</f>
        <v>536233400</v>
      </c>
      <c r="H80" s="5"/>
      <c r="I80" s="5">
        <f t="shared" si="6"/>
        <v>536233400</v>
      </c>
      <c r="J80" s="5"/>
      <c r="K80" s="5">
        <f t="shared" si="16"/>
        <v>0</v>
      </c>
      <c r="L80" s="5"/>
      <c r="M80" s="5"/>
      <c r="N80" s="5"/>
      <c r="O80" s="5">
        <f t="shared" si="3"/>
        <v>0</v>
      </c>
      <c r="P80" s="2">
        <f t="shared" si="8"/>
        <v>0</v>
      </c>
      <c r="Q80" s="2">
        <f t="shared" si="4"/>
        <v>536233400</v>
      </c>
      <c r="R80" s="2">
        <f t="shared" si="10"/>
        <v>536233400</v>
      </c>
      <c r="S80" s="10"/>
    </row>
    <row r="81" spans="1:18" s="11" customFormat="1" ht="48" x14ac:dyDescent="0.2">
      <c r="A81" s="66" t="s">
        <v>381</v>
      </c>
      <c r="B81" s="67" t="s">
        <v>382</v>
      </c>
      <c r="C81" s="67" t="s">
        <v>31</v>
      </c>
      <c r="D81" s="54" t="s">
        <v>408</v>
      </c>
      <c r="E81" s="5"/>
      <c r="F81" s="5">
        <f t="shared" si="17"/>
        <v>10861000</v>
      </c>
      <c r="G81" s="5">
        <v>10861000</v>
      </c>
      <c r="H81" s="5"/>
      <c r="I81" s="5">
        <f t="shared" si="6"/>
        <v>10861000</v>
      </c>
      <c r="J81" s="5">
        <v>0</v>
      </c>
      <c r="K81" s="5">
        <f t="shared" si="16"/>
        <v>0</v>
      </c>
      <c r="L81" s="5"/>
      <c r="M81" s="5"/>
      <c r="N81" s="5"/>
      <c r="O81" s="5">
        <f t="shared" si="3"/>
        <v>0</v>
      </c>
      <c r="P81" s="2">
        <f t="shared" si="8"/>
        <v>0</v>
      </c>
      <c r="Q81" s="2">
        <f t="shared" si="4"/>
        <v>10861000</v>
      </c>
      <c r="R81" s="2">
        <f t="shared" si="10"/>
        <v>10861000</v>
      </c>
    </row>
    <row r="82" spans="1:18" s="11" customFormat="1" ht="24" x14ac:dyDescent="0.2">
      <c r="A82" s="66" t="s">
        <v>141</v>
      </c>
      <c r="B82" s="67" t="s">
        <v>23</v>
      </c>
      <c r="C82" s="67" t="s">
        <v>32</v>
      </c>
      <c r="D82" s="54" t="s">
        <v>346</v>
      </c>
      <c r="E82" s="5">
        <v>40260000</v>
      </c>
      <c r="F82" s="5">
        <f t="shared" si="17"/>
        <v>-174855</v>
      </c>
      <c r="G82" s="5">
        <f>34179-39300-210000-220500+86710-120600+49295+45361+200000</f>
        <v>-174855</v>
      </c>
      <c r="H82" s="5"/>
      <c r="I82" s="5">
        <f t="shared" si="6"/>
        <v>40085145</v>
      </c>
      <c r="J82" s="5">
        <v>4000000</v>
      </c>
      <c r="K82" s="5">
        <f t="shared" si="16"/>
        <v>74500</v>
      </c>
      <c r="L82" s="5"/>
      <c r="M82" s="5"/>
      <c r="N82" s="5">
        <f>74500</f>
        <v>74500</v>
      </c>
      <c r="O82" s="5">
        <f t="shared" si="3"/>
        <v>4074500</v>
      </c>
      <c r="P82" s="2">
        <f t="shared" si="8"/>
        <v>44260000</v>
      </c>
      <c r="Q82" s="2">
        <f t="shared" si="4"/>
        <v>-100355</v>
      </c>
      <c r="R82" s="2">
        <f t="shared" si="10"/>
        <v>44159645</v>
      </c>
    </row>
    <row r="83" spans="1:18" s="11" customFormat="1" ht="24" x14ac:dyDescent="0.2">
      <c r="A83" s="66" t="s">
        <v>397</v>
      </c>
      <c r="B83" s="67" t="s">
        <v>50</v>
      </c>
      <c r="C83" s="67"/>
      <c r="D83" s="54" t="s">
        <v>398</v>
      </c>
      <c r="E83" s="5">
        <f>E84+E86</f>
        <v>178325000</v>
      </c>
      <c r="F83" s="5">
        <f>G83+H83</f>
        <v>27454823</v>
      </c>
      <c r="G83" s="5">
        <f>G84+G86</f>
        <v>27454823</v>
      </c>
      <c r="H83" s="5"/>
      <c r="I83" s="5">
        <f t="shared" si="6"/>
        <v>205779823</v>
      </c>
      <c r="J83" s="5">
        <v>24608000</v>
      </c>
      <c r="K83" s="5">
        <f>K84+K86</f>
        <v>0</v>
      </c>
      <c r="L83" s="5">
        <f>L84+L86</f>
        <v>0</v>
      </c>
      <c r="M83" s="5">
        <f>M84+M86</f>
        <v>0</v>
      </c>
      <c r="N83" s="5">
        <f>N84+N86</f>
        <v>0</v>
      </c>
      <c r="O83" s="5">
        <f t="shared" si="3"/>
        <v>24608000</v>
      </c>
      <c r="P83" s="2">
        <f t="shared" si="8"/>
        <v>202933000</v>
      </c>
      <c r="Q83" s="2">
        <f t="shared" si="4"/>
        <v>27454823</v>
      </c>
      <c r="R83" s="2">
        <f t="shared" si="10"/>
        <v>230387823</v>
      </c>
    </row>
    <row r="84" spans="1:18" s="11" customFormat="1" ht="36" x14ac:dyDescent="0.2">
      <c r="A84" s="66" t="s">
        <v>399</v>
      </c>
      <c r="B84" s="67" t="s">
        <v>400</v>
      </c>
      <c r="C84" s="67" t="s">
        <v>15</v>
      </c>
      <c r="D84" s="54" t="s">
        <v>401</v>
      </c>
      <c r="E84" s="5">
        <v>178325000</v>
      </c>
      <c r="F84" s="5">
        <f t="shared" si="17"/>
        <v>4463823</v>
      </c>
      <c r="G84" s="5">
        <f>308050+32773+4123000</f>
        <v>4463823</v>
      </c>
      <c r="H84" s="5"/>
      <c r="I84" s="5">
        <f>E84+F84</f>
        <v>182788823</v>
      </c>
      <c r="J84" s="5">
        <v>24608000</v>
      </c>
      <c r="K84" s="5">
        <f t="shared" ref="K84:K89" si="20">M84+N84</f>
        <v>0</v>
      </c>
      <c r="L84" s="5"/>
      <c r="M84" s="5"/>
      <c r="N84" s="5"/>
      <c r="O84" s="5">
        <f t="shared" si="3"/>
        <v>24608000</v>
      </c>
      <c r="P84" s="2">
        <f t="shared" si="8"/>
        <v>202933000</v>
      </c>
      <c r="Q84" s="2">
        <f t="shared" si="4"/>
        <v>4463823</v>
      </c>
      <c r="R84" s="2">
        <f t="shared" si="10"/>
        <v>207396823</v>
      </c>
    </row>
    <row r="85" spans="1:18" s="11" customFormat="1" ht="78.75" customHeight="1" x14ac:dyDescent="0.2">
      <c r="A85" s="66"/>
      <c r="B85" s="67"/>
      <c r="C85" s="67"/>
      <c r="D85" s="18" t="s">
        <v>541</v>
      </c>
      <c r="E85" s="5"/>
      <c r="F85" s="5">
        <f t="shared" si="17"/>
        <v>340823</v>
      </c>
      <c r="G85" s="5">
        <f>308050+32773</f>
        <v>340823</v>
      </c>
      <c r="H85" s="5"/>
      <c r="I85" s="5">
        <f>E85+F85</f>
        <v>340823</v>
      </c>
      <c r="J85" s="5"/>
      <c r="K85" s="5"/>
      <c r="L85" s="5"/>
      <c r="M85" s="5"/>
      <c r="N85" s="5"/>
      <c r="O85" s="5"/>
      <c r="P85" s="2"/>
      <c r="Q85" s="2">
        <f t="shared" ref="Q85" si="21">F85+K85</f>
        <v>340823</v>
      </c>
      <c r="R85" s="2">
        <f t="shared" ref="R85" si="22">P85+Q85</f>
        <v>340823</v>
      </c>
    </row>
    <row r="86" spans="1:18" s="11" customFormat="1" ht="36" x14ac:dyDescent="0.2">
      <c r="A86" s="66" t="s">
        <v>402</v>
      </c>
      <c r="B86" s="67" t="s">
        <v>403</v>
      </c>
      <c r="C86" s="67" t="s">
        <v>15</v>
      </c>
      <c r="D86" s="54" t="s">
        <v>404</v>
      </c>
      <c r="E86" s="5"/>
      <c r="F86" s="5">
        <f t="shared" si="17"/>
        <v>22991000</v>
      </c>
      <c r="G86" s="5">
        <v>22991000</v>
      </c>
      <c r="H86" s="5"/>
      <c r="I86" s="5">
        <f t="shared" si="6"/>
        <v>22991000</v>
      </c>
      <c r="J86" s="5">
        <v>0</v>
      </c>
      <c r="K86" s="5">
        <f t="shared" si="20"/>
        <v>0</v>
      </c>
      <c r="L86" s="5"/>
      <c r="M86" s="5"/>
      <c r="N86" s="5"/>
      <c r="O86" s="5">
        <f t="shared" si="3"/>
        <v>0</v>
      </c>
      <c r="P86" s="2">
        <f t="shared" si="8"/>
        <v>0</v>
      </c>
      <c r="Q86" s="2">
        <f t="shared" si="4"/>
        <v>22991000</v>
      </c>
      <c r="R86" s="2">
        <f t="shared" si="10"/>
        <v>22991000</v>
      </c>
    </row>
    <row r="87" spans="1:18" s="11" customFormat="1" ht="24" x14ac:dyDescent="0.2">
      <c r="A87" s="66" t="s">
        <v>436</v>
      </c>
      <c r="B87" s="67" t="s">
        <v>437</v>
      </c>
      <c r="C87" s="67" t="s">
        <v>443</v>
      </c>
      <c r="D87" s="54" t="s">
        <v>438</v>
      </c>
      <c r="E87" s="5">
        <v>12825000</v>
      </c>
      <c r="F87" s="5">
        <f t="shared" si="17"/>
        <v>0</v>
      </c>
      <c r="G87" s="5"/>
      <c r="H87" s="5"/>
      <c r="I87" s="5">
        <f t="shared" si="6"/>
        <v>12825000</v>
      </c>
      <c r="J87" s="5"/>
      <c r="K87" s="5">
        <f t="shared" si="20"/>
        <v>0</v>
      </c>
      <c r="L87" s="5"/>
      <c r="M87" s="5"/>
      <c r="N87" s="5"/>
      <c r="O87" s="5">
        <f t="shared" si="3"/>
        <v>0</v>
      </c>
      <c r="P87" s="2">
        <f t="shared" si="8"/>
        <v>12825000</v>
      </c>
      <c r="Q87" s="2">
        <f t="shared" si="4"/>
        <v>0</v>
      </c>
      <c r="R87" s="2">
        <f t="shared" si="10"/>
        <v>12825000</v>
      </c>
    </row>
    <row r="88" spans="1:18" s="11" customFormat="1" ht="24" x14ac:dyDescent="0.2">
      <c r="A88" s="66" t="s">
        <v>383</v>
      </c>
      <c r="B88" s="67" t="s">
        <v>384</v>
      </c>
      <c r="C88" s="67" t="s">
        <v>33</v>
      </c>
      <c r="D88" s="54" t="s">
        <v>81</v>
      </c>
      <c r="E88" s="5">
        <v>10000</v>
      </c>
      <c r="F88" s="5">
        <f t="shared" si="17"/>
        <v>-2768</v>
      </c>
      <c r="G88" s="5">
        <v>-2768</v>
      </c>
      <c r="H88" s="5"/>
      <c r="I88" s="5">
        <f t="shared" si="6"/>
        <v>7232</v>
      </c>
      <c r="J88" s="5">
        <v>0</v>
      </c>
      <c r="K88" s="5">
        <f t="shared" si="20"/>
        <v>0</v>
      </c>
      <c r="L88" s="5"/>
      <c r="M88" s="5"/>
      <c r="N88" s="5"/>
      <c r="O88" s="5">
        <f t="shared" si="3"/>
        <v>0</v>
      </c>
      <c r="P88" s="2">
        <f t="shared" si="8"/>
        <v>10000</v>
      </c>
      <c r="Q88" s="2">
        <f t="shared" si="4"/>
        <v>-2768</v>
      </c>
      <c r="R88" s="2">
        <f t="shared" si="10"/>
        <v>7232</v>
      </c>
    </row>
    <row r="89" spans="1:18" s="11" customFormat="1" ht="24" x14ac:dyDescent="0.2">
      <c r="A89" s="66" t="s">
        <v>385</v>
      </c>
      <c r="B89" s="67" t="s">
        <v>386</v>
      </c>
      <c r="C89" s="67" t="s">
        <v>34</v>
      </c>
      <c r="D89" s="54" t="s">
        <v>83</v>
      </c>
      <c r="E89" s="5">
        <v>1010000</v>
      </c>
      <c r="F89" s="5">
        <f t="shared" si="17"/>
        <v>0</v>
      </c>
      <c r="G89" s="5"/>
      <c r="H89" s="5"/>
      <c r="I89" s="5">
        <f t="shared" si="6"/>
        <v>1010000</v>
      </c>
      <c r="J89" s="5">
        <v>0</v>
      </c>
      <c r="K89" s="5">
        <f t="shared" si="20"/>
        <v>0</v>
      </c>
      <c r="L89" s="5"/>
      <c r="M89" s="5"/>
      <c r="N89" s="5"/>
      <c r="O89" s="5">
        <f t="shared" si="3"/>
        <v>0</v>
      </c>
      <c r="P89" s="2">
        <f t="shared" si="8"/>
        <v>1010000</v>
      </c>
      <c r="Q89" s="2">
        <f t="shared" si="4"/>
        <v>0</v>
      </c>
      <c r="R89" s="2">
        <f t="shared" si="10"/>
        <v>1010000</v>
      </c>
    </row>
    <row r="90" spans="1:18" s="11" customFormat="1" ht="12" x14ac:dyDescent="0.2">
      <c r="A90" s="66" t="s">
        <v>142</v>
      </c>
      <c r="B90" s="67" t="s">
        <v>391</v>
      </c>
      <c r="C90" s="67"/>
      <c r="D90" s="18" t="s">
        <v>204</v>
      </c>
      <c r="E90" s="5">
        <f>E91+E93</f>
        <v>25100000</v>
      </c>
      <c r="F90" s="5">
        <f t="shared" si="17"/>
        <v>171454</v>
      </c>
      <c r="G90" s="5">
        <f>G91+G93</f>
        <v>171454</v>
      </c>
      <c r="H90" s="5"/>
      <c r="I90" s="5">
        <f t="shared" si="6"/>
        <v>25271454</v>
      </c>
      <c r="J90" s="5">
        <v>400000</v>
      </c>
      <c r="K90" s="5">
        <f>K91+K93</f>
        <v>0</v>
      </c>
      <c r="L90" s="5">
        <f t="shared" ref="L90:N90" si="23">L91+L93</f>
        <v>0</v>
      </c>
      <c r="M90" s="5">
        <f t="shared" si="23"/>
        <v>0</v>
      </c>
      <c r="N90" s="5">
        <f t="shared" si="23"/>
        <v>0</v>
      </c>
      <c r="O90" s="5">
        <f t="shared" si="3"/>
        <v>400000</v>
      </c>
      <c r="P90" s="2">
        <f t="shared" ref="P90:P160" si="24">E90+J90</f>
        <v>25500000</v>
      </c>
      <c r="Q90" s="2">
        <f t="shared" si="4"/>
        <v>171454</v>
      </c>
      <c r="R90" s="2">
        <f t="shared" si="10"/>
        <v>25671454</v>
      </c>
    </row>
    <row r="91" spans="1:18" s="11" customFormat="1" ht="24" x14ac:dyDescent="0.2">
      <c r="A91" s="66" t="s">
        <v>387</v>
      </c>
      <c r="B91" s="67" t="s">
        <v>388</v>
      </c>
      <c r="C91" s="67" t="s">
        <v>34</v>
      </c>
      <c r="D91" s="18" t="s">
        <v>409</v>
      </c>
      <c r="E91" s="5">
        <v>24000000</v>
      </c>
      <c r="F91" s="5">
        <f t="shared" si="17"/>
        <v>769690</v>
      </c>
      <c r="G91" s="5">
        <f>50000+345000+374690</f>
        <v>769690</v>
      </c>
      <c r="H91" s="5"/>
      <c r="I91" s="5">
        <f t="shared" si="6"/>
        <v>24769690</v>
      </c>
      <c r="J91" s="5">
        <v>400000</v>
      </c>
      <c r="K91" s="5">
        <f t="shared" ref="K91:K107" si="25">M91+N91</f>
        <v>0</v>
      </c>
      <c r="L91" s="5"/>
      <c r="M91" s="5"/>
      <c r="N91" s="5"/>
      <c r="O91" s="5">
        <f t="shared" si="3"/>
        <v>400000</v>
      </c>
      <c r="P91" s="2">
        <f t="shared" si="24"/>
        <v>24400000</v>
      </c>
      <c r="Q91" s="2">
        <f t="shared" ref="Q91:Q163" si="26">F91+K91</f>
        <v>769690</v>
      </c>
      <c r="R91" s="2">
        <f t="shared" si="10"/>
        <v>25169690</v>
      </c>
    </row>
    <row r="92" spans="1:18" s="11" customFormat="1" ht="21" customHeight="1" x14ac:dyDescent="0.2">
      <c r="A92" s="66"/>
      <c r="B92" s="67"/>
      <c r="C92" s="67"/>
      <c r="D92" s="18" t="s">
        <v>542</v>
      </c>
      <c r="E92" s="5"/>
      <c r="F92" s="5">
        <f t="shared" si="17"/>
        <v>374690</v>
      </c>
      <c r="G92" s="5">
        <f>374690</f>
        <v>374690</v>
      </c>
      <c r="H92" s="5"/>
      <c r="I92" s="5">
        <f t="shared" si="6"/>
        <v>374690</v>
      </c>
      <c r="J92" s="5"/>
      <c r="K92" s="5"/>
      <c r="L92" s="5"/>
      <c r="M92" s="5"/>
      <c r="N92" s="5"/>
      <c r="O92" s="5"/>
      <c r="P92" s="2">
        <f t="shared" ref="P92" si="27">E92+J92</f>
        <v>0</v>
      </c>
      <c r="Q92" s="2">
        <f t="shared" ref="Q92" si="28">F92+K92</f>
        <v>374690</v>
      </c>
      <c r="R92" s="2">
        <f t="shared" ref="R92" si="29">P92+Q92</f>
        <v>374690</v>
      </c>
    </row>
    <row r="93" spans="1:18" s="11" customFormat="1" ht="12" x14ac:dyDescent="0.2">
      <c r="A93" s="66" t="s">
        <v>389</v>
      </c>
      <c r="B93" s="67" t="s">
        <v>390</v>
      </c>
      <c r="C93" s="67" t="s">
        <v>34</v>
      </c>
      <c r="D93" s="36" t="s">
        <v>410</v>
      </c>
      <c r="E93" s="5">
        <v>1100000</v>
      </c>
      <c r="F93" s="5">
        <f>G93+H93</f>
        <v>-598236</v>
      </c>
      <c r="G93" s="5">
        <f>-832318-40000-12000-9738-4130+299950</f>
        <v>-598236</v>
      </c>
      <c r="H93" s="5"/>
      <c r="I93" s="5">
        <f>E93+F93</f>
        <v>501764</v>
      </c>
      <c r="J93" s="5">
        <v>0</v>
      </c>
      <c r="K93" s="5">
        <f t="shared" si="25"/>
        <v>0</v>
      </c>
      <c r="L93" s="5"/>
      <c r="M93" s="5"/>
      <c r="N93" s="5"/>
      <c r="O93" s="5">
        <f t="shared" ref="O93:O164" si="30">J93+K93</f>
        <v>0</v>
      </c>
      <c r="P93" s="2">
        <f t="shared" si="24"/>
        <v>1100000</v>
      </c>
      <c r="Q93" s="2">
        <f t="shared" si="26"/>
        <v>-598236</v>
      </c>
      <c r="R93" s="2">
        <f t="shared" si="10"/>
        <v>501764</v>
      </c>
    </row>
    <row r="94" spans="1:18" s="11" customFormat="1" ht="12" x14ac:dyDescent="0.2">
      <c r="A94" s="66"/>
      <c r="B94" s="67"/>
      <c r="C94" s="67"/>
      <c r="D94" s="18" t="s">
        <v>288</v>
      </c>
      <c r="E94" s="5"/>
      <c r="F94" s="5">
        <f t="shared" si="17"/>
        <v>0</v>
      </c>
      <c r="G94" s="5"/>
      <c r="H94" s="5"/>
      <c r="I94" s="5">
        <f t="shared" ref="I94:I165" si="31">E94+F94</f>
        <v>0</v>
      </c>
      <c r="J94" s="5"/>
      <c r="K94" s="5">
        <f t="shared" si="25"/>
        <v>0</v>
      </c>
      <c r="L94" s="5"/>
      <c r="M94" s="5"/>
      <c r="N94" s="5"/>
      <c r="O94" s="5">
        <f t="shared" si="30"/>
        <v>0</v>
      </c>
      <c r="P94" s="2">
        <f t="shared" si="24"/>
        <v>0</v>
      </c>
      <c r="Q94" s="2">
        <f t="shared" si="26"/>
        <v>0</v>
      </c>
      <c r="R94" s="2">
        <f t="shared" si="10"/>
        <v>0</v>
      </c>
    </row>
    <row r="95" spans="1:18" s="11" customFormat="1" ht="36" x14ac:dyDescent="0.2">
      <c r="A95" s="66"/>
      <c r="B95" s="67"/>
      <c r="C95" s="67"/>
      <c r="D95" s="20" t="s">
        <v>349</v>
      </c>
      <c r="E95" s="5">
        <v>900000</v>
      </c>
      <c r="F95" s="5">
        <f t="shared" si="17"/>
        <v>-898186</v>
      </c>
      <c r="G95" s="5">
        <f>-832318-40000-12000-9738-4130</f>
        <v>-898186</v>
      </c>
      <c r="H95" s="5"/>
      <c r="I95" s="5">
        <f t="shared" si="31"/>
        <v>1814</v>
      </c>
      <c r="J95" s="5">
        <v>0</v>
      </c>
      <c r="K95" s="5">
        <f t="shared" si="25"/>
        <v>0</v>
      </c>
      <c r="L95" s="5"/>
      <c r="M95" s="5"/>
      <c r="N95" s="5"/>
      <c r="O95" s="5">
        <f t="shared" si="30"/>
        <v>0</v>
      </c>
      <c r="P95" s="2">
        <f t="shared" si="24"/>
        <v>900000</v>
      </c>
      <c r="Q95" s="2">
        <f t="shared" si="26"/>
        <v>-898186</v>
      </c>
      <c r="R95" s="2">
        <f t="shared" si="10"/>
        <v>1814</v>
      </c>
    </row>
    <row r="96" spans="1:18" s="11" customFormat="1" ht="24" x14ac:dyDescent="0.2">
      <c r="A96" s="66" t="s">
        <v>143</v>
      </c>
      <c r="B96" s="67" t="s">
        <v>82</v>
      </c>
      <c r="C96" s="67"/>
      <c r="D96" s="20" t="s">
        <v>306</v>
      </c>
      <c r="E96" s="5">
        <f>E97+E98</f>
        <v>600000</v>
      </c>
      <c r="F96" s="5">
        <f t="shared" si="17"/>
        <v>2037230</v>
      </c>
      <c r="G96" s="5">
        <f>G97+G98</f>
        <v>2037230</v>
      </c>
      <c r="H96" s="5"/>
      <c r="I96" s="5">
        <f t="shared" si="31"/>
        <v>2637230</v>
      </c>
      <c r="J96" s="5">
        <v>0</v>
      </c>
      <c r="K96" s="5">
        <f t="shared" si="25"/>
        <v>0</v>
      </c>
      <c r="L96" s="5"/>
      <c r="M96" s="5"/>
      <c r="N96" s="5"/>
      <c r="O96" s="5">
        <f t="shared" si="30"/>
        <v>0</v>
      </c>
      <c r="P96" s="2">
        <f t="shared" si="24"/>
        <v>600000</v>
      </c>
      <c r="Q96" s="2">
        <f t="shared" si="26"/>
        <v>2037230</v>
      </c>
      <c r="R96" s="2">
        <f t="shared" si="10"/>
        <v>2637230</v>
      </c>
    </row>
    <row r="97" spans="1:175" s="11" customFormat="1" ht="24" x14ac:dyDescent="0.2">
      <c r="A97" s="66" t="s">
        <v>392</v>
      </c>
      <c r="B97" s="67" t="s">
        <v>393</v>
      </c>
      <c r="C97" s="67" t="s">
        <v>34</v>
      </c>
      <c r="D97" s="20" t="s">
        <v>411</v>
      </c>
      <c r="E97" s="5">
        <v>600000</v>
      </c>
      <c r="F97" s="5">
        <f t="shared" si="17"/>
        <v>10830</v>
      </c>
      <c r="G97" s="5">
        <f>10830</f>
        <v>10830</v>
      </c>
      <c r="H97" s="5"/>
      <c r="I97" s="5">
        <f t="shared" si="31"/>
        <v>610830</v>
      </c>
      <c r="J97" s="5">
        <v>0</v>
      </c>
      <c r="K97" s="5">
        <f t="shared" si="25"/>
        <v>0</v>
      </c>
      <c r="L97" s="5"/>
      <c r="M97" s="5"/>
      <c r="N97" s="5"/>
      <c r="O97" s="5">
        <f t="shared" si="30"/>
        <v>0</v>
      </c>
      <c r="P97" s="2">
        <f t="shared" si="24"/>
        <v>600000</v>
      </c>
      <c r="Q97" s="2">
        <f t="shared" si="26"/>
        <v>10830</v>
      </c>
      <c r="R97" s="2">
        <f t="shared" si="10"/>
        <v>610830</v>
      </c>
    </row>
    <row r="98" spans="1:175" s="11" customFormat="1" ht="24" x14ac:dyDescent="0.2">
      <c r="A98" s="66" t="s">
        <v>394</v>
      </c>
      <c r="B98" s="67" t="s">
        <v>395</v>
      </c>
      <c r="C98" s="67" t="s">
        <v>34</v>
      </c>
      <c r="D98" s="20" t="s">
        <v>412</v>
      </c>
      <c r="E98" s="5">
        <v>0</v>
      </c>
      <c r="F98" s="5">
        <f t="shared" si="17"/>
        <v>2026400</v>
      </c>
      <c r="G98" s="5">
        <v>2026400</v>
      </c>
      <c r="H98" s="5"/>
      <c r="I98" s="5">
        <f t="shared" si="31"/>
        <v>2026400</v>
      </c>
      <c r="J98" s="5"/>
      <c r="K98" s="5">
        <f t="shared" si="25"/>
        <v>0</v>
      </c>
      <c r="L98" s="5"/>
      <c r="M98" s="5"/>
      <c r="N98" s="5"/>
      <c r="O98" s="5">
        <f t="shared" si="30"/>
        <v>0</v>
      </c>
      <c r="P98" s="2">
        <f t="shared" si="24"/>
        <v>0</v>
      </c>
      <c r="Q98" s="2">
        <f t="shared" si="26"/>
        <v>2026400</v>
      </c>
      <c r="R98" s="2">
        <f t="shared" si="10"/>
        <v>2026400</v>
      </c>
    </row>
    <row r="99" spans="1:175" s="11" customFormat="1" ht="24" x14ac:dyDescent="0.2">
      <c r="A99" s="66" t="s">
        <v>144</v>
      </c>
      <c r="B99" s="67" t="s">
        <v>84</v>
      </c>
      <c r="C99" s="67" t="s">
        <v>34</v>
      </c>
      <c r="D99" s="20" t="s">
        <v>396</v>
      </c>
      <c r="E99" s="5">
        <v>3300000</v>
      </c>
      <c r="F99" s="5">
        <f t="shared" si="17"/>
        <v>0</v>
      </c>
      <c r="G99" s="5"/>
      <c r="H99" s="5"/>
      <c r="I99" s="5">
        <f t="shared" si="31"/>
        <v>3300000</v>
      </c>
      <c r="J99" s="5"/>
      <c r="K99" s="5">
        <f t="shared" si="25"/>
        <v>0</v>
      </c>
      <c r="L99" s="5"/>
      <c r="M99" s="5"/>
      <c r="N99" s="5"/>
      <c r="O99" s="5">
        <f t="shared" si="30"/>
        <v>0</v>
      </c>
      <c r="P99" s="2">
        <f t="shared" si="24"/>
        <v>3300000</v>
      </c>
      <c r="Q99" s="2">
        <f t="shared" si="26"/>
        <v>0</v>
      </c>
      <c r="R99" s="2">
        <f t="shared" si="10"/>
        <v>3300000</v>
      </c>
    </row>
    <row r="100" spans="1:175" s="11" customFormat="1" ht="36" x14ac:dyDescent="0.2">
      <c r="A100" s="66" t="s">
        <v>369</v>
      </c>
      <c r="B100" s="67" t="s">
        <v>370</v>
      </c>
      <c r="C100" s="67" t="s">
        <v>34</v>
      </c>
      <c r="D100" s="18" t="s">
        <v>371</v>
      </c>
      <c r="E100" s="5">
        <v>0</v>
      </c>
      <c r="F100" s="5">
        <f t="shared" si="17"/>
        <v>2776100</v>
      </c>
      <c r="G100" s="5">
        <v>2776100</v>
      </c>
      <c r="H100" s="5"/>
      <c r="I100" s="5">
        <f t="shared" si="31"/>
        <v>2776100</v>
      </c>
      <c r="J100" s="5">
        <v>0</v>
      </c>
      <c r="K100" s="5">
        <f t="shared" si="25"/>
        <v>0</v>
      </c>
      <c r="L100" s="5"/>
      <c r="M100" s="5"/>
      <c r="N100" s="5"/>
      <c r="O100" s="5">
        <f t="shared" si="30"/>
        <v>0</v>
      </c>
      <c r="P100" s="2">
        <f t="shared" si="24"/>
        <v>0</v>
      </c>
      <c r="Q100" s="2">
        <f t="shared" si="26"/>
        <v>2776100</v>
      </c>
      <c r="R100" s="2">
        <f t="shared" si="10"/>
        <v>2776100</v>
      </c>
    </row>
    <row r="101" spans="1:175" s="11" customFormat="1" ht="48" x14ac:dyDescent="0.2">
      <c r="A101" s="66" t="s">
        <v>496</v>
      </c>
      <c r="B101" s="67" t="s">
        <v>497</v>
      </c>
      <c r="C101" s="67" t="s">
        <v>34</v>
      </c>
      <c r="D101" s="18" t="s">
        <v>498</v>
      </c>
      <c r="E101" s="5"/>
      <c r="F101" s="5">
        <f t="shared" si="17"/>
        <v>478183.67</v>
      </c>
      <c r="G101" s="5">
        <f>478183.67</f>
        <v>478183.67</v>
      </c>
      <c r="H101" s="5"/>
      <c r="I101" s="5">
        <f t="shared" si="31"/>
        <v>478183.67</v>
      </c>
      <c r="J101" s="5"/>
      <c r="K101" s="5">
        <f t="shared" si="25"/>
        <v>1174720</v>
      </c>
      <c r="L101" s="5"/>
      <c r="M101" s="5"/>
      <c r="N101" s="5">
        <f>1174720</f>
        <v>1174720</v>
      </c>
      <c r="O101" s="5">
        <f t="shared" ref="O101" si="32">K101+J101</f>
        <v>1174720</v>
      </c>
      <c r="P101" s="2">
        <f t="shared" si="24"/>
        <v>0</v>
      </c>
      <c r="Q101" s="2">
        <f t="shared" si="26"/>
        <v>1652903.67</v>
      </c>
      <c r="R101" s="2">
        <f t="shared" si="10"/>
        <v>1652903.67</v>
      </c>
    </row>
    <row r="102" spans="1:175" s="11" customFormat="1" ht="12" x14ac:dyDescent="0.2">
      <c r="A102" s="66" t="s">
        <v>145</v>
      </c>
      <c r="B102" s="67" t="s">
        <v>85</v>
      </c>
      <c r="C102" s="67" t="s">
        <v>35</v>
      </c>
      <c r="D102" s="18" t="s">
        <v>86</v>
      </c>
      <c r="E102" s="5">
        <v>12400000</v>
      </c>
      <c r="F102" s="5">
        <f t="shared" si="17"/>
        <v>171000</v>
      </c>
      <c r="G102" s="5">
        <f>13000+208000-50000</f>
        <v>171000</v>
      </c>
      <c r="H102" s="5"/>
      <c r="I102" s="5">
        <f t="shared" si="31"/>
        <v>12571000</v>
      </c>
      <c r="J102" s="5">
        <v>0</v>
      </c>
      <c r="K102" s="5">
        <f t="shared" si="25"/>
        <v>0</v>
      </c>
      <c r="L102" s="5"/>
      <c r="M102" s="5"/>
      <c r="N102" s="5"/>
      <c r="O102" s="5">
        <f t="shared" si="30"/>
        <v>0</v>
      </c>
      <c r="P102" s="2">
        <f t="shared" si="24"/>
        <v>12400000</v>
      </c>
      <c r="Q102" s="2">
        <f>F102+K102</f>
        <v>171000</v>
      </c>
      <c r="R102" s="2">
        <f t="shared" si="10"/>
        <v>12571000</v>
      </c>
    </row>
    <row r="103" spans="1:175" s="11" customFormat="1" ht="48" x14ac:dyDescent="0.2">
      <c r="A103" s="66" t="s">
        <v>146</v>
      </c>
      <c r="B103" s="67" t="s">
        <v>87</v>
      </c>
      <c r="C103" s="67" t="s">
        <v>35</v>
      </c>
      <c r="D103" s="54" t="s">
        <v>88</v>
      </c>
      <c r="E103" s="5">
        <v>1500000</v>
      </c>
      <c r="F103" s="5">
        <f t="shared" si="17"/>
        <v>0</v>
      </c>
      <c r="G103" s="5"/>
      <c r="H103" s="5"/>
      <c r="I103" s="5">
        <f t="shared" si="31"/>
        <v>1500000</v>
      </c>
      <c r="J103" s="5">
        <v>0</v>
      </c>
      <c r="K103" s="5">
        <f t="shared" si="25"/>
        <v>0</v>
      </c>
      <c r="L103" s="5"/>
      <c r="M103" s="5"/>
      <c r="N103" s="5"/>
      <c r="O103" s="5">
        <f t="shared" si="30"/>
        <v>0</v>
      </c>
      <c r="P103" s="2">
        <f t="shared" si="24"/>
        <v>1500000</v>
      </c>
      <c r="Q103" s="2">
        <f t="shared" si="26"/>
        <v>0</v>
      </c>
      <c r="R103" s="2">
        <f t="shared" si="10"/>
        <v>1500000</v>
      </c>
    </row>
    <row r="104" spans="1:175" s="11" customFormat="1" ht="36" x14ac:dyDescent="0.2">
      <c r="A104" s="66" t="s">
        <v>499</v>
      </c>
      <c r="B104" s="67" t="s">
        <v>457</v>
      </c>
      <c r="C104" s="67" t="s">
        <v>23</v>
      </c>
      <c r="D104" s="54" t="s">
        <v>500</v>
      </c>
      <c r="E104" s="5"/>
      <c r="F104" s="5">
        <f t="shared" si="17"/>
        <v>0</v>
      </c>
      <c r="G104" s="5"/>
      <c r="H104" s="5"/>
      <c r="I104" s="5">
        <f t="shared" si="31"/>
        <v>0</v>
      </c>
      <c r="J104" s="5"/>
      <c r="K104" s="5">
        <f t="shared" si="25"/>
        <v>249300</v>
      </c>
      <c r="L104" s="5"/>
      <c r="M104" s="5"/>
      <c r="N104" s="5">
        <f>249300</f>
        <v>249300</v>
      </c>
      <c r="O104" s="5">
        <f t="shared" si="30"/>
        <v>249300</v>
      </c>
      <c r="P104" s="2">
        <f t="shared" ref="P104" si="33">E104+J104</f>
        <v>0</v>
      </c>
      <c r="Q104" s="2">
        <f t="shared" ref="Q104" si="34">F104+K104</f>
        <v>249300</v>
      </c>
      <c r="R104" s="2">
        <f t="shared" ref="R104" si="35">P104+Q104</f>
        <v>249300</v>
      </c>
    </row>
    <row r="105" spans="1:175" s="11" customFormat="1" ht="24" x14ac:dyDescent="0.2">
      <c r="A105" s="66" t="s">
        <v>147</v>
      </c>
      <c r="B105" s="67" t="s">
        <v>66</v>
      </c>
      <c r="C105" s="67" t="s">
        <v>36</v>
      </c>
      <c r="D105" s="54" t="s">
        <v>57</v>
      </c>
      <c r="E105" s="5">
        <v>43000000</v>
      </c>
      <c r="F105" s="5">
        <f t="shared" si="17"/>
        <v>343000</v>
      </c>
      <c r="G105" s="5">
        <f>10000+379000-60000+14000</f>
        <v>343000</v>
      </c>
      <c r="H105" s="5"/>
      <c r="I105" s="5">
        <f t="shared" si="31"/>
        <v>43343000</v>
      </c>
      <c r="J105" s="5">
        <v>150700</v>
      </c>
      <c r="K105" s="5">
        <f t="shared" si="25"/>
        <v>2260000</v>
      </c>
      <c r="L105" s="5"/>
      <c r="M105" s="5"/>
      <c r="N105" s="5">
        <f>2260000</f>
        <v>2260000</v>
      </c>
      <c r="O105" s="5">
        <f t="shared" si="30"/>
        <v>2410700</v>
      </c>
      <c r="P105" s="2">
        <f t="shared" si="24"/>
        <v>43150700</v>
      </c>
      <c r="Q105" s="2">
        <f t="shared" si="26"/>
        <v>2603000</v>
      </c>
      <c r="R105" s="2">
        <f t="shared" si="10"/>
        <v>45753700</v>
      </c>
    </row>
    <row r="106" spans="1:175" s="11" customFormat="1" ht="12" x14ac:dyDescent="0.2">
      <c r="A106" s="66" t="s">
        <v>501</v>
      </c>
      <c r="B106" s="67" t="s">
        <v>502</v>
      </c>
      <c r="C106" s="67" t="s">
        <v>206</v>
      </c>
      <c r="D106" s="54" t="s">
        <v>503</v>
      </c>
      <c r="E106" s="5"/>
      <c r="F106" s="5">
        <f t="shared" si="17"/>
        <v>0</v>
      </c>
      <c r="G106" s="5"/>
      <c r="H106" s="5"/>
      <c r="I106" s="5"/>
      <c r="J106" s="5"/>
      <c r="K106" s="5">
        <f t="shared" si="25"/>
        <v>7100909</v>
      </c>
      <c r="L106" s="5"/>
      <c r="M106" s="5"/>
      <c r="N106" s="5">
        <f>7100909</f>
        <v>7100909</v>
      </c>
      <c r="O106" s="5">
        <f t="shared" ref="O106" si="36">K106+J106</f>
        <v>7100909</v>
      </c>
      <c r="P106" s="2">
        <f t="shared" si="24"/>
        <v>0</v>
      </c>
      <c r="Q106" s="2">
        <f t="shared" si="26"/>
        <v>7100909</v>
      </c>
      <c r="R106" s="2">
        <f t="shared" si="10"/>
        <v>7100909</v>
      </c>
    </row>
    <row r="107" spans="1:175" s="11" customFormat="1" ht="92.25" customHeight="1" x14ac:dyDescent="0.2">
      <c r="A107" s="66" t="s">
        <v>264</v>
      </c>
      <c r="B107" s="67" t="s">
        <v>262</v>
      </c>
      <c r="C107" s="67" t="s">
        <v>25</v>
      </c>
      <c r="D107" s="18" t="s">
        <v>263</v>
      </c>
      <c r="E107" s="5"/>
      <c r="F107" s="5">
        <f t="shared" si="17"/>
        <v>0</v>
      </c>
      <c r="G107" s="5"/>
      <c r="H107" s="5"/>
      <c r="I107" s="5">
        <f t="shared" si="31"/>
        <v>0</v>
      </c>
      <c r="J107" s="5">
        <v>1000000</v>
      </c>
      <c r="K107" s="5">
        <f t="shared" si="25"/>
        <v>-94628</v>
      </c>
      <c r="L107" s="5"/>
      <c r="M107" s="5">
        <f>-94628</f>
        <v>-94628</v>
      </c>
      <c r="N107" s="5"/>
      <c r="O107" s="5">
        <f t="shared" si="30"/>
        <v>905372</v>
      </c>
      <c r="P107" s="2">
        <f t="shared" si="24"/>
        <v>1000000</v>
      </c>
      <c r="Q107" s="2">
        <f t="shared" si="26"/>
        <v>-94628</v>
      </c>
      <c r="R107" s="2">
        <f t="shared" si="10"/>
        <v>905372</v>
      </c>
    </row>
    <row r="108" spans="1:175" s="4" customFormat="1" ht="25.5" x14ac:dyDescent="0.2">
      <c r="A108" s="17" t="s">
        <v>109</v>
      </c>
      <c r="B108" s="1"/>
      <c r="C108" s="1"/>
      <c r="D108" s="62" t="s">
        <v>89</v>
      </c>
      <c r="E108" s="3">
        <f>E111+E112+E113+E114+E116+E110+E115</f>
        <v>87980800</v>
      </c>
      <c r="F108" s="3">
        <f>F111+F112+F113+F114+F116+F110+F115</f>
        <v>6067114</v>
      </c>
      <c r="G108" s="3">
        <f>G111+G112+G113+G114+G116+G110+G115</f>
        <v>6067114</v>
      </c>
      <c r="H108" s="3">
        <f>H111+H112+H113+H114+H116+H110+H115</f>
        <v>0</v>
      </c>
      <c r="I108" s="12">
        <f t="shared" si="31"/>
        <v>94047914</v>
      </c>
      <c r="J108" s="3">
        <f>SUM(J109:J118)</f>
        <v>1000000</v>
      </c>
      <c r="K108" s="3">
        <f>SUM(K109:K118)</f>
        <v>3438900</v>
      </c>
      <c r="L108" s="3">
        <f>SUM(L110:L118)</f>
        <v>0</v>
      </c>
      <c r="M108" s="3">
        <f t="shared" ref="M108:N108" si="37">SUM(M110:M118)</f>
        <v>315000</v>
      </c>
      <c r="N108" s="3">
        <f t="shared" si="37"/>
        <v>3123900</v>
      </c>
      <c r="O108" s="3">
        <f>SUM(O109:O118)</f>
        <v>4438900</v>
      </c>
      <c r="P108" s="3">
        <f t="shared" si="24"/>
        <v>88980800</v>
      </c>
      <c r="Q108" s="3">
        <f t="shared" si="26"/>
        <v>9506014</v>
      </c>
      <c r="R108" s="3">
        <f t="shared" si="10"/>
        <v>98486814</v>
      </c>
      <c r="S108" s="15"/>
      <c r="T108" s="15"/>
      <c r="U108" s="15"/>
      <c r="V108" s="15"/>
      <c r="W108" s="15"/>
      <c r="X108" s="15"/>
      <c r="Y108" s="15"/>
      <c r="Z108" s="15"/>
      <c r="AA108" s="15"/>
      <c r="AB108" s="15"/>
      <c r="AC108" s="15"/>
      <c r="AD108" s="15"/>
      <c r="AE108" s="15"/>
      <c r="AF108" s="15"/>
      <c r="AG108" s="15"/>
      <c r="AH108" s="15"/>
      <c r="AI108" s="15"/>
      <c r="AJ108" s="15"/>
      <c r="AK108" s="15"/>
      <c r="AL108" s="15"/>
      <c r="AM108" s="15"/>
      <c r="AN108" s="15"/>
      <c r="AO108" s="15"/>
      <c r="AP108" s="15"/>
      <c r="AQ108" s="15"/>
      <c r="AR108" s="15"/>
      <c r="AS108" s="15"/>
      <c r="AT108" s="15"/>
      <c r="AU108" s="15"/>
      <c r="AV108" s="15"/>
      <c r="AW108" s="15"/>
      <c r="AX108" s="15"/>
      <c r="AY108" s="15"/>
      <c r="AZ108" s="15"/>
      <c r="BA108" s="15"/>
      <c r="BB108" s="15"/>
      <c r="BC108" s="15"/>
      <c r="BD108" s="15"/>
      <c r="BE108" s="15"/>
      <c r="BF108" s="15"/>
      <c r="BG108" s="15"/>
      <c r="BH108" s="15"/>
      <c r="BI108" s="15"/>
      <c r="BJ108" s="15"/>
      <c r="BK108" s="15"/>
      <c r="BL108" s="15"/>
      <c r="BM108" s="15"/>
      <c r="BN108" s="15"/>
      <c r="BO108" s="15"/>
      <c r="BP108" s="15"/>
      <c r="BQ108" s="15"/>
      <c r="BR108" s="15"/>
      <c r="BS108" s="15"/>
      <c r="BT108" s="15"/>
      <c r="BU108" s="15"/>
      <c r="BV108" s="15"/>
      <c r="BW108" s="15"/>
      <c r="BX108" s="15"/>
      <c r="BY108" s="15"/>
      <c r="BZ108" s="15"/>
      <c r="CA108" s="15"/>
      <c r="CB108" s="15"/>
      <c r="CC108" s="15"/>
      <c r="CD108" s="15"/>
      <c r="CE108" s="15"/>
      <c r="CF108" s="15"/>
      <c r="CG108" s="15"/>
      <c r="CH108" s="15"/>
      <c r="CI108" s="15"/>
      <c r="CJ108" s="15"/>
      <c r="CK108" s="15"/>
      <c r="CL108" s="15"/>
      <c r="CM108" s="15"/>
      <c r="CN108" s="15"/>
      <c r="CO108" s="15"/>
      <c r="CP108" s="15"/>
      <c r="CQ108" s="15"/>
      <c r="CR108" s="15"/>
      <c r="CS108" s="15"/>
      <c r="CT108" s="15"/>
      <c r="CU108" s="15"/>
      <c r="CV108" s="15"/>
      <c r="CW108" s="15"/>
      <c r="CX108" s="15"/>
      <c r="CY108" s="15"/>
      <c r="CZ108" s="15"/>
      <c r="DA108" s="15"/>
      <c r="DB108" s="15"/>
      <c r="DC108" s="15"/>
      <c r="DD108" s="15"/>
      <c r="DE108" s="15"/>
      <c r="DF108" s="15"/>
      <c r="DG108" s="15"/>
      <c r="DH108" s="15"/>
      <c r="DI108" s="15"/>
      <c r="DJ108" s="15"/>
      <c r="DK108" s="15"/>
      <c r="DL108" s="15"/>
      <c r="DM108" s="15"/>
      <c r="DN108" s="15"/>
      <c r="DO108" s="15"/>
      <c r="DP108" s="15"/>
      <c r="DQ108" s="15"/>
      <c r="DR108" s="15"/>
      <c r="DS108" s="15"/>
      <c r="DT108" s="15"/>
      <c r="DU108" s="15"/>
      <c r="DV108" s="15"/>
      <c r="DW108" s="15"/>
      <c r="DX108" s="15"/>
      <c r="DY108" s="15"/>
      <c r="DZ108" s="15"/>
      <c r="EA108" s="15"/>
      <c r="EB108" s="15"/>
      <c r="EC108" s="15"/>
      <c r="ED108" s="15"/>
      <c r="EE108" s="15"/>
      <c r="EF108" s="15"/>
      <c r="EG108" s="15"/>
      <c r="EH108" s="15"/>
      <c r="EI108" s="15"/>
      <c r="EJ108" s="15"/>
      <c r="EK108" s="15"/>
      <c r="EL108" s="15"/>
      <c r="EM108" s="15"/>
      <c r="EN108" s="15"/>
      <c r="EO108" s="15"/>
      <c r="EP108" s="15"/>
      <c r="EQ108" s="15"/>
      <c r="ER108" s="15"/>
      <c r="ES108" s="15"/>
      <c r="ET108" s="15"/>
      <c r="EU108" s="15"/>
      <c r="EV108" s="15"/>
      <c r="EW108" s="15"/>
      <c r="EX108" s="15"/>
      <c r="EY108" s="15"/>
      <c r="EZ108" s="15"/>
      <c r="FA108" s="15"/>
      <c r="FB108" s="15"/>
      <c r="FC108" s="15"/>
      <c r="FD108" s="15"/>
      <c r="FE108" s="15"/>
      <c r="FF108" s="15"/>
      <c r="FG108" s="15"/>
      <c r="FH108" s="15"/>
      <c r="FI108" s="15"/>
      <c r="FJ108" s="15"/>
      <c r="FK108" s="15"/>
      <c r="FL108" s="15"/>
      <c r="FM108" s="15"/>
      <c r="FN108" s="15"/>
      <c r="FO108" s="15"/>
      <c r="FP108" s="15"/>
      <c r="FQ108" s="15"/>
      <c r="FR108" s="15"/>
      <c r="FS108" s="15"/>
    </row>
    <row r="109" spans="1:175" s="4" customFormat="1" ht="25.5" x14ac:dyDescent="0.2">
      <c r="A109" s="17" t="s">
        <v>110</v>
      </c>
      <c r="B109" s="1"/>
      <c r="C109" s="1"/>
      <c r="D109" s="62" t="s">
        <v>89</v>
      </c>
      <c r="E109" s="2"/>
      <c r="F109" s="2"/>
      <c r="G109" s="2"/>
      <c r="H109" s="2"/>
      <c r="I109" s="5">
        <f t="shared" si="31"/>
        <v>0</v>
      </c>
      <c r="J109" s="5"/>
      <c r="K109" s="5"/>
      <c r="L109" s="2"/>
      <c r="M109" s="2"/>
      <c r="N109" s="2"/>
      <c r="O109" s="2"/>
      <c r="P109" s="2">
        <f t="shared" si="24"/>
        <v>0</v>
      </c>
      <c r="Q109" s="2">
        <f t="shared" si="26"/>
        <v>0</v>
      </c>
      <c r="R109" s="2">
        <f t="shared" si="10"/>
        <v>0</v>
      </c>
      <c r="S109" s="15"/>
      <c r="T109" s="15"/>
      <c r="U109" s="15"/>
      <c r="V109" s="15"/>
      <c r="W109" s="15"/>
      <c r="X109" s="15"/>
      <c r="Y109" s="15"/>
      <c r="Z109" s="15"/>
      <c r="AA109" s="15"/>
      <c r="AB109" s="15"/>
      <c r="AC109" s="15"/>
      <c r="AD109" s="15"/>
      <c r="AE109" s="15"/>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5"/>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15"/>
      <c r="DJ109" s="15"/>
      <c r="DK109" s="15"/>
      <c r="DL109" s="15"/>
      <c r="DM109" s="15"/>
      <c r="DN109" s="15"/>
      <c r="DO109" s="15"/>
      <c r="DP109" s="15"/>
      <c r="DQ109" s="15"/>
      <c r="DR109" s="15"/>
      <c r="DS109" s="15"/>
      <c r="DT109" s="15"/>
      <c r="DU109" s="15"/>
      <c r="DV109" s="15"/>
      <c r="DW109" s="15"/>
      <c r="DX109" s="15"/>
      <c r="DY109" s="15"/>
      <c r="DZ109" s="15"/>
      <c r="EA109" s="15"/>
      <c r="EB109" s="15"/>
      <c r="EC109" s="15"/>
      <c r="ED109" s="15"/>
      <c r="EE109" s="15"/>
      <c r="EF109" s="15"/>
      <c r="EG109" s="15"/>
      <c r="EH109" s="15"/>
      <c r="EI109" s="15"/>
      <c r="EJ109" s="15"/>
      <c r="EK109" s="15"/>
      <c r="EL109" s="15"/>
      <c r="EM109" s="15"/>
      <c r="EN109" s="15"/>
      <c r="EO109" s="15"/>
      <c r="EP109" s="15"/>
      <c r="EQ109" s="15"/>
      <c r="ER109" s="15"/>
      <c r="ES109" s="15"/>
      <c r="ET109" s="15"/>
      <c r="EU109" s="15"/>
      <c r="EV109" s="15"/>
      <c r="EW109" s="15"/>
      <c r="EX109" s="15"/>
      <c r="EY109" s="15"/>
      <c r="EZ109" s="15"/>
      <c r="FA109" s="15"/>
      <c r="FB109" s="15"/>
      <c r="FC109" s="15"/>
      <c r="FD109" s="15"/>
      <c r="FE109" s="15"/>
      <c r="FF109" s="15"/>
      <c r="FG109" s="15"/>
      <c r="FH109" s="15"/>
      <c r="FI109" s="15"/>
      <c r="FJ109" s="15"/>
      <c r="FK109" s="15"/>
      <c r="FL109" s="15"/>
      <c r="FM109" s="15"/>
      <c r="FN109" s="15"/>
      <c r="FO109" s="15"/>
      <c r="FP109" s="15"/>
      <c r="FQ109" s="15"/>
      <c r="FR109" s="15"/>
      <c r="FS109" s="15"/>
    </row>
    <row r="110" spans="1:175" s="4" customFormat="1" ht="36" x14ac:dyDescent="0.2">
      <c r="A110" s="66" t="s">
        <v>111</v>
      </c>
      <c r="B110" s="67" t="s">
        <v>61</v>
      </c>
      <c r="C110" s="67" t="s">
        <v>22</v>
      </c>
      <c r="D110" s="18" t="s">
        <v>450</v>
      </c>
      <c r="E110" s="5">
        <v>2900000</v>
      </c>
      <c r="F110" s="5">
        <f>G110+H110</f>
        <v>0</v>
      </c>
      <c r="G110" s="5"/>
      <c r="H110" s="5"/>
      <c r="I110" s="5">
        <f t="shared" si="31"/>
        <v>2900000</v>
      </c>
      <c r="J110" s="5">
        <v>0</v>
      </c>
      <c r="K110" s="5">
        <f t="shared" ref="K110:K118" si="38">M110+N110</f>
        <v>0</v>
      </c>
      <c r="L110" s="5"/>
      <c r="M110" s="5"/>
      <c r="N110" s="5"/>
      <c r="O110" s="5">
        <f t="shared" si="30"/>
        <v>0</v>
      </c>
      <c r="P110" s="2">
        <f t="shared" si="24"/>
        <v>2900000</v>
      </c>
      <c r="Q110" s="2">
        <f t="shared" si="26"/>
        <v>0</v>
      </c>
      <c r="R110" s="2">
        <f t="shared" ref="R110:R179" si="39">P110+Q110</f>
        <v>2900000</v>
      </c>
      <c r="S110" s="15"/>
      <c r="T110" s="15"/>
      <c r="U110" s="15"/>
      <c r="V110" s="15"/>
      <c r="W110" s="15"/>
      <c r="X110" s="15"/>
      <c r="Y110" s="15"/>
      <c r="Z110" s="15"/>
      <c r="AA110" s="15"/>
      <c r="AB110" s="15"/>
      <c r="AC110" s="15"/>
      <c r="AD110" s="15"/>
      <c r="AE110" s="15"/>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5"/>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15"/>
      <c r="DJ110" s="15"/>
      <c r="DK110" s="15"/>
      <c r="DL110" s="15"/>
      <c r="DM110" s="15"/>
      <c r="DN110" s="15"/>
      <c r="DO110" s="15"/>
      <c r="DP110" s="15"/>
      <c r="DQ110" s="15"/>
      <c r="DR110" s="15"/>
      <c r="DS110" s="15"/>
      <c r="DT110" s="15"/>
      <c r="DU110" s="15"/>
      <c r="DV110" s="15"/>
      <c r="DW110" s="15"/>
      <c r="DX110" s="15"/>
      <c r="DY110" s="15"/>
      <c r="DZ110" s="15"/>
      <c r="EA110" s="15"/>
      <c r="EB110" s="15"/>
      <c r="EC110" s="15"/>
      <c r="ED110" s="15"/>
      <c r="EE110" s="15"/>
      <c r="EF110" s="15"/>
      <c r="EG110" s="15"/>
      <c r="EH110" s="15"/>
      <c r="EI110" s="15"/>
      <c r="EJ110" s="15"/>
      <c r="EK110" s="15"/>
      <c r="EL110" s="15"/>
      <c r="EM110" s="15"/>
      <c r="EN110" s="15"/>
      <c r="EO110" s="15"/>
      <c r="EP110" s="15"/>
      <c r="EQ110" s="15"/>
      <c r="ER110" s="15"/>
      <c r="ES110" s="15"/>
      <c r="ET110" s="15"/>
      <c r="EU110" s="15"/>
      <c r="EV110" s="15"/>
      <c r="EW110" s="15"/>
      <c r="EX110" s="15"/>
      <c r="EY110" s="15"/>
      <c r="EZ110" s="15"/>
      <c r="FA110" s="15"/>
      <c r="FB110" s="15"/>
      <c r="FC110" s="15"/>
      <c r="FD110" s="15"/>
      <c r="FE110" s="15"/>
      <c r="FF110" s="15"/>
      <c r="FG110" s="15"/>
      <c r="FH110" s="15"/>
      <c r="FI110" s="15"/>
      <c r="FJ110" s="15"/>
      <c r="FK110" s="15"/>
      <c r="FL110" s="15"/>
      <c r="FM110" s="15"/>
      <c r="FN110" s="15"/>
      <c r="FO110" s="15"/>
      <c r="FP110" s="15"/>
      <c r="FQ110" s="15"/>
      <c r="FR110" s="15"/>
      <c r="FS110" s="15"/>
    </row>
    <row r="111" spans="1:175" s="11" customFormat="1" ht="24" x14ac:dyDescent="0.2">
      <c r="A111" s="66" t="s">
        <v>112</v>
      </c>
      <c r="B111" s="67">
        <v>2010</v>
      </c>
      <c r="C111" s="67" t="s">
        <v>17</v>
      </c>
      <c r="D111" s="18" t="s">
        <v>8</v>
      </c>
      <c r="E111" s="5">
        <v>31774800</v>
      </c>
      <c r="F111" s="5">
        <f t="shared" ref="F111:F118" si="40">G111+H111</f>
        <v>3284764</v>
      </c>
      <c r="G111" s="5">
        <v>3284764</v>
      </c>
      <c r="H111" s="5"/>
      <c r="I111" s="5">
        <f t="shared" si="31"/>
        <v>35059564</v>
      </c>
      <c r="J111" s="5">
        <v>0</v>
      </c>
      <c r="K111" s="5">
        <f t="shared" si="38"/>
        <v>1455000</v>
      </c>
      <c r="L111" s="5"/>
      <c r="M111" s="5"/>
      <c r="N111" s="5">
        <f>1455000</f>
        <v>1455000</v>
      </c>
      <c r="O111" s="5">
        <f t="shared" si="30"/>
        <v>1455000</v>
      </c>
      <c r="P111" s="2">
        <f t="shared" si="24"/>
        <v>31774800</v>
      </c>
      <c r="Q111" s="2">
        <f t="shared" si="26"/>
        <v>4739764</v>
      </c>
      <c r="R111" s="2">
        <f t="shared" si="39"/>
        <v>36514564</v>
      </c>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6"/>
      <c r="AQ111" s="16"/>
      <c r="AR111" s="16"/>
      <c r="AS111" s="16"/>
      <c r="AT111" s="16"/>
      <c r="AU111" s="16"/>
      <c r="AV111" s="16"/>
      <c r="AW111" s="16"/>
      <c r="AX111" s="16"/>
      <c r="AY111" s="16"/>
      <c r="AZ111" s="16"/>
      <c r="BA111" s="16"/>
      <c r="BB111" s="16"/>
      <c r="BC111" s="16"/>
      <c r="BD111" s="16"/>
      <c r="BE111" s="16"/>
      <c r="BF111" s="16"/>
      <c r="BG111" s="16"/>
      <c r="BH111" s="16"/>
      <c r="BI111" s="16"/>
      <c r="BJ111" s="16"/>
      <c r="BK111" s="16"/>
      <c r="BL111" s="16"/>
      <c r="BM111" s="16"/>
      <c r="BN111" s="16"/>
      <c r="BO111" s="16"/>
      <c r="BP111" s="16"/>
      <c r="BQ111" s="16"/>
      <c r="BR111" s="16"/>
      <c r="BS111" s="16"/>
      <c r="BT111" s="16"/>
      <c r="BU111" s="16"/>
      <c r="BV111" s="16"/>
      <c r="BW111" s="16"/>
      <c r="BX111" s="16"/>
      <c r="BY111" s="16"/>
      <c r="BZ111" s="16"/>
      <c r="CA111" s="16"/>
      <c r="CB111" s="16"/>
      <c r="CC111" s="16"/>
      <c r="CD111" s="16"/>
      <c r="CE111" s="16"/>
      <c r="CF111" s="16"/>
      <c r="CG111" s="16"/>
      <c r="CH111" s="16"/>
      <c r="CI111" s="16"/>
      <c r="CJ111" s="16"/>
      <c r="CK111" s="16"/>
      <c r="CL111" s="16"/>
      <c r="CM111" s="16"/>
      <c r="CN111" s="16"/>
      <c r="CO111" s="16"/>
      <c r="CP111" s="16"/>
      <c r="CQ111" s="16"/>
      <c r="CR111" s="16"/>
      <c r="CS111" s="16"/>
      <c r="CT111" s="16"/>
      <c r="CU111" s="16"/>
      <c r="CV111" s="16"/>
      <c r="CW111" s="16"/>
      <c r="CX111" s="16"/>
      <c r="CY111" s="16"/>
      <c r="CZ111" s="16"/>
      <c r="DA111" s="16"/>
      <c r="DB111" s="16"/>
      <c r="DC111" s="16"/>
      <c r="DD111" s="16"/>
      <c r="DE111" s="16"/>
      <c r="DF111" s="16"/>
      <c r="DG111" s="16"/>
      <c r="DH111" s="16"/>
      <c r="DI111" s="16"/>
      <c r="DJ111" s="16"/>
      <c r="DK111" s="16"/>
      <c r="DL111" s="16"/>
      <c r="DM111" s="16"/>
      <c r="DN111" s="16"/>
      <c r="DO111" s="16"/>
      <c r="DP111" s="16"/>
      <c r="DQ111" s="16"/>
      <c r="DR111" s="16"/>
      <c r="DS111" s="16"/>
      <c r="DT111" s="16"/>
      <c r="DU111" s="16"/>
      <c r="DV111" s="16"/>
      <c r="DW111" s="16"/>
      <c r="DX111" s="16"/>
      <c r="DY111" s="16"/>
      <c r="DZ111" s="16"/>
      <c r="EA111" s="16"/>
      <c r="EB111" s="16"/>
      <c r="EC111" s="16"/>
      <c r="ED111" s="16"/>
      <c r="EE111" s="16"/>
      <c r="EF111" s="16"/>
      <c r="EG111" s="16"/>
      <c r="EH111" s="16"/>
      <c r="EI111" s="16"/>
      <c r="EJ111" s="16"/>
      <c r="EK111" s="16"/>
      <c r="EL111" s="16"/>
      <c r="EM111" s="16"/>
      <c r="EN111" s="16"/>
      <c r="EO111" s="16"/>
      <c r="EP111" s="16"/>
      <c r="EQ111" s="16"/>
      <c r="ER111" s="16"/>
      <c r="ES111" s="16"/>
      <c r="ET111" s="16"/>
      <c r="EU111" s="16"/>
      <c r="EV111" s="16"/>
      <c r="EW111" s="16"/>
      <c r="EX111" s="16"/>
      <c r="EY111" s="16"/>
      <c r="EZ111" s="16"/>
      <c r="FA111" s="16"/>
      <c r="FB111" s="16"/>
      <c r="FC111" s="16"/>
      <c r="FD111" s="16"/>
      <c r="FE111" s="16"/>
      <c r="FF111" s="16"/>
      <c r="FG111" s="16"/>
      <c r="FH111" s="16"/>
      <c r="FI111" s="16"/>
      <c r="FJ111" s="16"/>
      <c r="FK111" s="16"/>
      <c r="FL111" s="16"/>
      <c r="FM111" s="16"/>
      <c r="FN111" s="16"/>
      <c r="FO111" s="16"/>
      <c r="FP111" s="16"/>
      <c r="FQ111" s="16"/>
      <c r="FR111" s="16"/>
      <c r="FS111" s="16"/>
    </row>
    <row r="112" spans="1:175" s="11" customFormat="1" ht="24" x14ac:dyDescent="0.2">
      <c r="A112" s="66" t="s">
        <v>113</v>
      </c>
      <c r="B112" s="67" t="s">
        <v>90</v>
      </c>
      <c r="C112" s="67" t="s">
        <v>18</v>
      </c>
      <c r="D112" s="18" t="s">
        <v>10</v>
      </c>
      <c r="E112" s="5">
        <v>13900000</v>
      </c>
      <c r="F112" s="5">
        <f t="shared" si="40"/>
        <v>1144345</v>
      </c>
      <c r="G112" s="5">
        <f>25000+1119345</f>
        <v>1144345</v>
      </c>
      <c r="H112" s="5"/>
      <c r="I112" s="5">
        <f t="shared" si="31"/>
        <v>15044345</v>
      </c>
      <c r="J112" s="5">
        <v>0</v>
      </c>
      <c r="K112" s="5">
        <f t="shared" si="38"/>
        <v>218900</v>
      </c>
      <c r="L112" s="5"/>
      <c r="M112" s="5"/>
      <c r="N112" s="5">
        <f>218900</f>
        <v>218900</v>
      </c>
      <c r="O112" s="5">
        <f t="shared" si="30"/>
        <v>218900</v>
      </c>
      <c r="P112" s="2">
        <f t="shared" si="24"/>
        <v>13900000</v>
      </c>
      <c r="Q112" s="2">
        <f t="shared" si="26"/>
        <v>1363245</v>
      </c>
      <c r="R112" s="2">
        <f t="shared" si="39"/>
        <v>15263245</v>
      </c>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c r="AU112" s="16"/>
      <c r="AV112" s="16"/>
      <c r="AW112" s="16"/>
      <c r="AX112" s="16"/>
      <c r="AY112" s="16"/>
      <c r="AZ112" s="16"/>
      <c r="BA112" s="16"/>
      <c r="BB112" s="16"/>
      <c r="BC112" s="16"/>
      <c r="BD112" s="16"/>
      <c r="BE112" s="16"/>
      <c r="BF112" s="16"/>
      <c r="BG112" s="16"/>
      <c r="BH112" s="16"/>
      <c r="BI112" s="16"/>
      <c r="BJ112" s="16"/>
      <c r="BK112" s="16"/>
      <c r="BL112" s="16"/>
      <c r="BM112" s="16"/>
      <c r="BN112" s="16"/>
      <c r="BO112" s="16"/>
      <c r="BP112" s="16"/>
      <c r="BQ112" s="16"/>
      <c r="BR112" s="16"/>
      <c r="BS112" s="16"/>
      <c r="BT112" s="16"/>
      <c r="BU112" s="16"/>
      <c r="BV112" s="16"/>
      <c r="BW112" s="16"/>
      <c r="BX112" s="16"/>
      <c r="BY112" s="16"/>
      <c r="BZ112" s="16"/>
      <c r="CA112" s="16"/>
      <c r="CB112" s="16"/>
      <c r="CC112" s="16"/>
      <c r="CD112" s="16"/>
      <c r="CE112" s="16"/>
      <c r="CF112" s="16"/>
      <c r="CG112" s="16"/>
      <c r="CH112" s="16"/>
      <c r="CI112" s="16"/>
      <c r="CJ112" s="16"/>
      <c r="CK112" s="16"/>
      <c r="CL112" s="16"/>
      <c r="CM112" s="16"/>
      <c r="CN112" s="16"/>
      <c r="CO112" s="16"/>
      <c r="CP112" s="16"/>
      <c r="CQ112" s="16"/>
      <c r="CR112" s="16"/>
      <c r="CS112" s="16"/>
      <c r="CT112" s="16"/>
      <c r="CU112" s="16"/>
      <c r="CV112" s="16"/>
      <c r="CW112" s="16"/>
      <c r="CX112" s="16"/>
      <c r="CY112" s="16"/>
      <c r="CZ112" s="16"/>
      <c r="DA112" s="16"/>
      <c r="DB112" s="16"/>
      <c r="DC112" s="16"/>
      <c r="DD112" s="16"/>
      <c r="DE112" s="16"/>
      <c r="DF112" s="16"/>
      <c r="DG112" s="16"/>
      <c r="DH112" s="16"/>
      <c r="DI112" s="16"/>
      <c r="DJ112" s="16"/>
      <c r="DK112" s="16"/>
      <c r="DL112" s="16"/>
      <c r="DM112" s="16"/>
      <c r="DN112" s="16"/>
      <c r="DO112" s="16"/>
      <c r="DP112" s="16"/>
      <c r="DQ112" s="16"/>
      <c r="DR112" s="16"/>
      <c r="DS112" s="16"/>
      <c r="DT112" s="16"/>
      <c r="DU112" s="16"/>
      <c r="DV112" s="16"/>
      <c r="DW112" s="16"/>
      <c r="DX112" s="16"/>
      <c r="DY112" s="16"/>
      <c r="DZ112" s="16"/>
      <c r="EA112" s="16"/>
      <c r="EB112" s="16"/>
      <c r="EC112" s="16"/>
      <c r="ED112" s="16"/>
      <c r="EE112" s="16"/>
      <c r="EF112" s="16"/>
      <c r="EG112" s="16"/>
      <c r="EH112" s="16"/>
      <c r="EI112" s="16"/>
      <c r="EJ112" s="16"/>
      <c r="EK112" s="16"/>
      <c r="EL112" s="16"/>
      <c r="EM112" s="16"/>
      <c r="EN112" s="16"/>
      <c r="EO112" s="16"/>
      <c r="EP112" s="16"/>
      <c r="EQ112" s="16"/>
      <c r="ER112" s="16"/>
      <c r="ES112" s="16"/>
      <c r="ET112" s="16"/>
      <c r="EU112" s="16"/>
      <c r="EV112" s="16"/>
      <c r="EW112" s="16"/>
      <c r="EX112" s="16"/>
      <c r="EY112" s="16"/>
      <c r="EZ112" s="16"/>
      <c r="FA112" s="16"/>
      <c r="FB112" s="16"/>
      <c r="FC112" s="16"/>
      <c r="FD112" s="16"/>
      <c r="FE112" s="16"/>
      <c r="FF112" s="16"/>
      <c r="FG112" s="16"/>
      <c r="FH112" s="16"/>
      <c r="FI112" s="16"/>
      <c r="FJ112" s="16"/>
      <c r="FK112" s="16"/>
      <c r="FL112" s="16"/>
      <c r="FM112" s="16"/>
      <c r="FN112" s="16"/>
      <c r="FO112" s="16"/>
      <c r="FP112" s="16"/>
      <c r="FQ112" s="16"/>
      <c r="FR112" s="16"/>
      <c r="FS112" s="16"/>
    </row>
    <row r="113" spans="1:175" s="11" customFormat="1" ht="24" x14ac:dyDescent="0.2">
      <c r="A113" s="66" t="s">
        <v>114</v>
      </c>
      <c r="B113" s="67" t="s">
        <v>91</v>
      </c>
      <c r="C113" s="67" t="s">
        <v>19</v>
      </c>
      <c r="D113" s="18" t="s">
        <v>252</v>
      </c>
      <c r="E113" s="5">
        <v>18000000</v>
      </c>
      <c r="F113" s="5">
        <f t="shared" si="40"/>
        <v>728351</v>
      </c>
      <c r="G113" s="5">
        <v>728351</v>
      </c>
      <c r="H113" s="5"/>
      <c r="I113" s="5">
        <f t="shared" si="31"/>
        <v>18728351</v>
      </c>
      <c r="J113" s="5">
        <v>0</v>
      </c>
      <c r="K113" s="5">
        <f t="shared" si="38"/>
        <v>0</v>
      </c>
      <c r="L113" s="5"/>
      <c r="M113" s="5"/>
      <c r="N113" s="5"/>
      <c r="O113" s="5">
        <f t="shared" si="30"/>
        <v>0</v>
      </c>
      <c r="P113" s="2">
        <f t="shared" si="24"/>
        <v>18000000</v>
      </c>
      <c r="Q113" s="2">
        <f t="shared" si="26"/>
        <v>728351</v>
      </c>
      <c r="R113" s="2">
        <f t="shared" si="39"/>
        <v>18728351</v>
      </c>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c r="AW113" s="16"/>
      <c r="AX113" s="16"/>
      <c r="AY113" s="16"/>
      <c r="AZ113" s="16"/>
      <c r="BA113" s="16"/>
      <c r="BB113" s="16"/>
      <c r="BC113" s="16"/>
      <c r="BD113" s="16"/>
      <c r="BE113" s="16"/>
      <c r="BF113" s="16"/>
      <c r="BG113" s="16"/>
      <c r="BH113" s="16"/>
      <c r="BI113" s="16"/>
      <c r="BJ113" s="16"/>
      <c r="BK113" s="16"/>
      <c r="BL113" s="16"/>
      <c r="BM113" s="16"/>
      <c r="BN113" s="16"/>
      <c r="BO113" s="16"/>
      <c r="BP113" s="16"/>
      <c r="BQ113" s="16"/>
      <c r="BR113" s="16"/>
      <c r="BS113" s="16"/>
      <c r="BT113" s="16"/>
      <c r="BU113" s="16"/>
      <c r="BV113" s="16"/>
      <c r="BW113" s="16"/>
      <c r="BX113" s="16"/>
      <c r="BY113" s="16"/>
      <c r="BZ113" s="16"/>
      <c r="CA113" s="16"/>
      <c r="CB113" s="16"/>
      <c r="CC113" s="16"/>
      <c r="CD113" s="16"/>
      <c r="CE113" s="16"/>
      <c r="CF113" s="16"/>
      <c r="CG113" s="16"/>
      <c r="CH113" s="16"/>
      <c r="CI113" s="16"/>
      <c r="CJ113" s="16"/>
      <c r="CK113" s="16"/>
      <c r="CL113" s="16"/>
      <c r="CM113" s="16"/>
      <c r="CN113" s="16"/>
      <c r="CO113" s="16"/>
      <c r="CP113" s="16"/>
      <c r="CQ113" s="16"/>
      <c r="CR113" s="16"/>
      <c r="CS113" s="16"/>
      <c r="CT113" s="16"/>
      <c r="CU113" s="16"/>
      <c r="CV113" s="16"/>
      <c r="CW113" s="16"/>
      <c r="CX113" s="16"/>
      <c r="CY113" s="16"/>
      <c r="CZ113" s="16"/>
      <c r="DA113" s="16"/>
      <c r="DB113" s="16"/>
      <c r="DC113" s="16"/>
      <c r="DD113" s="16"/>
      <c r="DE113" s="16"/>
      <c r="DF113" s="16"/>
      <c r="DG113" s="16"/>
      <c r="DH113" s="16"/>
      <c r="DI113" s="16"/>
      <c r="DJ113" s="16"/>
      <c r="DK113" s="16"/>
      <c r="DL113" s="16"/>
      <c r="DM113" s="16"/>
      <c r="DN113" s="16"/>
      <c r="DO113" s="16"/>
      <c r="DP113" s="16"/>
      <c r="DQ113" s="16"/>
      <c r="DR113" s="16"/>
      <c r="DS113" s="16"/>
      <c r="DT113" s="16"/>
      <c r="DU113" s="16"/>
      <c r="DV113" s="16"/>
      <c r="DW113" s="16"/>
      <c r="DX113" s="16"/>
      <c r="DY113" s="16"/>
      <c r="DZ113" s="16"/>
      <c r="EA113" s="16"/>
      <c r="EB113" s="16"/>
      <c r="EC113" s="16"/>
      <c r="ED113" s="16"/>
      <c r="EE113" s="16"/>
      <c r="EF113" s="16"/>
      <c r="EG113" s="16"/>
      <c r="EH113" s="16"/>
      <c r="EI113" s="16"/>
      <c r="EJ113" s="16"/>
      <c r="EK113" s="16"/>
      <c r="EL113" s="16"/>
      <c r="EM113" s="16"/>
      <c r="EN113" s="16"/>
      <c r="EO113" s="16"/>
      <c r="EP113" s="16"/>
      <c r="EQ113" s="16"/>
      <c r="ER113" s="16"/>
      <c r="ES113" s="16"/>
      <c r="ET113" s="16"/>
      <c r="EU113" s="16"/>
      <c r="EV113" s="16"/>
      <c r="EW113" s="16"/>
      <c r="EX113" s="16"/>
      <c r="EY113" s="16"/>
      <c r="EZ113" s="16"/>
      <c r="FA113" s="16"/>
      <c r="FB113" s="16"/>
      <c r="FC113" s="16"/>
      <c r="FD113" s="16"/>
      <c r="FE113" s="16"/>
      <c r="FF113" s="16"/>
      <c r="FG113" s="16"/>
      <c r="FH113" s="16"/>
      <c r="FI113" s="16"/>
      <c r="FJ113" s="16"/>
      <c r="FK113" s="16"/>
      <c r="FL113" s="16"/>
      <c r="FM113" s="16"/>
      <c r="FN113" s="16"/>
      <c r="FO113" s="16"/>
      <c r="FP113" s="16"/>
      <c r="FQ113" s="16"/>
      <c r="FR113" s="16"/>
      <c r="FS113" s="16"/>
    </row>
    <row r="114" spans="1:175" s="11" customFormat="1" ht="12" x14ac:dyDescent="0.2">
      <c r="A114" s="66" t="s">
        <v>115</v>
      </c>
      <c r="B114" s="67" t="s">
        <v>92</v>
      </c>
      <c r="C114" s="67" t="s">
        <v>20</v>
      </c>
      <c r="D114" s="18" t="s">
        <v>93</v>
      </c>
      <c r="E114" s="5">
        <v>9306000</v>
      </c>
      <c r="F114" s="5">
        <f t="shared" si="40"/>
        <v>116390</v>
      </c>
      <c r="G114" s="5">
        <v>116390</v>
      </c>
      <c r="H114" s="5"/>
      <c r="I114" s="5">
        <f t="shared" si="31"/>
        <v>9422390</v>
      </c>
      <c r="J114" s="5">
        <v>0</v>
      </c>
      <c r="K114" s="5">
        <f t="shared" si="38"/>
        <v>0</v>
      </c>
      <c r="L114" s="5"/>
      <c r="M114" s="5"/>
      <c r="N114" s="5"/>
      <c r="O114" s="5">
        <f t="shared" si="30"/>
        <v>0</v>
      </c>
      <c r="P114" s="2">
        <f t="shared" si="24"/>
        <v>9306000</v>
      </c>
      <c r="Q114" s="2">
        <f t="shared" si="26"/>
        <v>116390</v>
      </c>
      <c r="R114" s="2">
        <f t="shared" si="39"/>
        <v>9422390</v>
      </c>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6"/>
      <c r="AQ114" s="16"/>
      <c r="AR114" s="16"/>
      <c r="AS114" s="16"/>
      <c r="AT114" s="16"/>
      <c r="AU114" s="16"/>
      <c r="AV114" s="16"/>
      <c r="AW114" s="16"/>
      <c r="AX114" s="16"/>
      <c r="AY114" s="16"/>
      <c r="AZ114" s="16"/>
      <c r="BA114" s="16"/>
      <c r="BB114" s="16"/>
      <c r="BC114" s="16"/>
      <c r="BD114" s="16"/>
      <c r="BE114" s="16"/>
      <c r="BF114" s="16"/>
      <c r="BG114" s="16"/>
      <c r="BH114" s="16"/>
      <c r="BI114" s="16"/>
      <c r="BJ114" s="16"/>
      <c r="BK114" s="16"/>
      <c r="BL114" s="16"/>
      <c r="BM114" s="16"/>
      <c r="BN114" s="16"/>
      <c r="BO114" s="16"/>
      <c r="BP114" s="16"/>
      <c r="BQ114" s="16"/>
      <c r="BR114" s="16"/>
      <c r="BS114" s="16"/>
      <c r="BT114" s="16"/>
      <c r="BU114" s="16"/>
      <c r="BV114" s="16"/>
      <c r="BW114" s="16"/>
      <c r="BX114" s="16"/>
      <c r="BY114" s="16"/>
      <c r="BZ114" s="16"/>
      <c r="CA114" s="16"/>
      <c r="CB114" s="16"/>
      <c r="CC114" s="16"/>
      <c r="CD114" s="16"/>
      <c r="CE114" s="16"/>
      <c r="CF114" s="16"/>
      <c r="CG114" s="16"/>
      <c r="CH114" s="16"/>
      <c r="CI114" s="16"/>
      <c r="CJ114" s="16"/>
      <c r="CK114" s="16"/>
      <c r="CL114" s="16"/>
      <c r="CM114" s="16"/>
      <c r="CN114" s="16"/>
      <c r="CO114" s="16"/>
      <c r="CP114" s="16"/>
      <c r="CQ114" s="16"/>
      <c r="CR114" s="16"/>
      <c r="CS114" s="16"/>
      <c r="CT114" s="16"/>
      <c r="CU114" s="16"/>
      <c r="CV114" s="16"/>
      <c r="CW114" s="16"/>
      <c r="CX114" s="16"/>
      <c r="CY114" s="16"/>
      <c r="CZ114" s="16"/>
      <c r="DA114" s="16"/>
      <c r="DB114" s="16"/>
      <c r="DC114" s="16"/>
      <c r="DD114" s="16"/>
      <c r="DE114" s="16"/>
      <c r="DF114" s="16"/>
      <c r="DG114" s="16"/>
      <c r="DH114" s="16"/>
      <c r="DI114" s="16"/>
      <c r="DJ114" s="16"/>
      <c r="DK114" s="16"/>
      <c r="DL114" s="16"/>
      <c r="DM114" s="16"/>
      <c r="DN114" s="16"/>
      <c r="DO114" s="16"/>
      <c r="DP114" s="16"/>
      <c r="DQ114" s="16"/>
      <c r="DR114" s="16"/>
      <c r="DS114" s="16"/>
      <c r="DT114" s="16"/>
      <c r="DU114" s="16"/>
      <c r="DV114" s="16"/>
      <c r="DW114" s="16"/>
      <c r="DX114" s="16"/>
      <c r="DY114" s="16"/>
      <c r="DZ114" s="16"/>
      <c r="EA114" s="16"/>
      <c r="EB114" s="16"/>
      <c r="EC114" s="16"/>
      <c r="ED114" s="16"/>
      <c r="EE114" s="16"/>
      <c r="EF114" s="16"/>
      <c r="EG114" s="16"/>
      <c r="EH114" s="16"/>
      <c r="EI114" s="16"/>
      <c r="EJ114" s="16"/>
      <c r="EK114" s="16"/>
      <c r="EL114" s="16"/>
      <c r="EM114" s="16"/>
      <c r="EN114" s="16"/>
      <c r="EO114" s="16"/>
      <c r="EP114" s="16"/>
      <c r="EQ114" s="16"/>
      <c r="ER114" s="16"/>
      <c r="ES114" s="16"/>
      <c r="ET114" s="16"/>
      <c r="EU114" s="16"/>
      <c r="EV114" s="16"/>
      <c r="EW114" s="16"/>
      <c r="EX114" s="16"/>
      <c r="EY114" s="16"/>
      <c r="EZ114" s="16"/>
      <c r="FA114" s="16"/>
      <c r="FB114" s="16"/>
      <c r="FC114" s="16"/>
      <c r="FD114" s="16"/>
      <c r="FE114" s="16"/>
      <c r="FF114" s="16"/>
      <c r="FG114" s="16"/>
      <c r="FH114" s="16"/>
      <c r="FI114" s="16"/>
      <c r="FJ114" s="16"/>
      <c r="FK114" s="16"/>
      <c r="FL114" s="16"/>
      <c r="FM114" s="16"/>
      <c r="FN114" s="16"/>
      <c r="FO114" s="16"/>
      <c r="FP114" s="16"/>
      <c r="FQ114" s="16"/>
      <c r="FR114" s="16"/>
      <c r="FS114" s="16"/>
    </row>
    <row r="115" spans="1:175" s="11" customFormat="1" ht="36" x14ac:dyDescent="0.2">
      <c r="A115" s="66" t="s">
        <v>290</v>
      </c>
      <c r="B115" s="33" t="s">
        <v>277</v>
      </c>
      <c r="C115" s="33" t="s">
        <v>291</v>
      </c>
      <c r="D115" s="34" t="s">
        <v>278</v>
      </c>
      <c r="E115" s="5">
        <v>11900000</v>
      </c>
      <c r="F115" s="5">
        <f t="shared" si="40"/>
        <v>668264</v>
      </c>
      <c r="G115" s="5">
        <v>668264</v>
      </c>
      <c r="H115" s="5"/>
      <c r="I115" s="5">
        <f t="shared" si="31"/>
        <v>12568264</v>
      </c>
      <c r="J115" s="5">
        <v>0</v>
      </c>
      <c r="K115" s="5">
        <f t="shared" si="38"/>
        <v>0</v>
      </c>
      <c r="L115" s="5"/>
      <c r="M115" s="5"/>
      <c r="N115" s="5"/>
      <c r="O115" s="5">
        <f t="shared" si="30"/>
        <v>0</v>
      </c>
      <c r="P115" s="2">
        <f t="shared" si="24"/>
        <v>11900000</v>
      </c>
      <c r="Q115" s="2">
        <f t="shared" si="26"/>
        <v>668264</v>
      </c>
      <c r="R115" s="2">
        <f t="shared" si="39"/>
        <v>12568264</v>
      </c>
      <c r="S115" s="16"/>
      <c r="T115" s="16"/>
      <c r="U115" s="16"/>
      <c r="V115" s="16"/>
      <c r="W115" s="16"/>
      <c r="X115" s="16"/>
      <c r="Y115" s="16"/>
      <c r="Z115" s="16"/>
      <c r="AA115" s="16"/>
      <c r="AB115" s="16"/>
      <c r="AC115" s="16"/>
      <c r="AD115" s="16"/>
      <c r="AE115" s="16"/>
      <c r="AF115" s="16"/>
      <c r="AG115" s="16"/>
      <c r="AH115" s="16"/>
      <c r="AI115" s="16"/>
      <c r="AJ115" s="16"/>
      <c r="AK115" s="16"/>
      <c r="AL115" s="16"/>
      <c r="AM115" s="16"/>
      <c r="AN115" s="16"/>
      <c r="AO115" s="16"/>
      <c r="AP115" s="16"/>
      <c r="AQ115" s="16"/>
      <c r="AR115" s="16"/>
      <c r="AS115" s="16"/>
      <c r="AT115" s="16"/>
      <c r="AU115" s="16"/>
      <c r="AV115" s="16"/>
      <c r="AW115" s="16"/>
      <c r="AX115" s="16"/>
      <c r="AY115" s="16"/>
      <c r="AZ115" s="16"/>
      <c r="BA115" s="16"/>
      <c r="BB115" s="16"/>
      <c r="BC115" s="16"/>
      <c r="BD115" s="16"/>
      <c r="BE115" s="16"/>
      <c r="BF115" s="16"/>
      <c r="BG115" s="16"/>
      <c r="BH115" s="16"/>
      <c r="BI115" s="16"/>
      <c r="BJ115" s="16"/>
      <c r="BK115" s="16"/>
      <c r="BL115" s="16"/>
      <c r="BM115" s="16"/>
      <c r="BN115" s="16"/>
      <c r="BO115" s="16"/>
      <c r="BP115" s="16"/>
      <c r="BQ115" s="16"/>
      <c r="BR115" s="16"/>
      <c r="BS115" s="16"/>
      <c r="BT115" s="16"/>
      <c r="BU115" s="16"/>
      <c r="BV115" s="16"/>
      <c r="BW115" s="16"/>
      <c r="BX115" s="16"/>
      <c r="BY115" s="16"/>
      <c r="BZ115" s="16"/>
      <c r="CA115" s="16"/>
      <c r="CB115" s="16"/>
      <c r="CC115" s="16"/>
      <c r="CD115" s="16"/>
      <c r="CE115" s="16"/>
      <c r="CF115" s="16"/>
      <c r="CG115" s="16"/>
      <c r="CH115" s="16"/>
      <c r="CI115" s="16"/>
      <c r="CJ115" s="16"/>
      <c r="CK115" s="16"/>
      <c r="CL115" s="16"/>
      <c r="CM115" s="16"/>
      <c r="CN115" s="16"/>
      <c r="CO115" s="16"/>
      <c r="CP115" s="16"/>
      <c r="CQ115" s="16"/>
      <c r="CR115" s="16"/>
      <c r="CS115" s="16"/>
      <c r="CT115" s="16"/>
      <c r="CU115" s="16"/>
      <c r="CV115" s="16"/>
      <c r="CW115" s="16"/>
      <c r="CX115" s="16"/>
      <c r="CY115" s="16"/>
      <c r="CZ115" s="16"/>
      <c r="DA115" s="16"/>
      <c r="DB115" s="16"/>
      <c r="DC115" s="16"/>
      <c r="DD115" s="16"/>
      <c r="DE115" s="16"/>
      <c r="DF115" s="16"/>
      <c r="DG115" s="16"/>
      <c r="DH115" s="16"/>
      <c r="DI115" s="16"/>
      <c r="DJ115" s="16"/>
      <c r="DK115" s="16"/>
      <c r="DL115" s="16"/>
      <c r="DM115" s="16"/>
      <c r="DN115" s="16"/>
      <c r="DO115" s="16"/>
      <c r="DP115" s="16"/>
      <c r="DQ115" s="16"/>
      <c r="DR115" s="16"/>
      <c r="DS115" s="16"/>
      <c r="DT115" s="16"/>
      <c r="DU115" s="16"/>
      <c r="DV115" s="16"/>
      <c r="DW115" s="16"/>
      <c r="DX115" s="16"/>
      <c r="DY115" s="16"/>
      <c r="DZ115" s="16"/>
      <c r="EA115" s="16"/>
      <c r="EB115" s="16"/>
      <c r="EC115" s="16"/>
      <c r="ED115" s="16"/>
      <c r="EE115" s="16"/>
      <c r="EF115" s="16"/>
      <c r="EG115" s="16"/>
      <c r="EH115" s="16"/>
      <c r="EI115" s="16"/>
      <c r="EJ115" s="16"/>
      <c r="EK115" s="16"/>
      <c r="EL115" s="16"/>
      <c r="EM115" s="16"/>
      <c r="EN115" s="16"/>
      <c r="EO115" s="16"/>
      <c r="EP115" s="16"/>
      <c r="EQ115" s="16"/>
      <c r="ER115" s="16"/>
      <c r="ES115" s="16"/>
      <c r="ET115" s="16"/>
      <c r="EU115" s="16"/>
      <c r="EV115" s="16"/>
      <c r="EW115" s="16"/>
      <c r="EX115" s="16"/>
      <c r="EY115" s="16"/>
      <c r="EZ115" s="16"/>
      <c r="FA115" s="16"/>
      <c r="FB115" s="16"/>
      <c r="FC115" s="16"/>
      <c r="FD115" s="16"/>
      <c r="FE115" s="16"/>
      <c r="FF115" s="16"/>
      <c r="FG115" s="16"/>
      <c r="FH115" s="16"/>
      <c r="FI115" s="16"/>
      <c r="FJ115" s="16"/>
      <c r="FK115" s="16"/>
      <c r="FL115" s="16"/>
      <c r="FM115" s="16"/>
      <c r="FN115" s="16"/>
      <c r="FO115" s="16"/>
      <c r="FP115" s="16"/>
      <c r="FQ115" s="16"/>
      <c r="FR115" s="16"/>
      <c r="FS115" s="16"/>
    </row>
    <row r="116" spans="1:175" s="11" customFormat="1" ht="12" x14ac:dyDescent="0.2">
      <c r="A116" s="66" t="s">
        <v>286</v>
      </c>
      <c r="B116" s="67" t="s">
        <v>287</v>
      </c>
      <c r="C116" s="67" t="s">
        <v>21</v>
      </c>
      <c r="D116" s="18" t="s">
        <v>292</v>
      </c>
      <c r="E116" s="5">
        <v>200000</v>
      </c>
      <c r="F116" s="5">
        <f t="shared" si="40"/>
        <v>125000</v>
      </c>
      <c r="G116" s="5">
        <v>125000</v>
      </c>
      <c r="H116" s="5"/>
      <c r="I116" s="5">
        <f t="shared" si="31"/>
        <v>325000</v>
      </c>
      <c r="J116" s="5">
        <v>0</v>
      </c>
      <c r="K116" s="5">
        <f t="shared" si="38"/>
        <v>0</v>
      </c>
      <c r="L116" s="5"/>
      <c r="M116" s="5"/>
      <c r="N116" s="5"/>
      <c r="O116" s="5">
        <f t="shared" si="30"/>
        <v>0</v>
      </c>
      <c r="P116" s="2">
        <f t="shared" si="24"/>
        <v>200000</v>
      </c>
      <c r="Q116" s="2">
        <f t="shared" si="26"/>
        <v>125000</v>
      </c>
      <c r="R116" s="2">
        <f t="shared" si="39"/>
        <v>325000</v>
      </c>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16"/>
      <c r="CW116" s="16"/>
      <c r="CX116" s="16"/>
      <c r="CY116" s="16"/>
      <c r="CZ116" s="16"/>
      <c r="DA116" s="16"/>
      <c r="DB116" s="16"/>
      <c r="DC116" s="16"/>
      <c r="DD116" s="16"/>
      <c r="DE116" s="16"/>
      <c r="DF116" s="16"/>
      <c r="DG116" s="16"/>
      <c r="DH116" s="16"/>
      <c r="DI116" s="16"/>
      <c r="DJ116" s="16"/>
      <c r="DK116" s="16"/>
      <c r="DL116" s="16"/>
      <c r="DM116" s="16"/>
      <c r="DN116" s="16"/>
      <c r="DO116" s="16"/>
      <c r="DP116" s="16"/>
      <c r="DQ116" s="16"/>
      <c r="DR116" s="16"/>
      <c r="DS116" s="16"/>
      <c r="DT116" s="16"/>
      <c r="DU116" s="16"/>
      <c r="DV116" s="16"/>
      <c r="DW116" s="16"/>
      <c r="DX116" s="16"/>
      <c r="DY116" s="16"/>
      <c r="DZ116" s="16"/>
      <c r="EA116" s="16"/>
      <c r="EB116" s="16"/>
      <c r="EC116" s="16"/>
      <c r="ED116" s="16"/>
      <c r="EE116" s="16"/>
      <c r="EF116" s="16"/>
      <c r="EG116" s="16"/>
      <c r="EH116" s="16"/>
      <c r="EI116" s="16"/>
      <c r="EJ116" s="16"/>
      <c r="EK116" s="16"/>
      <c r="EL116" s="16"/>
      <c r="EM116" s="16"/>
      <c r="EN116" s="16"/>
      <c r="EO116" s="16"/>
      <c r="EP116" s="16"/>
      <c r="EQ116" s="16"/>
      <c r="ER116" s="16"/>
      <c r="ES116" s="16"/>
      <c r="ET116" s="16"/>
      <c r="EU116" s="16"/>
      <c r="EV116" s="16"/>
      <c r="EW116" s="16"/>
      <c r="EX116" s="16"/>
      <c r="EY116" s="16"/>
      <c r="EZ116" s="16"/>
      <c r="FA116" s="16"/>
      <c r="FB116" s="16"/>
      <c r="FC116" s="16"/>
      <c r="FD116" s="16"/>
      <c r="FE116" s="16"/>
      <c r="FF116" s="16"/>
      <c r="FG116" s="16"/>
      <c r="FH116" s="16"/>
      <c r="FI116" s="16"/>
      <c r="FJ116" s="16"/>
      <c r="FK116" s="16"/>
      <c r="FL116" s="16"/>
      <c r="FM116" s="16"/>
      <c r="FN116" s="16"/>
      <c r="FO116" s="16"/>
      <c r="FP116" s="16"/>
      <c r="FQ116" s="16"/>
      <c r="FR116" s="16"/>
      <c r="FS116" s="16"/>
    </row>
    <row r="117" spans="1:175" s="11" customFormat="1" ht="12" x14ac:dyDescent="0.2">
      <c r="A117" s="66" t="s">
        <v>504</v>
      </c>
      <c r="B117" s="67" t="s">
        <v>505</v>
      </c>
      <c r="C117" s="67" t="s">
        <v>206</v>
      </c>
      <c r="D117" s="18" t="s">
        <v>506</v>
      </c>
      <c r="E117" s="5"/>
      <c r="F117" s="5"/>
      <c r="G117" s="5"/>
      <c r="H117" s="5"/>
      <c r="I117" s="5"/>
      <c r="J117" s="5"/>
      <c r="K117" s="5">
        <f t="shared" si="38"/>
        <v>1450000</v>
      </c>
      <c r="L117" s="5"/>
      <c r="M117" s="5"/>
      <c r="N117" s="5">
        <f>1450000</f>
        <v>1450000</v>
      </c>
      <c r="O117" s="5">
        <f t="shared" ref="O117" si="41">K117+J117</f>
        <v>1450000</v>
      </c>
      <c r="P117" s="2">
        <f t="shared" si="24"/>
        <v>0</v>
      </c>
      <c r="Q117" s="2">
        <f t="shared" si="26"/>
        <v>1450000</v>
      </c>
      <c r="R117" s="2">
        <f t="shared" si="39"/>
        <v>1450000</v>
      </c>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c r="AW117" s="16"/>
      <c r="AX117" s="16"/>
      <c r="AY117" s="16"/>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c r="CA117" s="16"/>
      <c r="CB117" s="16"/>
      <c r="CC117" s="16"/>
      <c r="CD117" s="16"/>
      <c r="CE117" s="16"/>
      <c r="CF117" s="16"/>
      <c r="CG117" s="16"/>
      <c r="CH117" s="16"/>
      <c r="CI117" s="16"/>
      <c r="CJ117" s="16"/>
      <c r="CK117" s="16"/>
      <c r="CL117" s="16"/>
      <c r="CM117" s="16"/>
      <c r="CN117" s="16"/>
      <c r="CO117" s="16"/>
      <c r="CP117" s="16"/>
      <c r="CQ117" s="16"/>
      <c r="CR117" s="16"/>
      <c r="CS117" s="16"/>
      <c r="CT117" s="16"/>
      <c r="CU117" s="16"/>
      <c r="CV117" s="16"/>
      <c r="CW117" s="16"/>
      <c r="CX117" s="16"/>
      <c r="CY117" s="16"/>
      <c r="CZ117" s="16"/>
      <c r="DA117" s="16"/>
      <c r="DB117" s="16"/>
      <c r="DC117" s="16"/>
      <c r="DD117" s="16"/>
      <c r="DE117" s="16"/>
      <c r="DF117" s="16"/>
      <c r="DG117" s="16"/>
      <c r="DH117" s="16"/>
      <c r="DI117" s="16"/>
      <c r="DJ117" s="16"/>
      <c r="DK117" s="16"/>
      <c r="DL117" s="16"/>
      <c r="DM117" s="16"/>
      <c r="DN117" s="16"/>
      <c r="DO117" s="16"/>
      <c r="DP117" s="16"/>
      <c r="DQ117" s="16"/>
      <c r="DR117" s="16"/>
      <c r="DS117" s="16"/>
      <c r="DT117" s="16"/>
      <c r="DU117" s="16"/>
      <c r="DV117" s="16"/>
      <c r="DW117" s="16"/>
      <c r="DX117" s="16"/>
      <c r="DY117" s="16"/>
      <c r="DZ117" s="16"/>
      <c r="EA117" s="16"/>
      <c r="EB117" s="16"/>
      <c r="EC117" s="16"/>
      <c r="ED117" s="16"/>
      <c r="EE117" s="16"/>
      <c r="EF117" s="16"/>
      <c r="EG117" s="16"/>
      <c r="EH117" s="16"/>
      <c r="EI117" s="16"/>
      <c r="EJ117" s="16"/>
      <c r="EK117" s="16"/>
      <c r="EL117" s="16"/>
      <c r="EM117" s="16"/>
      <c r="EN117" s="16"/>
      <c r="EO117" s="16"/>
      <c r="EP117" s="16"/>
      <c r="EQ117" s="16"/>
      <c r="ER117" s="16"/>
      <c r="ES117" s="16"/>
      <c r="ET117" s="16"/>
      <c r="EU117" s="16"/>
      <c r="EV117" s="16"/>
      <c r="EW117" s="16"/>
      <c r="EX117" s="16"/>
      <c r="EY117" s="16"/>
      <c r="EZ117" s="16"/>
      <c r="FA117" s="16"/>
      <c r="FB117" s="16"/>
      <c r="FC117" s="16"/>
      <c r="FD117" s="16"/>
      <c r="FE117" s="16"/>
      <c r="FF117" s="16"/>
      <c r="FG117" s="16"/>
      <c r="FH117" s="16"/>
      <c r="FI117" s="16"/>
      <c r="FJ117" s="16"/>
      <c r="FK117" s="16"/>
      <c r="FL117" s="16"/>
      <c r="FM117" s="16"/>
      <c r="FN117" s="16"/>
      <c r="FO117" s="16"/>
      <c r="FP117" s="16"/>
      <c r="FQ117" s="16"/>
      <c r="FR117" s="16"/>
      <c r="FS117" s="16"/>
    </row>
    <row r="118" spans="1:175" s="11" customFormat="1" ht="88.5" customHeight="1" x14ac:dyDescent="0.2">
      <c r="A118" s="66" t="s">
        <v>265</v>
      </c>
      <c r="B118" s="67" t="s">
        <v>262</v>
      </c>
      <c r="C118" s="67" t="s">
        <v>25</v>
      </c>
      <c r="D118" s="18" t="s">
        <v>263</v>
      </c>
      <c r="E118" s="5"/>
      <c r="F118" s="5">
        <f t="shared" si="40"/>
        <v>0</v>
      </c>
      <c r="G118" s="5"/>
      <c r="H118" s="5"/>
      <c r="I118" s="5">
        <f t="shared" si="31"/>
        <v>0</v>
      </c>
      <c r="J118" s="5">
        <v>1000000</v>
      </c>
      <c r="K118" s="5">
        <f t="shared" si="38"/>
        <v>315000</v>
      </c>
      <c r="L118" s="5"/>
      <c r="M118" s="5">
        <f>315000</f>
        <v>315000</v>
      </c>
      <c r="N118" s="5"/>
      <c r="O118" s="5">
        <f t="shared" si="30"/>
        <v>1315000</v>
      </c>
      <c r="P118" s="2">
        <f t="shared" si="24"/>
        <v>1000000</v>
      </c>
      <c r="Q118" s="2">
        <f t="shared" si="26"/>
        <v>315000</v>
      </c>
      <c r="R118" s="2">
        <f t="shared" si="39"/>
        <v>1315000</v>
      </c>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16"/>
      <c r="CW118" s="16"/>
      <c r="CX118" s="16"/>
      <c r="CY118" s="16"/>
      <c r="CZ118" s="16"/>
      <c r="DA118" s="16"/>
      <c r="DB118" s="16"/>
      <c r="DC118" s="16"/>
      <c r="DD118" s="16"/>
      <c r="DE118" s="16"/>
      <c r="DF118" s="16"/>
      <c r="DG118" s="16"/>
      <c r="DH118" s="16"/>
      <c r="DI118" s="16"/>
      <c r="DJ118" s="16"/>
      <c r="DK118" s="16"/>
      <c r="DL118" s="16"/>
      <c r="DM118" s="16"/>
      <c r="DN118" s="16"/>
      <c r="DO118" s="16"/>
      <c r="DP118" s="16"/>
      <c r="DQ118" s="16"/>
      <c r="DR118" s="16"/>
      <c r="DS118" s="16"/>
      <c r="DT118" s="16"/>
      <c r="DU118" s="16"/>
      <c r="DV118" s="16"/>
      <c r="DW118" s="16"/>
      <c r="DX118" s="16"/>
      <c r="DY118" s="16"/>
      <c r="DZ118" s="16"/>
      <c r="EA118" s="16"/>
      <c r="EB118" s="16"/>
      <c r="EC118" s="16"/>
      <c r="ED118" s="16"/>
      <c r="EE118" s="16"/>
      <c r="EF118" s="16"/>
      <c r="EG118" s="16"/>
      <c r="EH118" s="16"/>
      <c r="EI118" s="16"/>
      <c r="EJ118" s="16"/>
      <c r="EK118" s="16"/>
      <c r="EL118" s="16"/>
      <c r="EM118" s="16"/>
      <c r="EN118" s="16"/>
      <c r="EO118" s="16"/>
      <c r="EP118" s="16"/>
      <c r="EQ118" s="16"/>
      <c r="ER118" s="16"/>
      <c r="ES118" s="16"/>
      <c r="ET118" s="16"/>
      <c r="EU118" s="16"/>
      <c r="EV118" s="16"/>
      <c r="EW118" s="16"/>
      <c r="EX118" s="16"/>
      <c r="EY118" s="16"/>
      <c r="EZ118" s="16"/>
      <c r="FA118" s="16"/>
      <c r="FB118" s="16"/>
      <c r="FC118" s="16"/>
      <c r="FD118" s="16"/>
      <c r="FE118" s="16"/>
      <c r="FF118" s="16"/>
      <c r="FG118" s="16"/>
      <c r="FH118" s="16"/>
      <c r="FI118" s="16"/>
      <c r="FJ118" s="16"/>
      <c r="FK118" s="16"/>
      <c r="FL118" s="16"/>
      <c r="FM118" s="16"/>
      <c r="FN118" s="16"/>
      <c r="FO118" s="16"/>
      <c r="FP118" s="16"/>
      <c r="FQ118" s="16"/>
      <c r="FR118" s="16"/>
      <c r="FS118" s="16"/>
    </row>
    <row r="119" spans="1:175" s="4" customFormat="1" ht="25.5" x14ac:dyDescent="0.2">
      <c r="A119" s="17" t="s">
        <v>116</v>
      </c>
      <c r="B119" s="1"/>
      <c r="C119" s="1"/>
      <c r="D119" s="62" t="s">
        <v>309</v>
      </c>
      <c r="E119" s="3">
        <f>E121+E122+E125+E126+E127+E128+E129+E131+E134+E135+E138+E148+E149+E152+E130+E136+E137+E153</f>
        <v>240237736</v>
      </c>
      <c r="F119" s="3">
        <f>F121+F122+F125+F126+F127+F128+F129+F131+F134+F135+F138+F148+F149+F152+F130+F136+F137+F153</f>
        <v>48062967</v>
      </c>
      <c r="G119" s="3">
        <f t="shared" ref="G119:H119" si="42">G121+G122+G125+G126+G127+G128+G129+G131+G134+G135+G138+G148+G149+G152+G130+G136+G137+G153</f>
        <v>48062967</v>
      </c>
      <c r="H119" s="3">
        <f t="shared" si="42"/>
        <v>0</v>
      </c>
      <c r="I119" s="3">
        <f>I121+I122+I125+I126+I127+I128+I129+I131+I134+I135+I138+I148+I149+I152+I130+I136+I137+I153</f>
        <v>288300703</v>
      </c>
      <c r="J119" s="3">
        <f>J121+J122+J125+J126+J127+J128+J129+J131+J134+J135+J138+J148+J149+J152+J130+J136+J137</f>
        <v>1000000</v>
      </c>
      <c r="K119" s="3">
        <f>K121+K122+K125+K126+K127+K128+K129+K131+K134+K135+K138+K148+K149+K152+K130+K136+K137</f>
        <v>-150000</v>
      </c>
      <c r="L119" s="3">
        <f t="shared" ref="L119:O119" si="43">L121+L122+L125+L126+L127+L128+L129+L131+L134+L135+L138+L148+L149+L152+L130+L136+L137</f>
        <v>0</v>
      </c>
      <c r="M119" s="3">
        <f t="shared" si="43"/>
        <v>-150000</v>
      </c>
      <c r="N119" s="3">
        <f t="shared" si="43"/>
        <v>0</v>
      </c>
      <c r="O119" s="3">
        <f t="shared" si="43"/>
        <v>850000</v>
      </c>
      <c r="P119" s="3">
        <f>P121+P122+P125+P126+P127+P128+P129+P131+P134+P135+P138+P148+P149+P152+P130+P136+P137+P153</f>
        <v>241237736</v>
      </c>
      <c r="Q119" s="3">
        <f t="shared" ref="Q119:R119" si="44">Q121+Q122+Q125+Q126+Q127+Q128+Q129+Q131+Q134+Q135+Q138+Q148+Q149+Q152+Q130+Q136+Q137+Q153</f>
        <v>47912967</v>
      </c>
      <c r="R119" s="3">
        <f t="shared" si="44"/>
        <v>289150703</v>
      </c>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c r="BC119" s="15"/>
      <c r="BD119" s="15"/>
      <c r="BE119" s="15"/>
      <c r="BF119" s="15"/>
      <c r="BG119" s="15"/>
      <c r="BH119" s="15"/>
      <c r="BI119" s="15"/>
      <c r="BJ119" s="15"/>
      <c r="BK119" s="15"/>
      <c r="BL119" s="15"/>
      <c r="BM119" s="15"/>
      <c r="BN119" s="15"/>
      <c r="BO119" s="15"/>
      <c r="BP119" s="15"/>
      <c r="BQ119" s="15"/>
    </row>
    <row r="120" spans="1:175" s="4" customFormat="1" ht="25.5" x14ac:dyDescent="0.2">
      <c r="A120" s="17" t="s">
        <v>135</v>
      </c>
      <c r="B120" s="1"/>
      <c r="C120" s="1"/>
      <c r="D120" s="62" t="s">
        <v>309</v>
      </c>
      <c r="E120" s="3"/>
      <c r="F120" s="3"/>
      <c r="G120" s="3"/>
      <c r="H120" s="3"/>
      <c r="I120" s="12">
        <f t="shared" si="31"/>
        <v>0</v>
      </c>
      <c r="J120" s="12">
        <v>0</v>
      </c>
      <c r="K120" s="12">
        <f t="shared" ref="K120:K152" si="45">M120+N120</f>
        <v>0</v>
      </c>
      <c r="L120" s="3"/>
      <c r="M120" s="3"/>
      <c r="N120" s="3"/>
      <c r="O120" s="3">
        <f t="shared" si="30"/>
        <v>0</v>
      </c>
      <c r="P120" s="3">
        <f t="shared" si="24"/>
        <v>0</v>
      </c>
      <c r="Q120" s="2">
        <f t="shared" si="26"/>
        <v>0</v>
      </c>
      <c r="R120" s="3">
        <f t="shared" si="39"/>
        <v>0</v>
      </c>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15"/>
      <c r="BD120" s="15"/>
      <c r="BE120" s="15"/>
      <c r="BF120" s="15"/>
      <c r="BG120" s="15"/>
      <c r="BH120" s="15"/>
      <c r="BI120" s="15"/>
      <c r="BJ120" s="15"/>
      <c r="BK120" s="15"/>
      <c r="BL120" s="15"/>
      <c r="BM120" s="15"/>
      <c r="BN120" s="15"/>
      <c r="BO120" s="15"/>
      <c r="BP120" s="15"/>
      <c r="BQ120" s="15"/>
    </row>
    <row r="121" spans="1:175" s="11" customFormat="1" ht="36" x14ac:dyDescent="0.2">
      <c r="A121" s="66" t="s">
        <v>128</v>
      </c>
      <c r="B121" s="67" t="s">
        <v>61</v>
      </c>
      <c r="C121" s="67" t="s">
        <v>22</v>
      </c>
      <c r="D121" s="18" t="s">
        <v>450</v>
      </c>
      <c r="E121" s="12">
        <v>31900000</v>
      </c>
      <c r="F121" s="12">
        <f>G121+H121</f>
        <v>-740000</v>
      </c>
      <c r="G121" s="12">
        <v>-740000</v>
      </c>
      <c r="H121" s="12"/>
      <c r="I121" s="12">
        <f t="shared" si="31"/>
        <v>31160000</v>
      </c>
      <c r="J121" s="12">
        <v>0</v>
      </c>
      <c r="K121" s="12">
        <f t="shared" si="45"/>
        <v>0</v>
      </c>
      <c r="L121" s="12"/>
      <c r="M121" s="12"/>
      <c r="N121" s="12"/>
      <c r="O121" s="12">
        <f t="shared" si="30"/>
        <v>0</v>
      </c>
      <c r="P121" s="3">
        <f t="shared" si="24"/>
        <v>31900000</v>
      </c>
      <c r="Q121" s="2">
        <f t="shared" si="26"/>
        <v>-740000</v>
      </c>
      <c r="R121" s="3">
        <f t="shared" si="39"/>
        <v>31160000</v>
      </c>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c r="BI121" s="16"/>
      <c r="BJ121" s="16"/>
      <c r="BK121" s="16"/>
      <c r="BL121" s="16"/>
      <c r="BM121" s="16"/>
      <c r="BN121" s="16"/>
      <c r="BO121" s="16"/>
      <c r="BP121" s="16"/>
      <c r="BQ121" s="16"/>
    </row>
    <row r="122" spans="1:175" s="11" customFormat="1" ht="12.75" x14ac:dyDescent="0.2">
      <c r="A122" s="66" t="s">
        <v>271</v>
      </c>
      <c r="B122" s="67" t="s">
        <v>11</v>
      </c>
      <c r="C122" s="67" t="s">
        <v>14</v>
      </c>
      <c r="D122" s="18" t="s">
        <v>166</v>
      </c>
      <c r="E122" s="12">
        <f>E124</f>
        <v>100000</v>
      </c>
      <c r="F122" s="12">
        <f t="shared" ref="F122:F152" si="46">G122+H122</f>
        <v>2862900</v>
      </c>
      <c r="G122" s="12">
        <f>2862900</f>
        <v>2862900</v>
      </c>
      <c r="H122" s="12"/>
      <c r="I122" s="12">
        <f t="shared" si="31"/>
        <v>2962900</v>
      </c>
      <c r="J122" s="12">
        <v>0</v>
      </c>
      <c r="K122" s="12">
        <f t="shared" si="45"/>
        <v>0</v>
      </c>
      <c r="L122" s="12"/>
      <c r="M122" s="12"/>
      <c r="N122" s="12"/>
      <c r="O122" s="12">
        <f t="shared" si="30"/>
        <v>0</v>
      </c>
      <c r="P122" s="3">
        <f t="shared" si="24"/>
        <v>100000</v>
      </c>
      <c r="Q122" s="2">
        <f t="shared" si="26"/>
        <v>2862900</v>
      </c>
      <c r="R122" s="3">
        <f t="shared" si="39"/>
        <v>2962900</v>
      </c>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c r="BK122" s="16"/>
      <c r="BL122" s="16"/>
      <c r="BM122" s="16"/>
      <c r="BN122" s="16"/>
      <c r="BO122" s="16"/>
      <c r="BP122" s="16"/>
      <c r="BQ122" s="16"/>
    </row>
    <row r="123" spans="1:175" s="11" customFormat="1" ht="12.75" x14ac:dyDescent="0.2">
      <c r="A123" s="66"/>
      <c r="B123" s="67"/>
      <c r="C123" s="67"/>
      <c r="D123" s="18" t="s">
        <v>179</v>
      </c>
      <c r="E123" s="12"/>
      <c r="F123" s="12">
        <f t="shared" si="46"/>
        <v>0</v>
      </c>
      <c r="G123" s="12"/>
      <c r="H123" s="12"/>
      <c r="I123" s="12">
        <f t="shared" si="31"/>
        <v>0</v>
      </c>
      <c r="J123" s="12">
        <v>0</v>
      </c>
      <c r="K123" s="12">
        <f t="shared" si="45"/>
        <v>0</v>
      </c>
      <c r="L123" s="12"/>
      <c r="M123" s="12"/>
      <c r="N123" s="12"/>
      <c r="O123" s="12">
        <f t="shared" si="30"/>
        <v>0</v>
      </c>
      <c r="P123" s="3">
        <f t="shared" si="24"/>
        <v>0</v>
      </c>
      <c r="Q123" s="2">
        <f t="shared" si="26"/>
        <v>0</v>
      </c>
      <c r="R123" s="3">
        <f t="shared" si="39"/>
        <v>0</v>
      </c>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row>
    <row r="124" spans="1:175" s="11" customFormat="1" ht="12.75" x14ac:dyDescent="0.2">
      <c r="A124" s="66"/>
      <c r="B124" s="67"/>
      <c r="C124" s="67"/>
      <c r="D124" s="20" t="s">
        <v>299</v>
      </c>
      <c r="E124" s="12">
        <v>100000</v>
      </c>
      <c r="F124" s="12">
        <f t="shared" si="46"/>
        <v>2862900</v>
      </c>
      <c r="G124" s="12">
        <f>2862900</f>
        <v>2862900</v>
      </c>
      <c r="H124" s="12"/>
      <c r="I124" s="12">
        <f t="shared" si="31"/>
        <v>2962900</v>
      </c>
      <c r="J124" s="12">
        <v>0</v>
      </c>
      <c r="K124" s="12">
        <f t="shared" si="45"/>
        <v>0</v>
      </c>
      <c r="L124" s="12"/>
      <c r="M124" s="12"/>
      <c r="N124" s="12"/>
      <c r="O124" s="12">
        <f t="shared" si="30"/>
        <v>0</v>
      </c>
      <c r="P124" s="3">
        <f t="shared" si="24"/>
        <v>100000</v>
      </c>
      <c r="Q124" s="2">
        <f t="shared" si="26"/>
        <v>2862900</v>
      </c>
      <c r="R124" s="3">
        <f t="shared" si="39"/>
        <v>2962900</v>
      </c>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row>
    <row r="125" spans="1:175" s="11" customFormat="1" ht="24" x14ac:dyDescent="0.2">
      <c r="A125" s="66" t="s">
        <v>129</v>
      </c>
      <c r="B125" s="67">
        <v>3031</v>
      </c>
      <c r="C125" s="67" t="s">
        <v>46</v>
      </c>
      <c r="D125" s="18" t="s">
        <v>105</v>
      </c>
      <c r="E125" s="12">
        <v>250000</v>
      </c>
      <c r="F125" s="12">
        <f t="shared" si="46"/>
        <v>0</v>
      </c>
      <c r="G125" s="12"/>
      <c r="H125" s="12"/>
      <c r="I125" s="12">
        <f t="shared" si="31"/>
        <v>250000</v>
      </c>
      <c r="J125" s="12">
        <v>0</v>
      </c>
      <c r="K125" s="12">
        <f t="shared" si="45"/>
        <v>0</v>
      </c>
      <c r="L125" s="12"/>
      <c r="M125" s="12"/>
      <c r="N125" s="12"/>
      <c r="O125" s="12">
        <f t="shared" si="30"/>
        <v>0</v>
      </c>
      <c r="P125" s="3">
        <f t="shared" si="24"/>
        <v>250000</v>
      </c>
      <c r="Q125" s="2">
        <f t="shared" si="26"/>
        <v>0</v>
      </c>
      <c r="R125" s="3">
        <f t="shared" si="39"/>
        <v>250000</v>
      </c>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row>
    <row r="126" spans="1:175" s="11" customFormat="1" ht="24" x14ac:dyDescent="0.2">
      <c r="A126" s="66" t="s">
        <v>130</v>
      </c>
      <c r="B126" s="67" t="s">
        <v>106</v>
      </c>
      <c r="C126" s="67" t="s">
        <v>23</v>
      </c>
      <c r="D126" s="18" t="s">
        <v>406</v>
      </c>
      <c r="E126" s="12">
        <v>850000</v>
      </c>
      <c r="F126" s="12">
        <f t="shared" si="46"/>
        <v>0</v>
      </c>
      <c r="G126" s="12"/>
      <c r="H126" s="12"/>
      <c r="I126" s="12">
        <f t="shared" si="31"/>
        <v>850000</v>
      </c>
      <c r="J126" s="12">
        <v>0</v>
      </c>
      <c r="K126" s="12">
        <f t="shared" si="45"/>
        <v>0</v>
      </c>
      <c r="L126" s="12"/>
      <c r="M126" s="12"/>
      <c r="N126" s="12"/>
      <c r="O126" s="12">
        <f t="shared" si="30"/>
        <v>0</v>
      </c>
      <c r="P126" s="3">
        <f t="shared" si="24"/>
        <v>850000</v>
      </c>
      <c r="Q126" s="2">
        <f t="shared" si="26"/>
        <v>0</v>
      </c>
      <c r="R126" s="3">
        <f t="shared" si="39"/>
        <v>850000</v>
      </c>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row>
    <row r="127" spans="1:175" s="11" customFormat="1" ht="36" x14ac:dyDescent="0.2">
      <c r="A127" s="66" t="s">
        <v>159</v>
      </c>
      <c r="B127" s="67" t="s">
        <v>160</v>
      </c>
      <c r="C127" s="67" t="s">
        <v>23</v>
      </c>
      <c r="D127" s="18" t="s">
        <v>54</v>
      </c>
      <c r="E127" s="12">
        <v>71700000</v>
      </c>
      <c r="F127" s="12">
        <f t="shared" si="46"/>
        <v>0</v>
      </c>
      <c r="G127" s="12"/>
      <c r="H127" s="12"/>
      <c r="I127" s="12">
        <f t="shared" si="31"/>
        <v>71700000</v>
      </c>
      <c r="J127" s="12">
        <v>0</v>
      </c>
      <c r="K127" s="12">
        <f t="shared" si="45"/>
        <v>0</v>
      </c>
      <c r="L127" s="12"/>
      <c r="M127" s="12"/>
      <c r="N127" s="12"/>
      <c r="O127" s="12">
        <f t="shared" si="30"/>
        <v>0</v>
      </c>
      <c r="P127" s="3">
        <f t="shared" si="24"/>
        <v>71700000</v>
      </c>
      <c r="Q127" s="2">
        <f t="shared" si="26"/>
        <v>0</v>
      </c>
      <c r="R127" s="3">
        <f t="shared" si="39"/>
        <v>71700000</v>
      </c>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6"/>
      <c r="BE127" s="16"/>
      <c r="BF127" s="16"/>
      <c r="BG127" s="16"/>
      <c r="BH127" s="16"/>
      <c r="BI127" s="16"/>
      <c r="BJ127" s="16"/>
      <c r="BK127" s="16"/>
      <c r="BL127" s="16"/>
      <c r="BM127" s="16"/>
      <c r="BN127" s="16"/>
      <c r="BO127" s="16"/>
      <c r="BP127" s="16"/>
      <c r="BQ127" s="16"/>
    </row>
    <row r="128" spans="1:175" s="11" customFormat="1" ht="24" x14ac:dyDescent="0.2">
      <c r="A128" s="66" t="s">
        <v>161</v>
      </c>
      <c r="B128" s="67" t="s">
        <v>162</v>
      </c>
      <c r="C128" s="67" t="s">
        <v>23</v>
      </c>
      <c r="D128" s="18" t="s">
        <v>4</v>
      </c>
      <c r="E128" s="12">
        <v>1700000</v>
      </c>
      <c r="F128" s="12">
        <f t="shared" si="46"/>
        <v>0</v>
      </c>
      <c r="G128" s="12"/>
      <c r="H128" s="12"/>
      <c r="I128" s="12">
        <f t="shared" si="31"/>
        <v>1700000</v>
      </c>
      <c r="J128" s="12">
        <v>0</v>
      </c>
      <c r="K128" s="12">
        <f t="shared" si="45"/>
        <v>0</v>
      </c>
      <c r="L128" s="12"/>
      <c r="M128" s="12"/>
      <c r="N128" s="12"/>
      <c r="O128" s="12">
        <f t="shared" si="30"/>
        <v>0</v>
      </c>
      <c r="P128" s="3">
        <f t="shared" si="24"/>
        <v>1700000</v>
      </c>
      <c r="Q128" s="2">
        <f t="shared" si="26"/>
        <v>0</v>
      </c>
      <c r="R128" s="3">
        <f t="shared" si="39"/>
        <v>1700000</v>
      </c>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6"/>
      <c r="BB128" s="16"/>
      <c r="BC128" s="16"/>
      <c r="BD128" s="16"/>
      <c r="BE128" s="16"/>
      <c r="BF128" s="16"/>
      <c r="BG128" s="16"/>
      <c r="BH128" s="16"/>
      <c r="BI128" s="16"/>
      <c r="BJ128" s="16"/>
      <c r="BK128" s="16"/>
      <c r="BL128" s="16"/>
      <c r="BM128" s="16"/>
      <c r="BN128" s="16"/>
      <c r="BO128" s="16"/>
      <c r="BP128" s="16"/>
      <c r="BQ128" s="16"/>
    </row>
    <row r="129" spans="1:69" s="11" customFormat="1" ht="24" x14ac:dyDescent="0.2">
      <c r="A129" s="66" t="s">
        <v>163</v>
      </c>
      <c r="B129" s="67" t="s">
        <v>164</v>
      </c>
      <c r="C129" s="67" t="s">
        <v>23</v>
      </c>
      <c r="D129" s="18" t="s">
        <v>12</v>
      </c>
      <c r="E129" s="12">
        <v>1000000</v>
      </c>
      <c r="F129" s="12">
        <f t="shared" si="46"/>
        <v>0</v>
      </c>
      <c r="G129" s="12"/>
      <c r="H129" s="12"/>
      <c r="I129" s="12">
        <f t="shared" si="31"/>
        <v>1000000</v>
      </c>
      <c r="J129" s="12">
        <v>0</v>
      </c>
      <c r="K129" s="12">
        <f t="shared" si="45"/>
        <v>0</v>
      </c>
      <c r="L129" s="12"/>
      <c r="M129" s="12"/>
      <c r="N129" s="12"/>
      <c r="O129" s="12">
        <f t="shared" si="30"/>
        <v>0</v>
      </c>
      <c r="P129" s="3">
        <f t="shared" si="24"/>
        <v>1000000</v>
      </c>
      <c r="Q129" s="2">
        <f t="shared" si="26"/>
        <v>0</v>
      </c>
      <c r="R129" s="3">
        <f t="shared" si="39"/>
        <v>1000000</v>
      </c>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c r="BI129" s="16"/>
      <c r="BJ129" s="16"/>
      <c r="BK129" s="16"/>
      <c r="BL129" s="16"/>
      <c r="BM129" s="16"/>
      <c r="BN129" s="16"/>
      <c r="BO129" s="16"/>
      <c r="BP129" s="16"/>
      <c r="BQ129" s="16"/>
    </row>
    <row r="130" spans="1:69" s="11" customFormat="1" ht="24" x14ac:dyDescent="0.2">
      <c r="A130" s="66" t="s">
        <v>131</v>
      </c>
      <c r="B130" s="67">
        <v>3050</v>
      </c>
      <c r="C130" s="67" t="s">
        <v>23</v>
      </c>
      <c r="D130" s="18" t="s">
        <v>55</v>
      </c>
      <c r="E130" s="12">
        <v>303400</v>
      </c>
      <c r="F130" s="12">
        <f t="shared" si="46"/>
        <v>0</v>
      </c>
      <c r="G130" s="12"/>
      <c r="H130" s="12"/>
      <c r="I130" s="12">
        <f t="shared" si="31"/>
        <v>303400</v>
      </c>
      <c r="J130" s="12">
        <v>0</v>
      </c>
      <c r="K130" s="12">
        <f t="shared" si="45"/>
        <v>0</v>
      </c>
      <c r="L130" s="12"/>
      <c r="M130" s="12"/>
      <c r="N130" s="12"/>
      <c r="O130" s="12">
        <f t="shared" si="30"/>
        <v>0</v>
      </c>
      <c r="P130" s="3">
        <f t="shared" si="24"/>
        <v>303400</v>
      </c>
      <c r="Q130" s="2">
        <f t="shared" si="26"/>
        <v>0</v>
      </c>
      <c r="R130" s="3">
        <f t="shared" si="39"/>
        <v>303400</v>
      </c>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6"/>
      <c r="BI130" s="16"/>
      <c r="BJ130" s="16"/>
      <c r="BK130" s="16"/>
      <c r="BL130" s="16"/>
      <c r="BM130" s="16"/>
      <c r="BN130" s="16"/>
      <c r="BO130" s="16"/>
      <c r="BP130" s="16"/>
      <c r="BQ130" s="16"/>
    </row>
    <row r="131" spans="1:69" s="11" customFormat="1" ht="24" x14ac:dyDescent="0.2">
      <c r="A131" s="66" t="s">
        <v>132</v>
      </c>
      <c r="B131" s="67">
        <v>3090</v>
      </c>
      <c r="C131" s="67" t="s">
        <v>46</v>
      </c>
      <c r="D131" s="18" t="s">
        <v>275</v>
      </c>
      <c r="E131" s="12">
        <v>150200</v>
      </c>
      <c r="F131" s="12">
        <f>G131+H131</f>
        <v>1660168</v>
      </c>
      <c r="G131" s="12">
        <f>-20000+680168+1000000</f>
        <v>1660168</v>
      </c>
      <c r="H131" s="12"/>
      <c r="I131" s="12">
        <f t="shared" si="31"/>
        <v>1810368</v>
      </c>
      <c r="J131" s="12">
        <v>0</v>
      </c>
      <c r="K131" s="12">
        <f t="shared" si="45"/>
        <v>0</v>
      </c>
      <c r="L131" s="12"/>
      <c r="M131" s="12"/>
      <c r="N131" s="12"/>
      <c r="O131" s="12">
        <f t="shared" si="30"/>
        <v>0</v>
      </c>
      <c r="P131" s="3">
        <f t="shared" si="24"/>
        <v>150200</v>
      </c>
      <c r="Q131" s="2">
        <f t="shared" si="26"/>
        <v>1660168</v>
      </c>
      <c r="R131" s="3">
        <f t="shared" si="39"/>
        <v>1810368</v>
      </c>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6"/>
      <c r="BB131" s="16"/>
      <c r="BC131" s="16"/>
      <c r="BD131" s="16"/>
      <c r="BE131" s="16"/>
      <c r="BF131" s="16"/>
      <c r="BG131" s="16"/>
      <c r="BH131" s="16"/>
      <c r="BI131" s="16"/>
      <c r="BJ131" s="16"/>
      <c r="BK131" s="16"/>
      <c r="BL131" s="16"/>
      <c r="BM131" s="16"/>
      <c r="BN131" s="16"/>
      <c r="BO131" s="16"/>
      <c r="BP131" s="16"/>
      <c r="BQ131" s="16"/>
    </row>
    <row r="132" spans="1:69" s="11" customFormat="1" ht="12.75" x14ac:dyDescent="0.2">
      <c r="A132" s="66"/>
      <c r="B132" s="67"/>
      <c r="C132" s="67"/>
      <c r="D132" s="18" t="s">
        <v>247</v>
      </c>
      <c r="E132" s="12"/>
      <c r="F132" s="12"/>
      <c r="G132" s="12"/>
      <c r="H132" s="12"/>
      <c r="I132" s="12">
        <f t="shared" si="31"/>
        <v>0</v>
      </c>
      <c r="J132" s="12"/>
      <c r="K132" s="12"/>
      <c r="L132" s="12"/>
      <c r="M132" s="12"/>
      <c r="N132" s="12"/>
      <c r="O132" s="12"/>
      <c r="P132" s="3">
        <f t="shared" si="24"/>
        <v>0</v>
      </c>
      <c r="Q132" s="2">
        <f t="shared" si="26"/>
        <v>0</v>
      </c>
      <c r="R132" s="3">
        <f t="shared" si="39"/>
        <v>0</v>
      </c>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6"/>
      <c r="BB132" s="16"/>
      <c r="BC132" s="16"/>
      <c r="BD132" s="16"/>
      <c r="BE132" s="16"/>
      <c r="BF132" s="16"/>
      <c r="BG132" s="16"/>
      <c r="BH132" s="16"/>
      <c r="BI132" s="16"/>
      <c r="BJ132" s="16"/>
      <c r="BK132" s="16"/>
      <c r="BL132" s="16"/>
      <c r="BM132" s="16"/>
      <c r="BN132" s="16"/>
      <c r="BO132" s="16"/>
      <c r="BP132" s="16"/>
      <c r="BQ132" s="16"/>
    </row>
    <row r="133" spans="1:69" s="11" customFormat="1" ht="12.75" x14ac:dyDescent="0.2">
      <c r="A133" s="66"/>
      <c r="B133" s="67"/>
      <c r="C133" s="67"/>
      <c r="D133" s="18" t="s">
        <v>548</v>
      </c>
      <c r="E133" s="12">
        <v>150200</v>
      </c>
      <c r="F133" s="12">
        <f t="shared" ref="F133" si="47">G133+H133</f>
        <v>-20000</v>
      </c>
      <c r="G133" s="12">
        <f>-20000</f>
        <v>-20000</v>
      </c>
      <c r="H133" s="12"/>
      <c r="I133" s="12">
        <f>E133+F133</f>
        <v>130200</v>
      </c>
      <c r="J133" s="12"/>
      <c r="K133" s="12"/>
      <c r="L133" s="12"/>
      <c r="M133" s="12"/>
      <c r="N133" s="12"/>
      <c r="O133" s="12"/>
      <c r="P133" s="3">
        <f t="shared" si="24"/>
        <v>150200</v>
      </c>
      <c r="Q133" s="2">
        <f>F133+K133</f>
        <v>-20000</v>
      </c>
      <c r="R133" s="3">
        <f t="shared" si="39"/>
        <v>130200</v>
      </c>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6"/>
      <c r="BB133" s="16"/>
      <c r="BC133" s="16"/>
      <c r="BD133" s="16"/>
      <c r="BE133" s="16"/>
      <c r="BF133" s="16"/>
      <c r="BG133" s="16"/>
      <c r="BH133" s="16"/>
      <c r="BI133" s="16"/>
      <c r="BJ133" s="16"/>
      <c r="BK133" s="16"/>
      <c r="BL133" s="16"/>
      <c r="BM133" s="16"/>
      <c r="BN133" s="16"/>
      <c r="BO133" s="16"/>
      <c r="BP133" s="16"/>
      <c r="BQ133" s="16"/>
    </row>
    <row r="134" spans="1:69" s="11" customFormat="1" ht="60" x14ac:dyDescent="0.2">
      <c r="A134" s="66" t="s">
        <v>249</v>
      </c>
      <c r="B134" s="67" t="s">
        <v>250</v>
      </c>
      <c r="C134" s="67" t="s">
        <v>48</v>
      </c>
      <c r="D134" s="18" t="s">
        <v>251</v>
      </c>
      <c r="E134" s="12">
        <v>7000000</v>
      </c>
      <c r="F134" s="12">
        <f t="shared" si="46"/>
        <v>0</v>
      </c>
      <c r="G134" s="12"/>
      <c r="H134" s="12"/>
      <c r="I134" s="12">
        <f t="shared" si="31"/>
        <v>7000000</v>
      </c>
      <c r="J134" s="12">
        <v>0</v>
      </c>
      <c r="K134" s="12">
        <f t="shared" si="45"/>
        <v>0</v>
      </c>
      <c r="L134" s="12"/>
      <c r="M134" s="12"/>
      <c r="N134" s="12"/>
      <c r="O134" s="12">
        <f t="shared" si="30"/>
        <v>0</v>
      </c>
      <c r="P134" s="3">
        <f t="shared" si="24"/>
        <v>7000000</v>
      </c>
      <c r="Q134" s="2">
        <f t="shared" si="26"/>
        <v>0</v>
      </c>
      <c r="R134" s="3">
        <f t="shared" si="39"/>
        <v>7000000</v>
      </c>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c r="BI134" s="16"/>
      <c r="BJ134" s="16"/>
      <c r="BK134" s="16"/>
      <c r="BL134" s="16"/>
      <c r="BM134" s="16"/>
      <c r="BN134" s="16"/>
      <c r="BO134" s="16"/>
      <c r="BP134" s="16"/>
      <c r="BQ134" s="16"/>
    </row>
    <row r="135" spans="1:69" s="11" customFormat="1" ht="48" x14ac:dyDescent="0.2">
      <c r="A135" s="66" t="s">
        <v>237</v>
      </c>
      <c r="B135" s="67" t="s">
        <v>238</v>
      </c>
      <c r="C135" s="67" t="s">
        <v>47</v>
      </c>
      <c r="D135" s="18" t="s">
        <v>236</v>
      </c>
      <c r="E135" s="12">
        <v>16000000</v>
      </c>
      <c r="F135" s="12">
        <f t="shared" si="46"/>
        <v>0</v>
      </c>
      <c r="G135" s="12"/>
      <c r="H135" s="12"/>
      <c r="I135" s="12">
        <f t="shared" si="31"/>
        <v>16000000</v>
      </c>
      <c r="J135" s="12">
        <v>0</v>
      </c>
      <c r="K135" s="12">
        <f t="shared" si="45"/>
        <v>0</v>
      </c>
      <c r="L135" s="12"/>
      <c r="M135" s="12"/>
      <c r="N135" s="12"/>
      <c r="O135" s="12">
        <f t="shared" si="30"/>
        <v>0</v>
      </c>
      <c r="P135" s="3">
        <f t="shared" si="24"/>
        <v>16000000</v>
      </c>
      <c r="Q135" s="2">
        <f t="shared" si="26"/>
        <v>0</v>
      </c>
      <c r="R135" s="3">
        <f t="shared" si="39"/>
        <v>16000000</v>
      </c>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6"/>
      <c r="BI135" s="16"/>
      <c r="BJ135" s="16"/>
      <c r="BK135" s="16"/>
      <c r="BL135" s="16"/>
      <c r="BM135" s="16"/>
      <c r="BN135" s="16"/>
      <c r="BO135" s="16"/>
      <c r="BP135" s="16"/>
      <c r="BQ135" s="16"/>
    </row>
    <row r="136" spans="1:69" s="11" customFormat="1" ht="36" x14ac:dyDescent="0.2">
      <c r="A136" s="66" t="s">
        <v>440</v>
      </c>
      <c r="B136" s="67" t="s">
        <v>441</v>
      </c>
      <c r="C136" s="67" t="s">
        <v>46</v>
      </c>
      <c r="D136" s="18" t="s">
        <v>442</v>
      </c>
      <c r="E136" s="12">
        <v>100000</v>
      </c>
      <c r="F136" s="12">
        <f t="shared" si="46"/>
        <v>0</v>
      </c>
      <c r="G136" s="12"/>
      <c r="H136" s="12"/>
      <c r="I136" s="12">
        <f t="shared" si="31"/>
        <v>100000</v>
      </c>
      <c r="J136" s="12"/>
      <c r="K136" s="12">
        <f t="shared" si="45"/>
        <v>0</v>
      </c>
      <c r="L136" s="12"/>
      <c r="M136" s="12"/>
      <c r="N136" s="12"/>
      <c r="O136" s="12">
        <f t="shared" si="30"/>
        <v>0</v>
      </c>
      <c r="P136" s="3">
        <f t="shared" si="24"/>
        <v>100000</v>
      </c>
      <c r="Q136" s="2">
        <f t="shared" si="26"/>
        <v>0</v>
      </c>
      <c r="R136" s="3">
        <f t="shared" si="39"/>
        <v>100000</v>
      </c>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row>
    <row r="137" spans="1:69" s="11" customFormat="1" ht="36" x14ac:dyDescent="0.2">
      <c r="A137" s="66" t="s">
        <v>456</v>
      </c>
      <c r="B137" s="67" t="s">
        <v>457</v>
      </c>
      <c r="C137" s="67" t="s">
        <v>23</v>
      </c>
      <c r="D137" s="18" t="s">
        <v>458</v>
      </c>
      <c r="E137" s="12">
        <v>200000</v>
      </c>
      <c r="F137" s="12">
        <f t="shared" si="46"/>
        <v>509500</v>
      </c>
      <c r="G137" s="12">
        <f>509500</f>
        <v>509500</v>
      </c>
      <c r="H137" s="12"/>
      <c r="I137" s="12">
        <f t="shared" si="31"/>
        <v>709500</v>
      </c>
      <c r="J137" s="12"/>
      <c r="K137" s="12">
        <f t="shared" si="45"/>
        <v>0</v>
      </c>
      <c r="L137" s="12"/>
      <c r="M137" s="12"/>
      <c r="N137" s="12"/>
      <c r="O137" s="12">
        <f t="shared" si="30"/>
        <v>0</v>
      </c>
      <c r="P137" s="3">
        <f t="shared" si="24"/>
        <v>200000</v>
      </c>
      <c r="Q137" s="2">
        <f t="shared" si="26"/>
        <v>509500</v>
      </c>
      <c r="R137" s="3">
        <f t="shared" si="39"/>
        <v>709500</v>
      </c>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6"/>
      <c r="BB137" s="16"/>
      <c r="BC137" s="16"/>
      <c r="BD137" s="16"/>
      <c r="BE137" s="16"/>
      <c r="BF137" s="16"/>
      <c r="BG137" s="16"/>
      <c r="BH137" s="16"/>
      <c r="BI137" s="16"/>
      <c r="BJ137" s="16"/>
      <c r="BK137" s="16"/>
      <c r="BL137" s="16"/>
      <c r="BM137" s="16"/>
      <c r="BN137" s="16"/>
      <c r="BO137" s="16"/>
      <c r="BP137" s="16"/>
      <c r="BQ137" s="16"/>
    </row>
    <row r="138" spans="1:69" s="11" customFormat="1" ht="16.5" customHeight="1" x14ac:dyDescent="0.2">
      <c r="A138" s="66" t="s">
        <v>242</v>
      </c>
      <c r="B138" s="67" t="s">
        <v>243</v>
      </c>
      <c r="C138" s="67"/>
      <c r="D138" s="18" t="s">
        <v>276</v>
      </c>
      <c r="E138" s="12">
        <f>E139+E144</f>
        <v>86759136</v>
      </c>
      <c r="F138" s="12">
        <f>G138+H138</f>
        <v>43770399</v>
      </c>
      <c r="G138" s="12">
        <f>G139+G144</f>
        <v>43770399</v>
      </c>
      <c r="H138" s="12">
        <f t="shared" ref="H138" si="48">H139+H144</f>
        <v>0</v>
      </c>
      <c r="I138" s="12">
        <f>E138+F138</f>
        <v>130529535</v>
      </c>
      <c r="J138" s="12">
        <v>0</v>
      </c>
      <c r="K138" s="12">
        <f t="shared" si="45"/>
        <v>0</v>
      </c>
      <c r="L138" s="12"/>
      <c r="M138" s="12"/>
      <c r="N138" s="12"/>
      <c r="O138" s="12">
        <f t="shared" si="30"/>
        <v>0</v>
      </c>
      <c r="P138" s="3">
        <f t="shared" si="24"/>
        <v>86759136</v>
      </c>
      <c r="Q138" s="2">
        <f t="shared" si="26"/>
        <v>43770399</v>
      </c>
      <c r="R138" s="3">
        <f t="shared" si="39"/>
        <v>130529535</v>
      </c>
    </row>
    <row r="139" spans="1:69" s="11" customFormat="1" ht="24" x14ac:dyDescent="0.2">
      <c r="A139" s="66" t="s">
        <v>239</v>
      </c>
      <c r="B139" s="67" t="s">
        <v>240</v>
      </c>
      <c r="C139" s="67" t="s">
        <v>50</v>
      </c>
      <c r="D139" s="18" t="s">
        <v>241</v>
      </c>
      <c r="E139" s="12">
        <f>E141+E142+E143</f>
        <v>6337000</v>
      </c>
      <c r="F139" s="12">
        <f t="shared" si="46"/>
        <v>0</v>
      </c>
      <c r="G139" s="12">
        <f t="shared" ref="G139:H139" si="49">G141+G142+G143</f>
        <v>0</v>
      </c>
      <c r="H139" s="12">
        <f t="shared" si="49"/>
        <v>0</v>
      </c>
      <c r="I139" s="12">
        <f t="shared" si="31"/>
        <v>6337000</v>
      </c>
      <c r="J139" s="12">
        <v>0</v>
      </c>
      <c r="K139" s="12">
        <f t="shared" si="45"/>
        <v>0</v>
      </c>
      <c r="L139" s="12"/>
      <c r="M139" s="12"/>
      <c r="N139" s="12"/>
      <c r="O139" s="12">
        <f t="shared" si="30"/>
        <v>0</v>
      </c>
      <c r="P139" s="3">
        <f t="shared" si="24"/>
        <v>6337000</v>
      </c>
      <c r="Q139" s="2">
        <f t="shared" si="26"/>
        <v>0</v>
      </c>
      <c r="R139" s="3">
        <f t="shared" si="39"/>
        <v>6337000</v>
      </c>
    </row>
    <row r="140" spans="1:69" s="11" customFormat="1" ht="12.75" x14ac:dyDescent="0.2">
      <c r="A140" s="66"/>
      <c r="B140" s="67"/>
      <c r="C140" s="67"/>
      <c r="D140" s="37" t="s">
        <v>247</v>
      </c>
      <c r="E140" s="12"/>
      <c r="F140" s="12">
        <f t="shared" si="46"/>
        <v>0</v>
      </c>
      <c r="G140" s="12"/>
      <c r="H140" s="12"/>
      <c r="I140" s="12">
        <f t="shared" si="31"/>
        <v>0</v>
      </c>
      <c r="J140" s="12">
        <v>0</v>
      </c>
      <c r="K140" s="12">
        <f t="shared" si="45"/>
        <v>0</v>
      </c>
      <c r="L140" s="12"/>
      <c r="M140" s="12"/>
      <c r="N140" s="12"/>
      <c r="O140" s="12">
        <f t="shared" si="30"/>
        <v>0</v>
      </c>
      <c r="P140" s="3">
        <f t="shared" si="24"/>
        <v>0</v>
      </c>
      <c r="Q140" s="2">
        <f t="shared" si="26"/>
        <v>0</v>
      </c>
      <c r="R140" s="3">
        <f t="shared" si="39"/>
        <v>0</v>
      </c>
    </row>
    <row r="141" spans="1:69" s="11" customFormat="1" ht="12.75" x14ac:dyDescent="0.2">
      <c r="A141" s="66"/>
      <c r="B141" s="67"/>
      <c r="C141" s="67"/>
      <c r="D141" s="37" t="s">
        <v>482</v>
      </c>
      <c r="E141" s="12">
        <v>550000</v>
      </c>
      <c r="F141" s="12">
        <f t="shared" si="46"/>
        <v>0</v>
      </c>
      <c r="G141" s="12"/>
      <c r="H141" s="12"/>
      <c r="I141" s="12">
        <f t="shared" si="31"/>
        <v>550000</v>
      </c>
      <c r="J141" s="12">
        <v>0</v>
      </c>
      <c r="K141" s="12">
        <f t="shared" si="45"/>
        <v>0</v>
      </c>
      <c r="L141" s="12"/>
      <c r="M141" s="12"/>
      <c r="N141" s="12"/>
      <c r="O141" s="12">
        <f t="shared" si="30"/>
        <v>0</v>
      </c>
      <c r="P141" s="3">
        <f t="shared" si="24"/>
        <v>550000</v>
      </c>
      <c r="Q141" s="2">
        <f t="shared" si="26"/>
        <v>0</v>
      </c>
      <c r="R141" s="3">
        <f t="shared" si="39"/>
        <v>550000</v>
      </c>
    </row>
    <row r="142" spans="1:69" s="11" customFormat="1" ht="24" x14ac:dyDescent="0.2">
      <c r="A142" s="66"/>
      <c r="B142" s="67"/>
      <c r="C142" s="67"/>
      <c r="D142" s="37" t="s">
        <v>214</v>
      </c>
      <c r="E142" s="12">
        <v>2000000</v>
      </c>
      <c r="F142" s="12">
        <f t="shared" si="46"/>
        <v>0</v>
      </c>
      <c r="G142" s="12"/>
      <c r="H142" s="12"/>
      <c r="I142" s="12">
        <f t="shared" si="31"/>
        <v>2000000</v>
      </c>
      <c r="J142" s="12">
        <v>0</v>
      </c>
      <c r="K142" s="12">
        <f t="shared" si="45"/>
        <v>0</v>
      </c>
      <c r="L142" s="12"/>
      <c r="M142" s="12"/>
      <c r="N142" s="12"/>
      <c r="O142" s="12">
        <f t="shared" si="30"/>
        <v>0</v>
      </c>
      <c r="P142" s="3">
        <f t="shared" si="24"/>
        <v>2000000</v>
      </c>
      <c r="Q142" s="2">
        <f t="shared" si="26"/>
        <v>0</v>
      </c>
      <c r="R142" s="3">
        <f t="shared" si="39"/>
        <v>2000000</v>
      </c>
    </row>
    <row r="143" spans="1:69" s="11" customFormat="1" ht="12.75" x14ac:dyDescent="0.2">
      <c r="A143" s="66"/>
      <c r="B143" s="67"/>
      <c r="C143" s="67"/>
      <c r="D143" s="37" t="s">
        <v>215</v>
      </c>
      <c r="E143" s="12">
        <f>3487000+300000</f>
        <v>3787000</v>
      </c>
      <c r="F143" s="12">
        <f t="shared" si="46"/>
        <v>0</v>
      </c>
      <c r="G143" s="12"/>
      <c r="H143" s="12"/>
      <c r="I143" s="12">
        <f t="shared" si="31"/>
        <v>3787000</v>
      </c>
      <c r="J143" s="12">
        <v>0</v>
      </c>
      <c r="K143" s="12">
        <f t="shared" si="45"/>
        <v>0</v>
      </c>
      <c r="L143" s="12"/>
      <c r="M143" s="12"/>
      <c r="N143" s="12"/>
      <c r="O143" s="12">
        <f t="shared" si="30"/>
        <v>0</v>
      </c>
      <c r="P143" s="3">
        <f t="shared" si="24"/>
        <v>3787000</v>
      </c>
      <c r="Q143" s="2">
        <f t="shared" si="26"/>
        <v>0</v>
      </c>
      <c r="R143" s="3">
        <f t="shared" si="39"/>
        <v>3787000</v>
      </c>
    </row>
    <row r="144" spans="1:69" s="11" customFormat="1" ht="24" x14ac:dyDescent="0.2">
      <c r="A144" s="66" t="s">
        <v>244</v>
      </c>
      <c r="B144" s="67" t="s">
        <v>245</v>
      </c>
      <c r="C144" s="67" t="s">
        <v>50</v>
      </c>
      <c r="D144" s="18" t="s">
        <v>246</v>
      </c>
      <c r="E144" s="12">
        <f>E146+E147</f>
        <v>80422136</v>
      </c>
      <c r="F144" s="12">
        <f t="shared" ref="F144:H144" si="50">F146+F147</f>
        <v>43770399</v>
      </c>
      <c r="G144" s="12">
        <f t="shared" si="50"/>
        <v>43770399</v>
      </c>
      <c r="H144" s="12">
        <f t="shared" si="50"/>
        <v>0</v>
      </c>
      <c r="I144" s="12">
        <f t="shared" si="31"/>
        <v>124192535</v>
      </c>
      <c r="J144" s="12">
        <v>0</v>
      </c>
      <c r="K144" s="12">
        <f t="shared" si="45"/>
        <v>0</v>
      </c>
      <c r="L144" s="12"/>
      <c r="M144" s="12"/>
      <c r="N144" s="12"/>
      <c r="O144" s="12">
        <f t="shared" si="30"/>
        <v>0</v>
      </c>
      <c r="P144" s="3">
        <f t="shared" si="24"/>
        <v>80422136</v>
      </c>
      <c r="Q144" s="2">
        <f t="shared" si="26"/>
        <v>43770399</v>
      </c>
      <c r="R144" s="3">
        <f t="shared" si="39"/>
        <v>124192535</v>
      </c>
    </row>
    <row r="145" spans="1:18" s="11" customFormat="1" ht="12.75" x14ac:dyDescent="0.2">
      <c r="A145" s="66"/>
      <c r="B145" s="67"/>
      <c r="C145" s="67"/>
      <c r="D145" s="37" t="s">
        <v>247</v>
      </c>
      <c r="E145" s="12"/>
      <c r="F145" s="12">
        <f t="shared" si="46"/>
        <v>0</v>
      </c>
      <c r="G145" s="12"/>
      <c r="H145" s="12"/>
      <c r="I145" s="12">
        <f t="shared" si="31"/>
        <v>0</v>
      </c>
      <c r="J145" s="12">
        <v>0</v>
      </c>
      <c r="K145" s="12">
        <f t="shared" si="45"/>
        <v>0</v>
      </c>
      <c r="L145" s="12"/>
      <c r="M145" s="12"/>
      <c r="N145" s="12"/>
      <c r="O145" s="12">
        <f t="shared" si="30"/>
        <v>0</v>
      </c>
      <c r="P145" s="3">
        <f t="shared" si="24"/>
        <v>0</v>
      </c>
      <c r="Q145" s="2">
        <f t="shared" si="26"/>
        <v>0</v>
      </c>
      <c r="R145" s="3">
        <f t="shared" si="39"/>
        <v>0</v>
      </c>
    </row>
    <row r="146" spans="1:18" s="11" customFormat="1" ht="12.75" x14ac:dyDescent="0.2">
      <c r="A146" s="66"/>
      <c r="B146" s="67"/>
      <c r="C146" s="67"/>
      <c r="D146" s="37" t="s">
        <v>248</v>
      </c>
      <c r="E146" s="12">
        <f>65000000+15000000</f>
        <v>80000000</v>
      </c>
      <c r="F146" s="12">
        <f t="shared" si="46"/>
        <v>43582400</v>
      </c>
      <c r="G146" s="12">
        <f>3582400+40000000</f>
        <v>43582400</v>
      </c>
      <c r="H146" s="12"/>
      <c r="I146" s="12">
        <f t="shared" si="31"/>
        <v>123582400</v>
      </c>
      <c r="J146" s="12">
        <v>0</v>
      </c>
      <c r="K146" s="12">
        <f t="shared" si="45"/>
        <v>0</v>
      </c>
      <c r="L146" s="12"/>
      <c r="M146" s="12"/>
      <c r="N146" s="12"/>
      <c r="O146" s="12">
        <f t="shared" si="30"/>
        <v>0</v>
      </c>
      <c r="P146" s="3">
        <f t="shared" si="24"/>
        <v>80000000</v>
      </c>
      <c r="Q146" s="2">
        <f t="shared" si="26"/>
        <v>43582400</v>
      </c>
      <c r="R146" s="3">
        <f t="shared" si="39"/>
        <v>123582400</v>
      </c>
    </row>
    <row r="147" spans="1:18" s="11" customFormat="1" ht="12.75" x14ac:dyDescent="0.2">
      <c r="A147" s="66"/>
      <c r="B147" s="67"/>
      <c r="C147" s="67"/>
      <c r="D147" s="37" t="s">
        <v>213</v>
      </c>
      <c r="E147" s="12">
        <f>62136+360000</f>
        <v>422136</v>
      </c>
      <c r="F147" s="12">
        <f t="shared" si="46"/>
        <v>187999</v>
      </c>
      <c r="G147" s="12">
        <f>-1-36000+224000</f>
        <v>187999</v>
      </c>
      <c r="H147" s="12"/>
      <c r="I147" s="12">
        <f t="shared" si="31"/>
        <v>610135</v>
      </c>
      <c r="J147" s="12">
        <v>0</v>
      </c>
      <c r="K147" s="12">
        <f t="shared" si="45"/>
        <v>0</v>
      </c>
      <c r="L147" s="12"/>
      <c r="M147" s="12"/>
      <c r="N147" s="12"/>
      <c r="O147" s="12">
        <f t="shared" si="30"/>
        <v>0</v>
      </c>
      <c r="P147" s="3">
        <f t="shared" si="24"/>
        <v>422136</v>
      </c>
      <c r="Q147" s="2">
        <f t="shared" si="26"/>
        <v>187999</v>
      </c>
      <c r="R147" s="3">
        <f t="shared" si="39"/>
        <v>610135</v>
      </c>
    </row>
    <row r="148" spans="1:18" s="11" customFormat="1" ht="48" x14ac:dyDescent="0.2">
      <c r="A148" s="66" t="s">
        <v>133</v>
      </c>
      <c r="B148" s="67">
        <v>3104</v>
      </c>
      <c r="C148" s="67" t="s">
        <v>49</v>
      </c>
      <c r="D148" s="18" t="s">
        <v>5</v>
      </c>
      <c r="E148" s="12">
        <v>16500000</v>
      </c>
      <c r="F148" s="12">
        <f t="shared" si="46"/>
        <v>0</v>
      </c>
      <c r="G148" s="12"/>
      <c r="H148" s="12"/>
      <c r="I148" s="12">
        <f t="shared" si="31"/>
        <v>16500000</v>
      </c>
      <c r="J148" s="12">
        <v>0</v>
      </c>
      <c r="K148" s="12">
        <f t="shared" si="45"/>
        <v>0</v>
      </c>
      <c r="L148" s="12"/>
      <c r="M148" s="12"/>
      <c r="N148" s="12"/>
      <c r="O148" s="12">
        <f t="shared" si="30"/>
        <v>0</v>
      </c>
      <c r="P148" s="3">
        <f t="shared" si="24"/>
        <v>16500000</v>
      </c>
      <c r="Q148" s="2">
        <f t="shared" si="26"/>
        <v>0</v>
      </c>
      <c r="R148" s="3">
        <f t="shared" si="39"/>
        <v>16500000</v>
      </c>
    </row>
    <row r="149" spans="1:18" s="11" customFormat="1" ht="24" x14ac:dyDescent="0.2">
      <c r="A149" s="66" t="s">
        <v>134</v>
      </c>
      <c r="B149" s="67" t="s">
        <v>107</v>
      </c>
      <c r="C149" s="67" t="s">
        <v>35</v>
      </c>
      <c r="D149" s="18" t="s">
        <v>405</v>
      </c>
      <c r="E149" s="12">
        <f>5600000</f>
        <v>5600000</v>
      </c>
      <c r="F149" s="12">
        <f t="shared" si="46"/>
        <v>0</v>
      </c>
      <c r="G149" s="12"/>
      <c r="H149" s="12"/>
      <c r="I149" s="12">
        <f t="shared" si="31"/>
        <v>5600000</v>
      </c>
      <c r="J149" s="12">
        <v>0</v>
      </c>
      <c r="K149" s="12">
        <f t="shared" si="45"/>
        <v>0</v>
      </c>
      <c r="L149" s="12"/>
      <c r="M149" s="12"/>
      <c r="N149" s="12"/>
      <c r="O149" s="12">
        <f t="shared" si="30"/>
        <v>0</v>
      </c>
      <c r="P149" s="3">
        <f t="shared" si="24"/>
        <v>5600000</v>
      </c>
      <c r="Q149" s="2">
        <f t="shared" si="26"/>
        <v>0</v>
      </c>
      <c r="R149" s="3">
        <f t="shared" si="39"/>
        <v>5600000</v>
      </c>
    </row>
    <row r="150" spans="1:18" s="11" customFormat="1" ht="12.75" x14ac:dyDescent="0.2">
      <c r="A150" s="66"/>
      <c r="B150" s="67"/>
      <c r="C150" s="67"/>
      <c r="D150" s="18" t="s">
        <v>348</v>
      </c>
      <c r="E150" s="12"/>
      <c r="F150" s="12">
        <f t="shared" si="46"/>
        <v>0</v>
      </c>
      <c r="G150" s="12"/>
      <c r="H150" s="12"/>
      <c r="I150" s="12">
        <f t="shared" si="31"/>
        <v>0</v>
      </c>
      <c r="J150" s="12"/>
      <c r="K150" s="12">
        <f t="shared" si="45"/>
        <v>0</v>
      </c>
      <c r="L150" s="12"/>
      <c r="M150" s="12"/>
      <c r="N150" s="12"/>
      <c r="O150" s="12">
        <f t="shared" si="30"/>
        <v>0</v>
      </c>
      <c r="P150" s="3"/>
      <c r="Q150" s="2">
        <f t="shared" si="26"/>
        <v>0</v>
      </c>
      <c r="R150" s="3">
        <f t="shared" si="39"/>
        <v>0</v>
      </c>
    </row>
    <row r="151" spans="1:18" s="11" customFormat="1" ht="24" x14ac:dyDescent="0.2">
      <c r="A151" s="66"/>
      <c r="B151" s="67"/>
      <c r="C151" s="67"/>
      <c r="D151" s="37" t="s">
        <v>447</v>
      </c>
      <c r="E151" s="12">
        <v>500000</v>
      </c>
      <c r="F151" s="12">
        <f t="shared" si="46"/>
        <v>0</v>
      </c>
      <c r="G151" s="12"/>
      <c r="H151" s="12"/>
      <c r="I151" s="12">
        <f t="shared" si="31"/>
        <v>500000</v>
      </c>
      <c r="J151" s="12">
        <v>0</v>
      </c>
      <c r="K151" s="12">
        <f t="shared" si="45"/>
        <v>0</v>
      </c>
      <c r="L151" s="12"/>
      <c r="M151" s="12"/>
      <c r="N151" s="12"/>
      <c r="O151" s="12">
        <f t="shared" si="30"/>
        <v>0</v>
      </c>
      <c r="P151" s="3">
        <f t="shared" si="24"/>
        <v>500000</v>
      </c>
      <c r="Q151" s="2">
        <f t="shared" si="26"/>
        <v>0</v>
      </c>
      <c r="R151" s="3">
        <f t="shared" si="39"/>
        <v>500000</v>
      </c>
    </row>
    <row r="152" spans="1:18" s="11" customFormat="1" ht="90" customHeight="1" x14ac:dyDescent="0.2">
      <c r="A152" s="66" t="s">
        <v>266</v>
      </c>
      <c r="B152" s="67" t="s">
        <v>262</v>
      </c>
      <c r="C152" s="67" t="s">
        <v>25</v>
      </c>
      <c r="D152" s="18" t="s">
        <v>263</v>
      </c>
      <c r="E152" s="12"/>
      <c r="F152" s="12">
        <f t="shared" si="46"/>
        <v>0</v>
      </c>
      <c r="G152" s="12"/>
      <c r="H152" s="12"/>
      <c r="I152" s="12">
        <f t="shared" si="31"/>
        <v>0</v>
      </c>
      <c r="J152" s="12">
        <v>1000000</v>
      </c>
      <c r="K152" s="12">
        <f t="shared" si="45"/>
        <v>-150000</v>
      </c>
      <c r="L152" s="12"/>
      <c r="M152" s="12">
        <f>-150000</f>
        <v>-150000</v>
      </c>
      <c r="N152" s="12"/>
      <c r="O152" s="12">
        <f t="shared" si="30"/>
        <v>850000</v>
      </c>
      <c r="P152" s="3">
        <f t="shared" si="24"/>
        <v>1000000</v>
      </c>
      <c r="Q152" s="2">
        <f t="shared" si="26"/>
        <v>-150000</v>
      </c>
      <c r="R152" s="3">
        <f t="shared" si="39"/>
        <v>850000</v>
      </c>
    </row>
    <row r="153" spans="1:18" s="11" customFormat="1" ht="42" customHeight="1" x14ac:dyDescent="0.2">
      <c r="A153" s="55" t="s">
        <v>549</v>
      </c>
      <c r="B153" s="56" t="s">
        <v>550</v>
      </c>
      <c r="C153" s="56" t="s">
        <v>50</v>
      </c>
      <c r="D153" s="57" t="s">
        <v>551</v>
      </c>
      <c r="E153" s="5">
        <v>125000</v>
      </c>
      <c r="F153" s="5"/>
      <c r="G153" s="5"/>
      <c r="H153" s="5"/>
      <c r="I153" s="12">
        <f t="shared" si="31"/>
        <v>125000</v>
      </c>
      <c r="J153" s="12"/>
      <c r="K153" s="12"/>
      <c r="L153" s="12"/>
      <c r="M153" s="12"/>
      <c r="N153" s="12"/>
      <c r="O153" s="12"/>
      <c r="P153" s="3">
        <f t="shared" si="24"/>
        <v>125000</v>
      </c>
      <c r="Q153" s="2">
        <f t="shared" si="26"/>
        <v>0</v>
      </c>
      <c r="R153" s="3">
        <f t="shared" si="39"/>
        <v>125000</v>
      </c>
    </row>
    <row r="154" spans="1:18" s="4" customFormat="1" ht="25.5" x14ac:dyDescent="0.2">
      <c r="A154" s="17" t="s">
        <v>117</v>
      </c>
      <c r="B154" s="1"/>
      <c r="C154" s="1"/>
      <c r="D154" s="62" t="s">
        <v>311</v>
      </c>
      <c r="E154" s="3">
        <f t="shared" ref="E154" si="51">E156+E159+E157</f>
        <v>5800000</v>
      </c>
      <c r="F154" s="3">
        <f t="shared" ref="F154:F191" si="52">G154+H154</f>
        <v>453900</v>
      </c>
      <c r="G154" s="3">
        <f>G156+G159+G157</f>
        <v>453900</v>
      </c>
      <c r="H154" s="3">
        <f t="shared" ref="H154" si="53">H156+H159+H157</f>
        <v>0</v>
      </c>
      <c r="I154" s="3">
        <f t="shared" si="31"/>
        <v>6253900</v>
      </c>
      <c r="J154" s="3">
        <f>SUM(J155:J159)</f>
        <v>600000</v>
      </c>
      <c r="K154" s="3">
        <f>SUM(K156:K159)</f>
        <v>131000</v>
      </c>
      <c r="L154" s="3">
        <f>SUM(L156:L159)</f>
        <v>0</v>
      </c>
      <c r="M154" s="3">
        <f t="shared" ref="M154:N154" si="54">SUM(M156:M159)</f>
        <v>35000</v>
      </c>
      <c r="N154" s="3">
        <f t="shared" si="54"/>
        <v>96000</v>
      </c>
      <c r="O154" s="3">
        <f>SUM(O156:O159)</f>
        <v>731000</v>
      </c>
      <c r="P154" s="3">
        <f>E154+J154</f>
        <v>6400000</v>
      </c>
      <c r="Q154" s="3">
        <f t="shared" si="26"/>
        <v>584900</v>
      </c>
      <c r="R154" s="3">
        <f t="shared" si="39"/>
        <v>6984900</v>
      </c>
    </row>
    <row r="155" spans="1:18" s="4" customFormat="1" ht="25.5" x14ac:dyDescent="0.2">
      <c r="A155" s="17" t="s">
        <v>148</v>
      </c>
      <c r="B155" s="1"/>
      <c r="C155" s="1"/>
      <c r="D155" s="62" t="s">
        <v>311</v>
      </c>
      <c r="E155" s="2"/>
      <c r="F155" s="12">
        <f t="shared" si="52"/>
        <v>0</v>
      </c>
      <c r="G155" s="69"/>
      <c r="H155" s="69"/>
      <c r="I155" s="12">
        <f t="shared" si="31"/>
        <v>0</v>
      </c>
      <c r="J155" s="12"/>
      <c r="K155" s="12">
        <f t="shared" ref="K155:K159" si="55">M155+N155</f>
        <v>0</v>
      </c>
      <c r="L155" s="3"/>
      <c r="M155" s="3"/>
      <c r="N155" s="3"/>
      <c r="O155" s="3">
        <f t="shared" si="30"/>
        <v>0</v>
      </c>
      <c r="P155" s="3">
        <f t="shared" si="24"/>
        <v>0</v>
      </c>
      <c r="Q155" s="2">
        <f t="shared" si="26"/>
        <v>0</v>
      </c>
      <c r="R155" s="3">
        <f t="shared" si="39"/>
        <v>0</v>
      </c>
    </row>
    <row r="156" spans="1:18" s="11" customFormat="1" ht="36" x14ac:dyDescent="0.2">
      <c r="A156" s="66" t="s">
        <v>149</v>
      </c>
      <c r="B156" s="67" t="s">
        <v>61</v>
      </c>
      <c r="C156" s="67" t="s">
        <v>22</v>
      </c>
      <c r="D156" s="18" t="s">
        <v>450</v>
      </c>
      <c r="E156" s="5">
        <v>4800000</v>
      </c>
      <c r="F156" s="12">
        <f t="shared" si="52"/>
        <v>-96000</v>
      </c>
      <c r="G156" s="5">
        <v>-96000</v>
      </c>
      <c r="H156" s="58"/>
      <c r="I156" s="12">
        <f t="shared" si="31"/>
        <v>4704000</v>
      </c>
      <c r="J156" s="12">
        <v>0</v>
      </c>
      <c r="K156" s="12">
        <f t="shared" si="55"/>
        <v>96000</v>
      </c>
      <c r="L156" s="12"/>
      <c r="M156" s="12"/>
      <c r="N156" s="12">
        <f>96000</f>
        <v>96000</v>
      </c>
      <c r="O156" s="12">
        <f t="shared" si="30"/>
        <v>96000</v>
      </c>
      <c r="P156" s="3">
        <f t="shared" si="24"/>
        <v>4800000</v>
      </c>
      <c r="Q156" s="2">
        <f t="shared" si="26"/>
        <v>0</v>
      </c>
      <c r="R156" s="3">
        <f t="shared" si="39"/>
        <v>4800000</v>
      </c>
    </row>
    <row r="157" spans="1:18" s="11" customFormat="1" ht="24" x14ac:dyDescent="0.2">
      <c r="A157" s="66" t="s">
        <v>445</v>
      </c>
      <c r="B157" s="67" t="s">
        <v>240</v>
      </c>
      <c r="C157" s="67" t="s">
        <v>50</v>
      </c>
      <c r="D157" s="18" t="s">
        <v>241</v>
      </c>
      <c r="E157" s="5">
        <v>1000000</v>
      </c>
      <c r="F157" s="12">
        <f t="shared" si="52"/>
        <v>549900</v>
      </c>
      <c r="G157" s="5">
        <f>49900+500000</f>
        <v>549900</v>
      </c>
      <c r="H157" s="58"/>
      <c r="I157" s="12">
        <f t="shared" si="31"/>
        <v>1549900</v>
      </c>
      <c r="J157" s="12">
        <v>0</v>
      </c>
      <c r="K157" s="12">
        <f t="shared" si="55"/>
        <v>0</v>
      </c>
      <c r="L157" s="12">
        <v>0</v>
      </c>
      <c r="M157" s="12">
        <v>0</v>
      </c>
      <c r="N157" s="12">
        <v>0</v>
      </c>
      <c r="O157" s="12">
        <f t="shared" si="30"/>
        <v>0</v>
      </c>
      <c r="P157" s="3">
        <f t="shared" si="24"/>
        <v>1000000</v>
      </c>
      <c r="Q157" s="2">
        <f t="shared" si="26"/>
        <v>549900</v>
      </c>
      <c r="R157" s="3">
        <f t="shared" si="39"/>
        <v>1549900</v>
      </c>
    </row>
    <row r="158" spans="1:18" s="11" customFormat="1" ht="19.5" customHeight="1" x14ac:dyDescent="0.2">
      <c r="A158" s="66"/>
      <c r="B158" s="67"/>
      <c r="C158" s="67"/>
      <c r="D158" s="37" t="s">
        <v>579</v>
      </c>
      <c r="E158" s="5"/>
      <c r="F158" s="12">
        <f t="shared" si="52"/>
        <v>500000</v>
      </c>
      <c r="G158" s="5">
        <v>500000</v>
      </c>
      <c r="H158" s="58"/>
      <c r="I158" s="12">
        <f t="shared" si="31"/>
        <v>500000</v>
      </c>
      <c r="J158" s="12"/>
      <c r="K158" s="12"/>
      <c r="L158" s="12"/>
      <c r="M158" s="12"/>
      <c r="N158" s="12"/>
      <c r="O158" s="12"/>
      <c r="P158" s="3">
        <f t="shared" si="24"/>
        <v>0</v>
      </c>
      <c r="Q158" s="2">
        <f t="shared" si="26"/>
        <v>500000</v>
      </c>
      <c r="R158" s="3">
        <f t="shared" si="39"/>
        <v>500000</v>
      </c>
    </row>
    <row r="159" spans="1:18" s="11" customFormat="1" ht="97.5" customHeight="1" x14ac:dyDescent="0.2">
      <c r="A159" s="66" t="s">
        <v>267</v>
      </c>
      <c r="B159" s="67" t="s">
        <v>262</v>
      </c>
      <c r="C159" s="67" t="s">
        <v>25</v>
      </c>
      <c r="D159" s="18" t="s">
        <v>263</v>
      </c>
      <c r="E159" s="60"/>
      <c r="F159" s="12">
        <f t="shared" si="52"/>
        <v>0</v>
      </c>
      <c r="G159" s="12"/>
      <c r="H159" s="60"/>
      <c r="I159" s="12">
        <f t="shared" si="31"/>
        <v>0</v>
      </c>
      <c r="J159" s="12">
        <v>600000</v>
      </c>
      <c r="K159" s="12">
        <f t="shared" si="55"/>
        <v>35000</v>
      </c>
      <c r="L159" s="12"/>
      <c r="M159" s="12">
        <v>35000</v>
      </c>
      <c r="N159" s="12"/>
      <c r="O159" s="12">
        <f t="shared" si="30"/>
        <v>635000</v>
      </c>
      <c r="P159" s="3">
        <f t="shared" si="24"/>
        <v>600000</v>
      </c>
      <c r="Q159" s="2">
        <f t="shared" si="26"/>
        <v>35000</v>
      </c>
      <c r="R159" s="3">
        <f t="shared" si="39"/>
        <v>635000</v>
      </c>
    </row>
    <row r="160" spans="1:18" s="4" customFormat="1" ht="25.5" x14ac:dyDescent="0.2">
      <c r="A160" s="17" t="s">
        <v>118</v>
      </c>
      <c r="B160" s="1"/>
      <c r="C160" s="1"/>
      <c r="D160" s="22" t="s">
        <v>308</v>
      </c>
      <c r="E160" s="3">
        <f t="shared" ref="E160" si="56">E162+E163+E164+E166+E167+E168+E169+E173+E165</f>
        <v>143100000</v>
      </c>
      <c r="F160" s="3">
        <f t="shared" si="52"/>
        <v>1176415</v>
      </c>
      <c r="G160" s="3">
        <f t="shared" ref="G160:H160" si="57">G162+G163+G164+G166+G167+G168+G169+G173+G165</f>
        <v>1176415</v>
      </c>
      <c r="H160" s="3">
        <f t="shared" si="57"/>
        <v>0</v>
      </c>
      <c r="I160" s="3">
        <f t="shared" si="31"/>
        <v>144276415</v>
      </c>
      <c r="J160" s="3">
        <f>SUM(J161:J173)</f>
        <v>3565000</v>
      </c>
      <c r="K160" s="3">
        <f t="shared" ref="K160:O160" si="58">SUM(K162:K173)</f>
        <v>1080100</v>
      </c>
      <c r="L160" s="3">
        <f>SUM(L162:L173)</f>
        <v>0</v>
      </c>
      <c r="M160" s="3">
        <f t="shared" si="58"/>
        <v>200000</v>
      </c>
      <c r="N160" s="3">
        <f t="shared" si="58"/>
        <v>880100</v>
      </c>
      <c r="O160" s="3">
        <f t="shared" si="58"/>
        <v>4645100</v>
      </c>
      <c r="P160" s="3">
        <f t="shared" si="24"/>
        <v>146665000</v>
      </c>
      <c r="Q160" s="3">
        <f t="shared" si="26"/>
        <v>2256515</v>
      </c>
      <c r="R160" s="3">
        <f t="shared" si="39"/>
        <v>148921515</v>
      </c>
    </row>
    <row r="161" spans="1:18" s="4" customFormat="1" ht="25.5" x14ac:dyDescent="0.2">
      <c r="A161" s="17" t="s">
        <v>150</v>
      </c>
      <c r="B161" s="1"/>
      <c r="C161" s="1"/>
      <c r="D161" s="22" t="s">
        <v>308</v>
      </c>
      <c r="E161" s="2"/>
      <c r="F161" s="12">
        <f t="shared" si="52"/>
        <v>0</v>
      </c>
      <c r="G161" s="2"/>
      <c r="H161" s="2"/>
      <c r="I161" s="12">
        <f t="shared" si="31"/>
        <v>0</v>
      </c>
      <c r="J161" s="5"/>
      <c r="K161" s="5">
        <f t="shared" ref="K161:K173" si="59">M161+N161</f>
        <v>0</v>
      </c>
      <c r="L161" s="2"/>
      <c r="M161" s="2"/>
      <c r="N161" s="2"/>
      <c r="O161" s="2">
        <f t="shared" si="30"/>
        <v>0</v>
      </c>
      <c r="P161" s="2">
        <f t="shared" ref="P161:P200" si="60">E161+J161</f>
        <v>0</v>
      </c>
      <c r="Q161" s="2">
        <f t="shared" si="26"/>
        <v>0</v>
      </c>
      <c r="R161" s="2">
        <f t="shared" si="39"/>
        <v>0</v>
      </c>
    </row>
    <row r="162" spans="1:18" s="11" customFormat="1" ht="34.5" customHeight="1" x14ac:dyDescent="0.2">
      <c r="A162" s="66" t="s">
        <v>151</v>
      </c>
      <c r="B162" s="67" t="s">
        <v>61</v>
      </c>
      <c r="C162" s="67" t="s">
        <v>22</v>
      </c>
      <c r="D162" s="18" t="s">
        <v>419</v>
      </c>
      <c r="E162" s="5">
        <v>3600000</v>
      </c>
      <c r="F162" s="12">
        <f t="shared" si="52"/>
        <v>0</v>
      </c>
      <c r="G162" s="5"/>
      <c r="H162" s="5"/>
      <c r="I162" s="12">
        <f t="shared" si="31"/>
        <v>3600000</v>
      </c>
      <c r="J162" s="5">
        <v>0</v>
      </c>
      <c r="K162" s="5">
        <f t="shared" si="59"/>
        <v>0</v>
      </c>
      <c r="L162" s="5"/>
      <c r="M162" s="5"/>
      <c r="N162" s="5"/>
      <c r="O162" s="5">
        <f t="shared" si="30"/>
        <v>0</v>
      </c>
      <c r="P162" s="2">
        <f t="shared" si="60"/>
        <v>3600000</v>
      </c>
      <c r="Q162" s="2">
        <f t="shared" si="26"/>
        <v>0</v>
      </c>
      <c r="R162" s="2">
        <f t="shared" si="39"/>
        <v>3600000</v>
      </c>
    </row>
    <row r="163" spans="1:18" s="11" customFormat="1" ht="27" customHeight="1" x14ac:dyDescent="0.2">
      <c r="A163" s="66" t="s">
        <v>372</v>
      </c>
      <c r="B163" s="67" t="s">
        <v>373</v>
      </c>
      <c r="C163" s="67" t="s">
        <v>32</v>
      </c>
      <c r="D163" s="18" t="s">
        <v>444</v>
      </c>
      <c r="E163" s="5">
        <v>74800000</v>
      </c>
      <c r="F163" s="12">
        <f t="shared" si="52"/>
        <v>195279</v>
      </c>
      <c r="G163" s="5">
        <f>8000+150000+37279</f>
        <v>195279</v>
      </c>
      <c r="H163" s="5"/>
      <c r="I163" s="12">
        <f t="shared" si="31"/>
        <v>74995279</v>
      </c>
      <c r="J163" s="5">
        <v>3400000</v>
      </c>
      <c r="K163" s="5">
        <f t="shared" si="59"/>
        <v>24500</v>
      </c>
      <c r="L163" s="5"/>
      <c r="M163" s="5"/>
      <c r="N163" s="5">
        <f>24500</f>
        <v>24500</v>
      </c>
      <c r="O163" s="5">
        <f t="shared" si="30"/>
        <v>3424500</v>
      </c>
      <c r="P163" s="2">
        <f t="shared" si="60"/>
        <v>78200000</v>
      </c>
      <c r="Q163" s="2">
        <f t="shared" si="26"/>
        <v>219779</v>
      </c>
      <c r="R163" s="2">
        <f t="shared" si="39"/>
        <v>78419779</v>
      </c>
    </row>
    <row r="164" spans="1:18" s="11" customFormat="1" ht="12.75" x14ac:dyDescent="0.2">
      <c r="A164" s="66" t="s">
        <v>152</v>
      </c>
      <c r="B164" s="67" t="s">
        <v>71</v>
      </c>
      <c r="C164" s="67" t="s">
        <v>51</v>
      </c>
      <c r="D164" s="18" t="s">
        <v>72</v>
      </c>
      <c r="E164" s="5">
        <v>2500000</v>
      </c>
      <c r="F164" s="12">
        <f t="shared" si="52"/>
        <v>0</v>
      </c>
      <c r="G164" s="5"/>
      <c r="H164" s="5"/>
      <c r="I164" s="12">
        <f t="shared" si="31"/>
        <v>2500000</v>
      </c>
      <c r="J164" s="5">
        <v>0</v>
      </c>
      <c r="K164" s="5">
        <f t="shared" si="59"/>
        <v>0</v>
      </c>
      <c r="L164" s="5"/>
      <c r="M164" s="5"/>
      <c r="N164" s="5"/>
      <c r="O164" s="5">
        <f t="shared" si="30"/>
        <v>0</v>
      </c>
      <c r="P164" s="2">
        <f t="shared" si="60"/>
        <v>2500000</v>
      </c>
      <c r="Q164" s="2">
        <f t="shared" ref="Q164:Q240" si="61">F164+K164</f>
        <v>0</v>
      </c>
      <c r="R164" s="2">
        <f t="shared" si="39"/>
        <v>2500000</v>
      </c>
    </row>
    <row r="165" spans="1:18" s="11" customFormat="1" ht="36" x14ac:dyDescent="0.2">
      <c r="A165" s="66" t="s">
        <v>295</v>
      </c>
      <c r="B165" s="67" t="s">
        <v>296</v>
      </c>
      <c r="C165" s="67" t="s">
        <v>297</v>
      </c>
      <c r="D165" s="18" t="s">
        <v>298</v>
      </c>
      <c r="E165" s="5">
        <v>7500000</v>
      </c>
      <c r="F165" s="12">
        <f t="shared" si="52"/>
        <v>11000</v>
      </c>
      <c r="G165" s="5">
        <f>11000</f>
        <v>11000</v>
      </c>
      <c r="H165" s="5"/>
      <c r="I165" s="12">
        <f t="shared" si="31"/>
        <v>7511000</v>
      </c>
      <c r="J165" s="5">
        <v>0</v>
      </c>
      <c r="K165" s="5">
        <f t="shared" si="59"/>
        <v>0</v>
      </c>
      <c r="L165" s="5"/>
      <c r="M165" s="5"/>
      <c r="N165" s="5"/>
      <c r="O165" s="5">
        <f t="shared" ref="O165:O173" si="62">J165+K165</f>
        <v>0</v>
      </c>
      <c r="P165" s="2">
        <f t="shared" si="60"/>
        <v>7500000</v>
      </c>
      <c r="Q165" s="2">
        <f t="shared" si="61"/>
        <v>11000</v>
      </c>
      <c r="R165" s="2">
        <f t="shared" si="39"/>
        <v>7511000</v>
      </c>
    </row>
    <row r="166" spans="1:18" s="11" customFormat="1" ht="12.75" x14ac:dyDescent="0.2">
      <c r="A166" s="66" t="s">
        <v>153</v>
      </c>
      <c r="B166" s="67" t="s">
        <v>73</v>
      </c>
      <c r="C166" s="67" t="s">
        <v>42</v>
      </c>
      <c r="D166" s="18" t="s">
        <v>74</v>
      </c>
      <c r="E166" s="5">
        <v>17500000</v>
      </c>
      <c r="F166" s="12">
        <f t="shared" si="52"/>
        <v>310552</v>
      </c>
      <c r="G166" s="5">
        <f>44752+88900+176900</f>
        <v>310552</v>
      </c>
      <c r="H166" s="5"/>
      <c r="I166" s="12">
        <f t="shared" ref="I166:I243" si="63">E166+F166</f>
        <v>17810552</v>
      </c>
      <c r="J166" s="5">
        <v>10000</v>
      </c>
      <c r="K166" s="5">
        <f t="shared" si="59"/>
        <v>3000</v>
      </c>
      <c r="L166" s="5"/>
      <c r="M166" s="5"/>
      <c r="N166" s="5">
        <f>3000</f>
        <v>3000</v>
      </c>
      <c r="O166" s="5">
        <f t="shared" si="62"/>
        <v>13000</v>
      </c>
      <c r="P166" s="2">
        <f t="shared" si="60"/>
        <v>17510000</v>
      </c>
      <c r="Q166" s="2">
        <f t="shared" si="61"/>
        <v>313552</v>
      </c>
      <c r="R166" s="2">
        <f t="shared" si="39"/>
        <v>17823552</v>
      </c>
    </row>
    <row r="167" spans="1:18" s="11" customFormat="1" ht="24" x14ac:dyDescent="0.2">
      <c r="A167" s="66" t="s">
        <v>154</v>
      </c>
      <c r="B167" s="67" t="s">
        <v>41</v>
      </c>
      <c r="C167" s="67" t="s">
        <v>43</v>
      </c>
      <c r="D167" s="18" t="s">
        <v>75</v>
      </c>
      <c r="E167" s="5">
        <v>27500000</v>
      </c>
      <c r="F167" s="12">
        <f t="shared" si="52"/>
        <v>839584</v>
      </c>
      <c r="G167" s="5">
        <f>44000+49000+49000+80000+142584+475000</f>
        <v>839584</v>
      </c>
      <c r="H167" s="5"/>
      <c r="I167" s="12">
        <f t="shared" si="63"/>
        <v>28339584</v>
      </c>
      <c r="J167" s="5">
        <v>55000</v>
      </c>
      <c r="K167" s="5">
        <f t="shared" si="59"/>
        <v>0</v>
      </c>
      <c r="L167" s="5"/>
      <c r="M167" s="5"/>
      <c r="N167" s="5"/>
      <c r="O167" s="5">
        <f t="shared" si="62"/>
        <v>55000</v>
      </c>
      <c r="P167" s="2">
        <f t="shared" si="60"/>
        <v>27555000</v>
      </c>
      <c r="Q167" s="2">
        <f t="shared" si="61"/>
        <v>839584</v>
      </c>
      <c r="R167" s="2">
        <f t="shared" si="39"/>
        <v>28394584</v>
      </c>
    </row>
    <row r="168" spans="1:18" s="11" customFormat="1" ht="24" x14ac:dyDescent="0.2">
      <c r="A168" s="66" t="s">
        <v>256</v>
      </c>
      <c r="B168" s="67" t="s">
        <v>255</v>
      </c>
      <c r="C168" s="67" t="s">
        <v>44</v>
      </c>
      <c r="D168" s="18" t="s">
        <v>257</v>
      </c>
      <c r="E168" s="5">
        <v>3200000</v>
      </c>
      <c r="F168" s="12">
        <f t="shared" si="52"/>
        <v>0</v>
      </c>
      <c r="G168" s="5"/>
      <c r="H168" s="58"/>
      <c r="I168" s="12">
        <f t="shared" si="63"/>
        <v>3200000</v>
      </c>
      <c r="J168" s="5">
        <v>0</v>
      </c>
      <c r="K168" s="5">
        <f t="shared" si="59"/>
        <v>0</v>
      </c>
      <c r="L168" s="5"/>
      <c r="M168" s="5"/>
      <c r="N168" s="5"/>
      <c r="O168" s="5">
        <f t="shared" si="62"/>
        <v>0</v>
      </c>
      <c r="P168" s="2">
        <f t="shared" si="60"/>
        <v>3200000</v>
      </c>
      <c r="Q168" s="2">
        <f t="shared" si="61"/>
        <v>0</v>
      </c>
      <c r="R168" s="2">
        <f t="shared" si="39"/>
        <v>3200000</v>
      </c>
    </row>
    <row r="169" spans="1:18" s="11" customFormat="1" ht="12.75" x14ac:dyDescent="0.2">
      <c r="A169" s="66" t="s">
        <v>258</v>
      </c>
      <c r="B169" s="67" t="s">
        <v>259</v>
      </c>
      <c r="C169" s="67" t="s">
        <v>44</v>
      </c>
      <c r="D169" s="18" t="s">
        <v>260</v>
      </c>
      <c r="E169" s="5">
        <v>6500000</v>
      </c>
      <c r="F169" s="12">
        <f t="shared" si="52"/>
        <v>-180000</v>
      </c>
      <c r="G169" s="5">
        <f>-180000</f>
        <v>-180000</v>
      </c>
      <c r="H169" s="58"/>
      <c r="I169" s="12">
        <f t="shared" si="63"/>
        <v>6320000</v>
      </c>
      <c r="J169" s="5">
        <v>0</v>
      </c>
      <c r="K169" s="5">
        <f t="shared" si="59"/>
        <v>0</v>
      </c>
      <c r="L169" s="5"/>
      <c r="M169" s="5"/>
      <c r="N169" s="5"/>
      <c r="O169" s="5">
        <f t="shared" si="62"/>
        <v>0</v>
      </c>
      <c r="P169" s="2">
        <f t="shared" si="60"/>
        <v>6500000</v>
      </c>
      <c r="Q169" s="2">
        <f t="shared" si="61"/>
        <v>-180000</v>
      </c>
      <c r="R169" s="2">
        <f t="shared" si="39"/>
        <v>6320000</v>
      </c>
    </row>
    <row r="170" spans="1:18" s="11" customFormat="1" ht="12.75" hidden="1" x14ac:dyDescent="0.2">
      <c r="A170" s="66"/>
      <c r="B170" s="67"/>
      <c r="C170" s="67"/>
      <c r="D170" s="21" t="s">
        <v>193</v>
      </c>
      <c r="E170" s="5"/>
      <c r="F170" s="12">
        <f t="shared" si="52"/>
        <v>0</v>
      </c>
      <c r="G170" s="58"/>
      <c r="H170" s="58"/>
      <c r="I170" s="12">
        <f t="shared" si="63"/>
        <v>0</v>
      </c>
      <c r="J170" s="5"/>
      <c r="K170" s="5">
        <f t="shared" si="59"/>
        <v>0</v>
      </c>
      <c r="L170" s="5"/>
      <c r="M170" s="5"/>
      <c r="N170" s="5"/>
      <c r="O170" s="5">
        <f t="shared" si="62"/>
        <v>0</v>
      </c>
      <c r="P170" s="2">
        <f t="shared" si="60"/>
        <v>0</v>
      </c>
      <c r="Q170" s="2">
        <f t="shared" si="61"/>
        <v>0</v>
      </c>
      <c r="R170" s="2">
        <f t="shared" si="39"/>
        <v>0</v>
      </c>
    </row>
    <row r="171" spans="1:18" s="11" customFormat="1" ht="24" hidden="1" x14ac:dyDescent="0.2">
      <c r="A171" s="66"/>
      <c r="B171" s="67"/>
      <c r="C171" s="67"/>
      <c r="D171" s="21" t="s">
        <v>302</v>
      </c>
      <c r="E171" s="5"/>
      <c r="F171" s="12">
        <f t="shared" si="52"/>
        <v>0</v>
      </c>
      <c r="G171" s="58"/>
      <c r="H171" s="58"/>
      <c r="I171" s="12">
        <f t="shared" si="63"/>
        <v>0</v>
      </c>
      <c r="J171" s="5"/>
      <c r="K171" s="5">
        <f t="shared" si="59"/>
        <v>0</v>
      </c>
      <c r="L171" s="5"/>
      <c r="M171" s="5"/>
      <c r="N171" s="5"/>
      <c r="O171" s="5">
        <f t="shared" si="62"/>
        <v>0</v>
      </c>
      <c r="P171" s="2">
        <f t="shared" si="60"/>
        <v>0</v>
      </c>
      <c r="Q171" s="2">
        <f t="shared" si="61"/>
        <v>0</v>
      </c>
      <c r="R171" s="2">
        <f t="shared" si="39"/>
        <v>0</v>
      </c>
    </row>
    <row r="172" spans="1:18" s="11" customFormat="1" ht="16.5" customHeight="1" x14ac:dyDescent="0.2">
      <c r="A172" s="66" t="s">
        <v>507</v>
      </c>
      <c r="B172" s="67" t="s">
        <v>508</v>
      </c>
      <c r="C172" s="67" t="s">
        <v>206</v>
      </c>
      <c r="D172" s="21" t="s">
        <v>509</v>
      </c>
      <c r="E172" s="5"/>
      <c r="F172" s="12">
        <f t="shared" si="52"/>
        <v>0</v>
      </c>
      <c r="G172" s="58"/>
      <c r="H172" s="58"/>
      <c r="I172" s="12"/>
      <c r="J172" s="5"/>
      <c r="K172" s="5">
        <f t="shared" si="59"/>
        <v>652600</v>
      </c>
      <c r="L172" s="5"/>
      <c r="M172" s="5"/>
      <c r="N172" s="5">
        <f>652600</f>
        <v>652600</v>
      </c>
      <c r="O172" s="5">
        <f t="shared" ref="O172" si="64">K172+J172</f>
        <v>652600</v>
      </c>
      <c r="P172" s="2">
        <f t="shared" si="60"/>
        <v>0</v>
      </c>
      <c r="Q172" s="2">
        <f t="shared" si="61"/>
        <v>652600</v>
      </c>
      <c r="R172" s="2">
        <f t="shared" si="39"/>
        <v>652600</v>
      </c>
    </row>
    <row r="173" spans="1:18" s="11" customFormat="1" ht="93" customHeight="1" x14ac:dyDescent="0.2">
      <c r="A173" s="66" t="s">
        <v>261</v>
      </c>
      <c r="B173" s="67" t="s">
        <v>262</v>
      </c>
      <c r="C173" s="67" t="s">
        <v>25</v>
      </c>
      <c r="D173" s="18" t="s">
        <v>263</v>
      </c>
      <c r="E173" s="70"/>
      <c r="F173" s="12">
        <f t="shared" si="52"/>
        <v>0</v>
      </c>
      <c r="G173" s="58"/>
      <c r="H173" s="58"/>
      <c r="I173" s="12">
        <f t="shared" si="63"/>
        <v>0</v>
      </c>
      <c r="J173" s="5">
        <v>100000</v>
      </c>
      <c r="K173" s="5">
        <f t="shared" si="59"/>
        <v>400000</v>
      </c>
      <c r="L173" s="5"/>
      <c r="M173" s="5">
        <v>200000</v>
      </c>
      <c r="N173" s="5">
        <f>200000</f>
        <v>200000</v>
      </c>
      <c r="O173" s="5">
        <f t="shared" si="62"/>
        <v>500000</v>
      </c>
      <c r="P173" s="2">
        <f>E173+J173</f>
        <v>100000</v>
      </c>
      <c r="Q173" s="2">
        <f t="shared" si="61"/>
        <v>400000</v>
      </c>
      <c r="R173" s="2">
        <f t="shared" si="39"/>
        <v>500000</v>
      </c>
    </row>
    <row r="174" spans="1:18" s="4" customFormat="1" ht="25.5" x14ac:dyDescent="0.2">
      <c r="A174" s="59">
        <v>1100000</v>
      </c>
      <c r="B174" s="1"/>
      <c r="C174" s="1"/>
      <c r="D174" s="22" t="s">
        <v>310</v>
      </c>
      <c r="E174" s="3">
        <f>E176+E177+E178+E179+E180+E181+E185+E186+E182+E183</f>
        <v>46041000</v>
      </c>
      <c r="F174" s="3">
        <f>G174+H174</f>
        <v>11681092</v>
      </c>
      <c r="G174" s="3">
        <f>G176+G177+G178+G179+G180+G181+G185+G186+G182+G183</f>
        <v>11681092</v>
      </c>
      <c r="H174" s="3">
        <f>H176+H177+H178+H179+H180+H181+H185+H186+H182</f>
        <v>0</v>
      </c>
      <c r="I174" s="3">
        <f>E174+F174</f>
        <v>57722092</v>
      </c>
      <c r="J174" s="3">
        <f t="shared" ref="J174:O174" si="65">SUM(J175:J186)</f>
        <v>0</v>
      </c>
      <c r="K174" s="3">
        <f t="shared" si="65"/>
        <v>211000</v>
      </c>
      <c r="L174" s="3">
        <f t="shared" si="65"/>
        <v>0</v>
      </c>
      <c r="M174" s="3">
        <f t="shared" si="65"/>
        <v>0</v>
      </c>
      <c r="N174" s="3">
        <f t="shared" si="65"/>
        <v>211000</v>
      </c>
      <c r="O174" s="3">
        <f t="shared" si="65"/>
        <v>211000</v>
      </c>
      <c r="P174" s="3">
        <f>E174+J174</f>
        <v>46041000</v>
      </c>
      <c r="Q174" s="3">
        <f>F174+K174</f>
        <v>11892092</v>
      </c>
      <c r="R174" s="3">
        <f>P174+Q174</f>
        <v>57933092</v>
      </c>
    </row>
    <row r="175" spans="1:18" s="4" customFormat="1" ht="25.5" x14ac:dyDescent="0.2">
      <c r="A175" s="59">
        <v>1110000</v>
      </c>
      <c r="B175" s="1"/>
      <c r="C175" s="1"/>
      <c r="D175" s="22" t="s">
        <v>310</v>
      </c>
      <c r="E175" s="2"/>
      <c r="F175" s="12">
        <f t="shared" si="52"/>
        <v>0</v>
      </c>
      <c r="G175" s="2"/>
      <c r="H175" s="2"/>
      <c r="I175" s="5">
        <f t="shared" si="63"/>
        <v>0</v>
      </c>
      <c r="J175" s="5"/>
      <c r="K175" s="5">
        <f t="shared" ref="K175:K186" si="66">M175+N175</f>
        <v>0</v>
      </c>
      <c r="L175" s="2"/>
      <c r="M175" s="2"/>
      <c r="N175" s="2"/>
      <c r="O175" s="2">
        <f t="shared" ref="O175:O186" si="67">J175+K175</f>
        <v>0</v>
      </c>
      <c r="P175" s="2">
        <f t="shared" si="60"/>
        <v>0</v>
      </c>
      <c r="Q175" s="2">
        <f t="shared" si="61"/>
        <v>0</v>
      </c>
      <c r="R175" s="2">
        <f t="shared" si="39"/>
        <v>0</v>
      </c>
    </row>
    <row r="176" spans="1:18" s="11" customFormat="1" ht="36" x14ac:dyDescent="0.2">
      <c r="A176" s="60">
        <v>1110160</v>
      </c>
      <c r="B176" s="67" t="s">
        <v>61</v>
      </c>
      <c r="C176" s="67" t="s">
        <v>22</v>
      </c>
      <c r="D176" s="18" t="s">
        <v>450</v>
      </c>
      <c r="E176" s="5">
        <v>3055000</v>
      </c>
      <c r="F176" s="12"/>
      <c r="G176" s="5"/>
      <c r="H176" s="5"/>
      <c r="I176" s="5">
        <f t="shared" si="63"/>
        <v>3055000</v>
      </c>
      <c r="J176" s="5">
        <v>0</v>
      </c>
      <c r="K176" s="5">
        <f t="shared" si="66"/>
        <v>0</v>
      </c>
      <c r="L176" s="5"/>
      <c r="M176" s="5"/>
      <c r="N176" s="5"/>
      <c r="O176" s="5">
        <f t="shared" si="67"/>
        <v>0</v>
      </c>
      <c r="P176" s="2">
        <f t="shared" si="60"/>
        <v>3055000</v>
      </c>
      <c r="Q176" s="2">
        <f t="shared" si="61"/>
        <v>0</v>
      </c>
      <c r="R176" s="2">
        <f t="shared" si="39"/>
        <v>3055000</v>
      </c>
    </row>
    <row r="177" spans="1:18" s="11" customFormat="1" ht="39.75" customHeight="1" x14ac:dyDescent="0.2">
      <c r="A177" s="60">
        <v>1113131</v>
      </c>
      <c r="B177" s="67" t="s">
        <v>62</v>
      </c>
      <c r="C177" s="67" t="s">
        <v>35</v>
      </c>
      <c r="D177" s="61" t="s">
        <v>63</v>
      </c>
      <c r="E177" s="12">
        <f>300000+200000</f>
        <v>500000</v>
      </c>
      <c r="F177" s="12">
        <f t="shared" si="52"/>
        <v>105000</v>
      </c>
      <c r="G177" s="5">
        <f>30000+50000+25000</f>
        <v>105000</v>
      </c>
      <c r="H177" s="12"/>
      <c r="I177" s="5">
        <f t="shared" si="63"/>
        <v>605000</v>
      </c>
      <c r="J177" s="12">
        <v>0</v>
      </c>
      <c r="K177" s="12">
        <f t="shared" si="66"/>
        <v>0</v>
      </c>
      <c r="L177" s="12"/>
      <c r="M177" s="12"/>
      <c r="N177" s="12"/>
      <c r="O177" s="12">
        <f t="shared" si="67"/>
        <v>0</v>
      </c>
      <c r="P177" s="3">
        <f t="shared" si="60"/>
        <v>500000</v>
      </c>
      <c r="Q177" s="2">
        <f t="shared" si="61"/>
        <v>105000</v>
      </c>
      <c r="R177" s="3">
        <f t="shared" si="39"/>
        <v>605000</v>
      </c>
    </row>
    <row r="178" spans="1:18" s="11" customFormat="1" ht="28.5" customHeight="1" x14ac:dyDescent="0.2">
      <c r="A178" s="60">
        <v>1115011</v>
      </c>
      <c r="B178" s="67" t="s">
        <v>38</v>
      </c>
      <c r="C178" s="67" t="s">
        <v>36</v>
      </c>
      <c r="D178" s="18" t="s">
        <v>37</v>
      </c>
      <c r="E178" s="5">
        <v>1300000</v>
      </c>
      <c r="F178" s="12">
        <f t="shared" si="52"/>
        <v>0</v>
      </c>
      <c r="G178" s="5"/>
      <c r="H178" s="5"/>
      <c r="I178" s="5">
        <f t="shared" si="63"/>
        <v>1300000</v>
      </c>
      <c r="J178" s="5">
        <v>0</v>
      </c>
      <c r="K178" s="5">
        <f t="shared" si="66"/>
        <v>0</v>
      </c>
      <c r="L178" s="5"/>
      <c r="M178" s="5"/>
      <c r="N178" s="5"/>
      <c r="O178" s="5">
        <f t="shared" si="67"/>
        <v>0</v>
      </c>
      <c r="P178" s="2">
        <f t="shared" si="60"/>
        <v>1300000</v>
      </c>
      <c r="Q178" s="2">
        <f t="shared" si="61"/>
        <v>0</v>
      </c>
      <c r="R178" s="2">
        <f t="shared" si="39"/>
        <v>1300000</v>
      </c>
    </row>
    <row r="179" spans="1:18" s="11" customFormat="1" ht="29.25" customHeight="1" x14ac:dyDescent="0.2">
      <c r="A179" s="60">
        <v>1115012</v>
      </c>
      <c r="B179" s="67" t="s">
        <v>60</v>
      </c>
      <c r="C179" s="67" t="s">
        <v>36</v>
      </c>
      <c r="D179" s="18" t="s">
        <v>59</v>
      </c>
      <c r="E179" s="5">
        <v>700000</v>
      </c>
      <c r="F179" s="12">
        <f t="shared" si="52"/>
        <v>45000</v>
      </c>
      <c r="G179" s="5">
        <v>45000</v>
      </c>
      <c r="H179" s="5"/>
      <c r="I179" s="5">
        <f t="shared" si="63"/>
        <v>745000</v>
      </c>
      <c r="J179" s="5">
        <v>0</v>
      </c>
      <c r="K179" s="5">
        <f t="shared" si="66"/>
        <v>0</v>
      </c>
      <c r="L179" s="5"/>
      <c r="M179" s="5"/>
      <c r="N179" s="5"/>
      <c r="O179" s="5">
        <f t="shared" si="67"/>
        <v>0</v>
      </c>
      <c r="P179" s="2">
        <f t="shared" si="60"/>
        <v>700000</v>
      </c>
      <c r="Q179" s="2">
        <f t="shared" si="61"/>
        <v>45000</v>
      </c>
      <c r="R179" s="2">
        <f t="shared" si="39"/>
        <v>745000</v>
      </c>
    </row>
    <row r="180" spans="1:18" s="11" customFormat="1" ht="35.25" customHeight="1" x14ac:dyDescent="0.2">
      <c r="A180" s="60">
        <v>1115021</v>
      </c>
      <c r="B180" s="67" t="s">
        <v>64</v>
      </c>
      <c r="C180" s="67" t="s">
        <v>36</v>
      </c>
      <c r="D180" s="18" t="s">
        <v>253</v>
      </c>
      <c r="E180" s="5">
        <v>1136000</v>
      </c>
      <c r="F180" s="12">
        <f t="shared" si="52"/>
        <v>0</v>
      </c>
      <c r="G180" s="5"/>
      <c r="H180" s="5"/>
      <c r="I180" s="5">
        <f t="shared" si="63"/>
        <v>1136000</v>
      </c>
      <c r="J180" s="5">
        <v>0</v>
      </c>
      <c r="K180" s="5">
        <f t="shared" si="66"/>
        <v>0</v>
      </c>
      <c r="L180" s="5"/>
      <c r="M180" s="5"/>
      <c r="N180" s="5"/>
      <c r="O180" s="5">
        <f t="shared" si="67"/>
        <v>0</v>
      </c>
      <c r="P180" s="2">
        <f t="shared" si="60"/>
        <v>1136000</v>
      </c>
      <c r="Q180" s="2">
        <f t="shared" si="61"/>
        <v>0</v>
      </c>
      <c r="R180" s="2">
        <f t="shared" ref="R180:R256" si="68">P180+Q180</f>
        <v>1136000</v>
      </c>
    </row>
    <row r="181" spans="1:18" s="11" customFormat="1" ht="25.5" customHeight="1" x14ac:dyDescent="0.2">
      <c r="A181" s="60">
        <v>1115022</v>
      </c>
      <c r="B181" s="67" t="s">
        <v>65</v>
      </c>
      <c r="C181" s="67" t="s">
        <v>235</v>
      </c>
      <c r="D181" s="18" t="s">
        <v>254</v>
      </c>
      <c r="E181" s="5">
        <v>150000</v>
      </c>
      <c r="F181" s="12">
        <f t="shared" si="52"/>
        <v>30000</v>
      </c>
      <c r="G181" s="5">
        <v>30000</v>
      </c>
      <c r="H181" s="5"/>
      <c r="I181" s="5">
        <f t="shared" si="63"/>
        <v>180000</v>
      </c>
      <c r="J181" s="5">
        <v>0</v>
      </c>
      <c r="K181" s="5">
        <f t="shared" si="66"/>
        <v>0</v>
      </c>
      <c r="L181" s="5"/>
      <c r="M181" s="5"/>
      <c r="N181" s="5"/>
      <c r="O181" s="5">
        <f t="shared" si="67"/>
        <v>0</v>
      </c>
      <c r="P181" s="2">
        <f t="shared" si="60"/>
        <v>150000</v>
      </c>
      <c r="Q181" s="2">
        <f t="shared" si="61"/>
        <v>30000</v>
      </c>
      <c r="R181" s="2">
        <f t="shared" si="68"/>
        <v>180000</v>
      </c>
    </row>
    <row r="182" spans="1:18" s="11" customFormat="1" ht="24" x14ac:dyDescent="0.2">
      <c r="A182" s="60">
        <v>1115041</v>
      </c>
      <c r="B182" s="67" t="s">
        <v>234</v>
      </c>
      <c r="C182" s="67" t="s">
        <v>36</v>
      </c>
      <c r="D182" s="18" t="s">
        <v>233</v>
      </c>
      <c r="E182" s="5">
        <v>8000000</v>
      </c>
      <c r="F182" s="12">
        <f t="shared" si="52"/>
        <v>250000</v>
      </c>
      <c r="G182" s="5">
        <f>200000+50000</f>
        <v>250000</v>
      </c>
      <c r="H182" s="5"/>
      <c r="I182" s="5">
        <f t="shared" si="63"/>
        <v>8250000</v>
      </c>
      <c r="J182" s="5">
        <v>0</v>
      </c>
      <c r="K182" s="5">
        <f t="shared" si="66"/>
        <v>211000</v>
      </c>
      <c r="L182" s="5"/>
      <c r="M182" s="5"/>
      <c r="N182" s="5">
        <f>211000</f>
        <v>211000</v>
      </c>
      <c r="O182" s="5">
        <f t="shared" si="67"/>
        <v>211000</v>
      </c>
      <c r="P182" s="2">
        <f t="shared" si="60"/>
        <v>8000000</v>
      </c>
      <c r="Q182" s="2">
        <f t="shared" si="61"/>
        <v>461000</v>
      </c>
      <c r="R182" s="2">
        <f t="shared" si="68"/>
        <v>8461000</v>
      </c>
    </row>
    <row r="183" spans="1:18" s="11" customFormat="1" ht="28.5" customHeight="1" x14ac:dyDescent="0.2">
      <c r="A183" s="60">
        <v>1115049</v>
      </c>
      <c r="B183" s="67" t="s">
        <v>552</v>
      </c>
      <c r="C183" s="67" t="s">
        <v>36</v>
      </c>
      <c r="D183" s="18" t="s">
        <v>553</v>
      </c>
      <c r="E183" s="5"/>
      <c r="F183" s="12">
        <f t="shared" si="52"/>
        <v>98092</v>
      </c>
      <c r="G183" s="5">
        <v>98092</v>
      </c>
      <c r="H183" s="5"/>
      <c r="I183" s="5">
        <f t="shared" si="63"/>
        <v>98092</v>
      </c>
      <c r="J183" s="5"/>
      <c r="K183" s="5">
        <f t="shared" si="66"/>
        <v>0</v>
      </c>
      <c r="L183" s="5"/>
      <c r="M183" s="5"/>
      <c r="N183" s="5"/>
      <c r="O183" s="5">
        <f t="shared" si="67"/>
        <v>0</v>
      </c>
      <c r="P183" s="2">
        <f t="shared" si="60"/>
        <v>0</v>
      </c>
      <c r="Q183" s="2">
        <f t="shared" si="61"/>
        <v>98092</v>
      </c>
      <c r="R183" s="2">
        <f t="shared" si="68"/>
        <v>98092</v>
      </c>
    </row>
    <row r="184" spans="1:18" s="11" customFormat="1" ht="51.75" customHeight="1" x14ac:dyDescent="0.2">
      <c r="A184" s="60"/>
      <c r="B184" s="67"/>
      <c r="C184" s="67"/>
      <c r="D184" s="18" t="s">
        <v>554</v>
      </c>
      <c r="E184" s="5">
        <f>E183</f>
        <v>0</v>
      </c>
      <c r="F184" s="5">
        <f t="shared" ref="F184:R184" si="69">F183</f>
        <v>98092</v>
      </c>
      <c r="G184" s="5">
        <f t="shared" si="69"/>
        <v>98092</v>
      </c>
      <c r="H184" s="5">
        <f t="shared" si="69"/>
        <v>0</v>
      </c>
      <c r="I184" s="5">
        <f t="shared" si="69"/>
        <v>98092</v>
      </c>
      <c r="J184" s="5">
        <f t="shared" si="69"/>
        <v>0</v>
      </c>
      <c r="K184" s="5">
        <f t="shared" si="69"/>
        <v>0</v>
      </c>
      <c r="L184" s="5">
        <f t="shared" si="69"/>
        <v>0</v>
      </c>
      <c r="M184" s="5">
        <f t="shared" si="69"/>
        <v>0</v>
      </c>
      <c r="N184" s="5">
        <f t="shared" si="69"/>
        <v>0</v>
      </c>
      <c r="O184" s="5">
        <f t="shared" si="69"/>
        <v>0</v>
      </c>
      <c r="P184" s="5">
        <f t="shared" si="69"/>
        <v>0</v>
      </c>
      <c r="Q184" s="5">
        <f t="shared" si="69"/>
        <v>98092</v>
      </c>
      <c r="R184" s="5">
        <f t="shared" si="69"/>
        <v>98092</v>
      </c>
    </row>
    <row r="185" spans="1:18" s="11" customFormat="1" ht="48" x14ac:dyDescent="0.2">
      <c r="A185" s="60">
        <v>1115061</v>
      </c>
      <c r="B185" s="67" t="s">
        <v>67</v>
      </c>
      <c r="C185" s="67" t="s">
        <v>36</v>
      </c>
      <c r="D185" s="18" t="s">
        <v>68</v>
      </c>
      <c r="E185" s="5">
        <v>1200000</v>
      </c>
      <c r="F185" s="12">
        <f t="shared" si="52"/>
        <v>50000</v>
      </c>
      <c r="G185" s="5">
        <v>50000</v>
      </c>
      <c r="H185" s="5"/>
      <c r="I185" s="5">
        <f t="shared" si="63"/>
        <v>1250000</v>
      </c>
      <c r="J185" s="5">
        <v>0</v>
      </c>
      <c r="K185" s="5">
        <f t="shared" si="66"/>
        <v>0</v>
      </c>
      <c r="L185" s="5"/>
      <c r="M185" s="5"/>
      <c r="N185" s="5"/>
      <c r="O185" s="5">
        <f t="shared" si="67"/>
        <v>0</v>
      </c>
      <c r="P185" s="2">
        <f t="shared" si="60"/>
        <v>1200000</v>
      </c>
      <c r="Q185" s="2">
        <f t="shared" si="61"/>
        <v>50000</v>
      </c>
      <c r="R185" s="2">
        <f t="shared" si="68"/>
        <v>1250000</v>
      </c>
    </row>
    <row r="186" spans="1:18" s="11" customFormat="1" ht="36" x14ac:dyDescent="0.2">
      <c r="A186" s="60">
        <v>1115062</v>
      </c>
      <c r="B186" s="67" t="s">
        <v>69</v>
      </c>
      <c r="C186" s="67" t="s">
        <v>36</v>
      </c>
      <c r="D186" s="18" t="s">
        <v>70</v>
      </c>
      <c r="E186" s="5">
        <v>30000000</v>
      </c>
      <c r="F186" s="12">
        <f t="shared" si="52"/>
        <v>11103000</v>
      </c>
      <c r="G186" s="5">
        <f>8000+11095000</f>
        <v>11103000</v>
      </c>
      <c r="H186" s="5"/>
      <c r="I186" s="5">
        <f t="shared" si="63"/>
        <v>41103000</v>
      </c>
      <c r="J186" s="5">
        <v>0</v>
      </c>
      <c r="K186" s="5">
        <f t="shared" si="66"/>
        <v>0</v>
      </c>
      <c r="L186" s="5"/>
      <c r="M186" s="5"/>
      <c r="N186" s="5"/>
      <c r="O186" s="5">
        <f t="shared" si="67"/>
        <v>0</v>
      </c>
      <c r="P186" s="2">
        <f t="shared" si="60"/>
        <v>30000000</v>
      </c>
      <c r="Q186" s="2">
        <f t="shared" si="61"/>
        <v>11103000</v>
      </c>
      <c r="R186" s="2">
        <f t="shared" si="68"/>
        <v>41103000</v>
      </c>
    </row>
    <row r="187" spans="1:18" s="4" customFormat="1" ht="38.25" x14ac:dyDescent="0.2">
      <c r="A187" s="17" t="s">
        <v>123</v>
      </c>
      <c r="B187" s="1"/>
      <c r="C187" s="1"/>
      <c r="D187" s="62" t="s">
        <v>328</v>
      </c>
      <c r="E187" s="2">
        <f t="shared" ref="E187" si="70">SUM(E189:E198)</f>
        <v>272060000</v>
      </c>
      <c r="F187" s="12">
        <f t="shared" si="52"/>
        <v>73911099</v>
      </c>
      <c r="G187" s="2">
        <f t="shared" ref="G187:H187" si="71">SUM(G189:G198)</f>
        <v>73911099</v>
      </c>
      <c r="H187" s="2">
        <f t="shared" si="71"/>
        <v>0</v>
      </c>
      <c r="I187" s="5">
        <f t="shared" si="63"/>
        <v>345971099</v>
      </c>
      <c r="J187" s="2">
        <f>SUM(J188:J198)</f>
        <v>78130000</v>
      </c>
      <c r="K187" s="2">
        <f>SUM(K188:K198)</f>
        <v>39248745</v>
      </c>
      <c r="L187" s="2">
        <f t="shared" ref="L187:O187" si="72">SUM(L188:L198)</f>
        <v>0</v>
      </c>
      <c r="M187" s="2">
        <f t="shared" si="72"/>
        <v>94628</v>
      </c>
      <c r="N187" s="2">
        <f t="shared" si="72"/>
        <v>39154117</v>
      </c>
      <c r="O187" s="2">
        <f t="shared" si="72"/>
        <v>117378745</v>
      </c>
      <c r="P187" s="2">
        <f>E187+J187</f>
        <v>350190000</v>
      </c>
      <c r="Q187" s="2">
        <f t="shared" si="61"/>
        <v>113159844</v>
      </c>
      <c r="R187" s="2">
        <f t="shared" si="68"/>
        <v>463349844</v>
      </c>
    </row>
    <row r="188" spans="1:18" s="4" customFormat="1" ht="38.25" x14ac:dyDescent="0.2">
      <c r="A188" s="17" t="s">
        <v>124</v>
      </c>
      <c r="B188" s="1"/>
      <c r="C188" s="1"/>
      <c r="D188" s="62" t="s">
        <v>328</v>
      </c>
      <c r="E188" s="2"/>
      <c r="F188" s="12">
        <f t="shared" si="52"/>
        <v>0</v>
      </c>
      <c r="G188" s="2"/>
      <c r="H188" s="2"/>
      <c r="I188" s="5">
        <f t="shared" si="63"/>
        <v>0</v>
      </c>
      <c r="J188" s="5"/>
      <c r="K188" s="5"/>
      <c r="L188" s="2"/>
      <c r="M188" s="2"/>
      <c r="N188" s="2"/>
      <c r="O188" s="2"/>
      <c r="P188" s="2">
        <f t="shared" si="60"/>
        <v>0</v>
      </c>
      <c r="Q188" s="2">
        <f t="shared" si="61"/>
        <v>0</v>
      </c>
      <c r="R188" s="2">
        <f t="shared" si="68"/>
        <v>0</v>
      </c>
    </row>
    <row r="189" spans="1:18" s="11" customFormat="1" ht="36" x14ac:dyDescent="0.2">
      <c r="A189" s="66" t="s">
        <v>125</v>
      </c>
      <c r="B189" s="67" t="s">
        <v>61</v>
      </c>
      <c r="C189" s="67" t="s">
        <v>22</v>
      </c>
      <c r="D189" s="18" t="s">
        <v>450</v>
      </c>
      <c r="E189" s="5">
        <v>10760000</v>
      </c>
      <c r="F189" s="12">
        <f t="shared" si="52"/>
        <v>46390</v>
      </c>
      <c r="G189" s="5">
        <v>46390</v>
      </c>
      <c r="H189" s="5"/>
      <c r="I189" s="5">
        <f t="shared" si="63"/>
        <v>10806390</v>
      </c>
      <c r="J189" s="5">
        <v>0</v>
      </c>
      <c r="K189" s="5">
        <f t="shared" ref="K189:K198" si="73">M189+N189</f>
        <v>0</v>
      </c>
      <c r="L189" s="5"/>
      <c r="M189" s="5"/>
      <c r="N189" s="5"/>
      <c r="O189" s="5">
        <f t="shared" ref="O189:O198" si="74">J189+K189</f>
        <v>0</v>
      </c>
      <c r="P189" s="2">
        <f t="shared" si="60"/>
        <v>10760000</v>
      </c>
      <c r="Q189" s="2">
        <f t="shared" si="61"/>
        <v>46390</v>
      </c>
      <c r="R189" s="2">
        <f t="shared" si="68"/>
        <v>10806390</v>
      </c>
    </row>
    <row r="190" spans="1:18" s="11" customFormat="1" ht="12.75" x14ac:dyDescent="0.2">
      <c r="A190" s="66" t="s">
        <v>220</v>
      </c>
      <c r="B190" s="67" t="s">
        <v>11</v>
      </c>
      <c r="C190" s="67" t="s">
        <v>14</v>
      </c>
      <c r="D190" s="18" t="s">
        <v>320</v>
      </c>
      <c r="E190" s="5">
        <v>5100000</v>
      </c>
      <c r="F190" s="12">
        <f t="shared" si="52"/>
        <v>1131505</v>
      </c>
      <c r="G190" s="5">
        <f>1131505</f>
        <v>1131505</v>
      </c>
      <c r="H190" s="5"/>
      <c r="I190" s="5">
        <f t="shared" si="63"/>
        <v>6231505</v>
      </c>
      <c r="J190" s="5">
        <v>0</v>
      </c>
      <c r="K190" s="5">
        <f t="shared" si="73"/>
        <v>0</v>
      </c>
      <c r="L190" s="5"/>
      <c r="M190" s="5"/>
      <c r="N190" s="5"/>
      <c r="O190" s="5">
        <f t="shared" si="74"/>
        <v>0</v>
      </c>
      <c r="P190" s="2">
        <f t="shared" si="60"/>
        <v>5100000</v>
      </c>
      <c r="Q190" s="2">
        <f t="shared" si="61"/>
        <v>1131505</v>
      </c>
      <c r="R190" s="2">
        <f t="shared" si="68"/>
        <v>6231505</v>
      </c>
    </row>
    <row r="191" spans="1:18" s="11" customFormat="1" ht="24" x14ac:dyDescent="0.2">
      <c r="A191" s="66" t="s">
        <v>453</v>
      </c>
      <c r="B191" s="67" t="s">
        <v>454</v>
      </c>
      <c r="C191" s="67" t="s">
        <v>46</v>
      </c>
      <c r="D191" s="18" t="s">
        <v>478</v>
      </c>
      <c r="E191" s="5">
        <v>500000</v>
      </c>
      <c r="F191" s="12">
        <f t="shared" si="52"/>
        <v>-180168</v>
      </c>
      <c r="G191" s="5">
        <f>-180168</f>
        <v>-180168</v>
      </c>
      <c r="H191" s="5"/>
      <c r="I191" s="5">
        <f t="shared" si="63"/>
        <v>319832</v>
      </c>
      <c r="J191" s="5"/>
      <c r="K191" s="5">
        <f t="shared" si="73"/>
        <v>0</v>
      </c>
      <c r="L191" s="5"/>
      <c r="M191" s="5"/>
      <c r="N191" s="5"/>
      <c r="O191" s="5">
        <f t="shared" si="74"/>
        <v>0</v>
      </c>
      <c r="P191" s="2"/>
      <c r="Q191" s="2">
        <f t="shared" si="61"/>
        <v>-180168</v>
      </c>
      <c r="R191" s="2">
        <f t="shared" si="68"/>
        <v>-180168</v>
      </c>
    </row>
    <row r="192" spans="1:18" s="11" customFormat="1" ht="24" x14ac:dyDescent="0.2">
      <c r="A192" s="66" t="s">
        <v>439</v>
      </c>
      <c r="B192" s="67" t="s">
        <v>227</v>
      </c>
      <c r="C192" s="67" t="s">
        <v>24</v>
      </c>
      <c r="D192" s="18" t="s">
        <v>228</v>
      </c>
      <c r="E192" s="5">
        <v>6100000</v>
      </c>
      <c r="F192" s="12">
        <f t="shared" ref="F192:F255" si="75">G192+H192</f>
        <v>9541908</v>
      </c>
      <c r="G192" s="5">
        <f>9541908</f>
        <v>9541908</v>
      </c>
      <c r="H192" s="5"/>
      <c r="I192" s="5">
        <f t="shared" si="63"/>
        <v>15641908</v>
      </c>
      <c r="J192" s="5"/>
      <c r="K192" s="5">
        <f t="shared" si="73"/>
        <v>0</v>
      </c>
      <c r="L192" s="5"/>
      <c r="M192" s="5"/>
      <c r="N192" s="5"/>
      <c r="O192" s="5">
        <f t="shared" si="74"/>
        <v>0</v>
      </c>
      <c r="P192" s="2">
        <f t="shared" si="60"/>
        <v>6100000</v>
      </c>
      <c r="Q192" s="2">
        <f t="shared" si="61"/>
        <v>9541908</v>
      </c>
      <c r="R192" s="2">
        <f t="shared" si="68"/>
        <v>15641908</v>
      </c>
    </row>
    <row r="193" spans="1:18" s="11" customFormat="1" ht="24" x14ac:dyDescent="0.2">
      <c r="A193" s="66" t="s">
        <v>315</v>
      </c>
      <c r="B193" s="67" t="s">
        <v>316</v>
      </c>
      <c r="C193" s="67" t="s">
        <v>24</v>
      </c>
      <c r="D193" s="18" t="s">
        <v>317</v>
      </c>
      <c r="E193" s="5">
        <v>100000</v>
      </c>
      <c r="F193" s="12">
        <f t="shared" si="75"/>
        <v>0</v>
      </c>
      <c r="G193" s="5"/>
      <c r="H193" s="5"/>
      <c r="I193" s="5">
        <f t="shared" si="63"/>
        <v>100000</v>
      </c>
      <c r="J193" s="5">
        <v>0</v>
      </c>
      <c r="K193" s="5">
        <f t="shared" si="73"/>
        <v>0</v>
      </c>
      <c r="L193" s="5"/>
      <c r="M193" s="5"/>
      <c r="N193" s="5"/>
      <c r="O193" s="5">
        <f t="shared" si="74"/>
        <v>0</v>
      </c>
      <c r="P193" s="2">
        <f t="shared" si="60"/>
        <v>100000</v>
      </c>
      <c r="Q193" s="2">
        <f t="shared" si="61"/>
        <v>0</v>
      </c>
      <c r="R193" s="2">
        <f t="shared" si="68"/>
        <v>100000</v>
      </c>
    </row>
    <row r="194" spans="1:18" s="11" customFormat="1" ht="12.75" x14ac:dyDescent="0.2">
      <c r="A194" s="66" t="s">
        <v>126</v>
      </c>
      <c r="B194" s="67" t="s">
        <v>96</v>
      </c>
      <c r="C194" s="67" t="s">
        <v>24</v>
      </c>
      <c r="D194" s="18" t="s">
        <v>97</v>
      </c>
      <c r="E194" s="5">
        <f>242500000+10000000-3000000</f>
        <v>249500000</v>
      </c>
      <c r="F194" s="12">
        <f t="shared" si="75"/>
        <v>63371464</v>
      </c>
      <c r="G194" s="5">
        <f>63371464</f>
        <v>63371464</v>
      </c>
      <c r="H194" s="5"/>
      <c r="I194" s="5">
        <f t="shared" si="63"/>
        <v>312871464</v>
      </c>
      <c r="J194" s="5">
        <v>0</v>
      </c>
      <c r="K194" s="5">
        <f t="shared" si="73"/>
        <v>0</v>
      </c>
      <c r="L194" s="5"/>
      <c r="M194" s="5"/>
      <c r="N194" s="5"/>
      <c r="O194" s="5">
        <f t="shared" si="74"/>
        <v>0</v>
      </c>
      <c r="P194" s="2">
        <f t="shared" si="60"/>
        <v>249500000</v>
      </c>
      <c r="Q194" s="2">
        <f t="shared" si="61"/>
        <v>63371464</v>
      </c>
      <c r="R194" s="2">
        <f t="shared" si="68"/>
        <v>312871464</v>
      </c>
    </row>
    <row r="195" spans="1:18" s="11" customFormat="1" ht="24" x14ac:dyDescent="0.2">
      <c r="A195" s="66" t="s">
        <v>510</v>
      </c>
      <c r="B195" s="67" t="s">
        <v>229</v>
      </c>
      <c r="C195" s="67" t="s">
        <v>206</v>
      </c>
      <c r="D195" s="18" t="s">
        <v>487</v>
      </c>
      <c r="E195" s="5"/>
      <c r="F195" s="12">
        <f t="shared" si="75"/>
        <v>0</v>
      </c>
      <c r="G195" s="5"/>
      <c r="H195" s="5"/>
      <c r="I195" s="5">
        <f t="shared" si="63"/>
        <v>0</v>
      </c>
      <c r="J195" s="5"/>
      <c r="K195" s="5">
        <f t="shared" si="73"/>
        <v>13927246</v>
      </c>
      <c r="L195" s="5"/>
      <c r="M195" s="5"/>
      <c r="N195" s="5">
        <f>13927246</f>
        <v>13927246</v>
      </c>
      <c r="O195" s="5">
        <f t="shared" ref="O195" si="76">K195+J195</f>
        <v>13927246</v>
      </c>
      <c r="P195" s="2">
        <f t="shared" si="60"/>
        <v>0</v>
      </c>
      <c r="Q195" s="2">
        <f t="shared" si="61"/>
        <v>13927246</v>
      </c>
      <c r="R195" s="2">
        <f t="shared" si="68"/>
        <v>13927246</v>
      </c>
    </row>
    <row r="196" spans="1:18" s="11" customFormat="1" ht="24" x14ac:dyDescent="0.2">
      <c r="A196" s="66" t="s">
        <v>127</v>
      </c>
      <c r="B196" s="67" t="s">
        <v>79</v>
      </c>
      <c r="C196" s="67" t="s">
        <v>25</v>
      </c>
      <c r="D196" s="18" t="s">
        <v>9</v>
      </c>
      <c r="E196" s="5"/>
      <c r="F196" s="12">
        <f t="shared" si="75"/>
        <v>0</v>
      </c>
      <c r="G196" s="5"/>
      <c r="H196" s="5"/>
      <c r="I196" s="5">
        <f t="shared" si="63"/>
        <v>0</v>
      </c>
      <c r="J196" s="5">
        <v>78000000</v>
      </c>
      <c r="K196" s="5">
        <f t="shared" si="73"/>
        <v>25226871</v>
      </c>
      <c r="L196" s="5"/>
      <c r="M196" s="5"/>
      <c r="N196" s="5">
        <f>25226871</f>
        <v>25226871</v>
      </c>
      <c r="O196" s="5">
        <f t="shared" si="74"/>
        <v>103226871</v>
      </c>
      <c r="P196" s="2">
        <f t="shared" si="60"/>
        <v>78000000</v>
      </c>
      <c r="Q196" s="2">
        <f t="shared" si="61"/>
        <v>25226871</v>
      </c>
      <c r="R196" s="2">
        <f t="shared" si="68"/>
        <v>103226871</v>
      </c>
    </row>
    <row r="197" spans="1:18" s="11" customFormat="1" ht="84" x14ac:dyDescent="0.2">
      <c r="A197" s="66" t="s">
        <v>511</v>
      </c>
      <c r="B197" s="67" t="s">
        <v>262</v>
      </c>
      <c r="C197" s="67" t="s">
        <v>25</v>
      </c>
      <c r="D197" s="18" t="s">
        <v>263</v>
      </c>
      <c r="E197" s="5"/>
      <c r="F197" s="12">
        <f t="shared" si="75"/>
        <v>0</v>
      </c>
      <c r="G197" s="5"/>
      <c r="H197" s="5"/>
      <c r="I197" s="5">
        <f t="shared" ref="I197" si="77">E197+F197</f>
        <v>0</v>
      </c>
      <c r="J197" s="5"/>
      <c r="K197" s="5">
        <f t="shared" si="73"/>
        <v>94628</v>
      </c>
      <c r="L197" s="5"/>
      <c r="M197" s="5">
        <f>94628</f>
        <v>94628</v>
      </c>
      <c r="N197" s="5"/>
      <c r="O197" s="5">
        <f t="shared" si="74"/>
        <v>94628</v>
      </c>
      <c r="P197" s="2">
        <f t="shared" si="60"/>
        <v>0</v>
      </c>
      <c r="Q197" s="2">
        <f t="shared" ref="Q197" si="78">F197+K197</f>
        <v>94628</v>
      </c>
      <c r="R197" s="2">
        <f t="shared" ref="R197" si="79">P197+Q197</f>
        <v>94628</v>
      </c>
    </row>
    <row r="198" spans="1:18" s="11" customFormat="1" ht="24" x14ac:dyDescent="0.2">
      <c r="A198" s="66" t="s">
        <v>289</v>
      </c>
      <c r="B198" s="67" t="s">
        <v>98</v>
      </c>
      <c r="C198" s="67" t="s">
        <v>16</v>
      </c>
      <c r="D198" s="18" t="s">
        <v>6</v>
      </c>
      <c r="E198" s="5"/>
      <c r="F198" s="12">
        <f t="shared" si="75"/>
        <v>0</v>
      </c>
      <c r="G198" s="5"/>
      <c r="H198" s="5"/>
      <c r="I198" s="5">
        <f t="shared" si="63"/>
        <v>0</v>
      </c>
      <c r="J198" s="5">
        <v>130000</v>
      </c>
      <c r="K198" s="5">
        <f t="shared" si="73"/>
        <v>0</v>
      </c>
      <c r="L198" s="5"/>
      <c r="M198" s="5"/>
      <c r="N198" s="5"/>
      <c r="O198" s="5">
        <f t="shared" si="74"/>
        <v>130000</v>
      </c>
      <c r="P198" s="2">
        <f t="shared" si="60"/>
        <v>130000</v>
      </c>
      <c r="Q198" s="2">
        <f t="shared" si="61"/>
        <v>0</v>
      </c>
      <c r="R198" s="2">
        <f t="shared" si="68"/>
        <v>130000</v>
      </c>
    </row>
    <row r="199" spans="1:18" s="4" customFormat="1" ht="25.5" x14ac:dyDescent="0.2">
      <c r="A199" s="17" t="s">
        <v>324</v>
      </c>
      <c r="B199" s="1"/>
      <c r="C199" s="1"/>
      <c r="D199" s="62" t="s">
        <v>326</v>
      </c>
      <c r="E199" s="2">
        <f>SUM(E201:E206)</f>
        <v>124345000</v>
      </c>
      <c r="F199" s="12">
        <f t="shared" si="75"/>
        <v>-4231151</v>
      </c>
      <c r="G199" s="2">
        <f>SUM(G201:G206)</f>
        <v>-4231151</v>
      </c>
      <c r="H199" s="2">
        <f>SUM(H201:H206)</f>
        <v>0</v>
      </c>
      <c r="I199" s="5">
        <f t="shared" si="63"/>
        <v>120113849</v>
      </c>
      <c r="J199" s="2">
        <f>SUM(J200:J207)</f>
        <v>20000000</v>
      </c>
      <c r="K199" s="2">
        <f>SUM(K200:K207)</f>
        <v>38937417</v>
      </c>
      <c r="L199" s="2">
        <f t="shared" ref="L199:O199" si="80">SUM(L200:L207)</f>
        <v>0</v>
      </c>
      <c r="M199" s="2">
        <f t="shared" si="80"/>
        <v>338900</v>
      </c>
      <c r="N199" s="2">
        <f t="shared" si="80"/>
        <v>38598517</v>
      </c>
      <c r="O199" s="2">
        <f t="shared" si="80"/>
        <v>58937417</v>
      </c>
      <c r="P199" s="2">
        <f>E199+J199</f>
        <v>144345000</v>
      </c>
      <c r="Q199" s="2">
        <f t="shared" si="61"/>
        <v>34706266</v>
      </c>
      <c r="R199" s="2">
        <f t="shared" si="68"/>
        <v>179051266</v>
      </c>
    </row>
    <row r="200" spans="1:18" s="4" customFormat="1" ht="25.5" x14ac:dyDescent="0.2">
      <c r="A200" s="17" t="s">
        <v>325</v>
      </c>
      <c r="B200" s="1"/>
      <c r="C200" s="1"/>
      <c r="D200" s="62" t="s">
        <v>326</v>
      </c>
      <c r="E200" s="2"/>
      <c r="F200" s="12">
        <f t="shared" si="75"/>
        <v>0</v>
      </c>
      <c r="G200" s="2"/>
      <c r="H200" s="2"/>
      <c r="I200" s="5">
        <f t="shared" si="63"/>
        <v>0</v>
      </c>
      <c r="J200" s="5"/>
      <c r="K200" s="5">
        <f t="shared" ref="K200:K207" si="81">M200+N200</f>
        <v>0</v>
      </c>
      <c r="L200" s="2"/>
      <c r="M200" s="2"/>
      <c r="N200" s="2"/>
      <c r="O200" s="2">
        <f t="shared" ref="O200:O207" si="82">J200+K200</f>
        <v>0</v>
      </c>
      <c r="P200" s="2">
        <f t="shared" si="60"/>
        <v>0</v>
      </c>
      <c r="Q200" s="2">
        <f t="shared" si="61"/>
        <v>0</v>
      </c>
      <c r="R200" s="2">
        <f t="shared" si="68"/>
        <v>0</v>
      </c>
    </row>
    <row r="201" spans="1:18" s="11" customFormat="1" ht="36" x14ac:dyDescent="0.2">
      <c r="A201" s="66" t="s">
        <v>327</v>
      </c>
      <c r="B201" s="67" t="s">
        <v>61</v>
      </c>
      <c r="C201" s="67" t="s">
        <v>22</v>
      </c>
      <c r="D201" s="18" t="s">
        <v>450</v>
      </c>
      <c r="E201" s="5">
        <v>6145000</v>
      </c>
      <c r="F201" s="12">
        <f t="shared" si="75"/>
        <v>0</v>
      </c>
      <c r="G201" s="5"/>
      <c r="H201" s="5"/>
      <c r="I201" s="5">
        <f t="shared" si="63"/>
        <v>6145000</v>
      </c>
      <c r="J201" s="5">
        <v>0</v>
      </c>
      <c r="K201" s="5">
        <f t="shared" si="81"/>
        <v>0</v>
      </c>
      <c r="L201" s="5"/>
      <c r="M201" s="5"/>
      <c r="N201" s="5"/>
      <c r="O201" s="5">
        <f t="shared" si="82"/>
        <v>0</v>
      </c>
      <c r="P201" s="2">
        <f>E201+J201</f>
        <v>6145000</v>
      </c>
      <c r="Q201" s="2">
        <f t="shared" si="61"/>
        <v>0</v>
      </c>
      <c r="R201" s="2">
        <f t="shared" si="68"/>
        <v>6145000</v>
      </c>
    </row>
    <row r="202" spans="1:18" s="11" customFormat="1" ht="12.75" x14ac:dyDescent="0.2">
      <c r="A202" s="66" t="s">
        <v>358</v>
      </c>
      <c r="B202" s="67" t="s">
        <v>11</v>
      </c>
      <c r="C202" s="67" t="s">
        <v>14</v>
      </c>
      <c r="D202" s="18" t="s">
        <v>320</v>
      </c>
      <c r="E202" s="5">
        <v>3300000</v>
      </c>
      <c r="F202" s="12">
        <f t="shared" si="75"/>
        <v>458000</v>
      </c>
      <c r="G202" s="5">
        <f>458000</f>
        <v>458000</v>
      </c>
      <c r="H202" s="5"/>
      <c r="I202" s="5">
        <f t="shared" si="63"/>
        <v>3758000</v>
      </c>
      <c r="J202" s="5"/>
      <c r="K202" s="5">
        <f t="shared" si="81"/>
        <v>0</v>
      </c>
      <c r="L202" s="5"/>
      <c r="M202" s="5"/>
      <c r="N202" s="5"/>
      <c r="O202" s="5">
        <f t="shared" si="82"/>
        <v>0</v>
      </c>
      <c r="P202" s="2">
        <f t="shared" ref="P202:P271" si="83">E202+J202</f>
        <v>3300000</v>
      </c>
      <c r="Q202" s="2">
        <f t="shared" si="61"/>
        <v>458000</v>
      </c>
      <c r="R202" s="2">
        <f t="shared" si="68"/>
        <v>3758000</v>
      </c>
    </row>
    <row r="203" spans="1:18" s="11" customFormat="1" ht="24" x14ac:dyDescent="0.2">
      <c r="A203" s="66" t="s">
        <v>455</v>
      </c>
      <c r="B203" s="67" t="s">
        <v>94</v>
      </c>
      <c r="C203" s="67" t="s">
        <v>24</v>
      </c>
      <c r="D203" s="18" t="s">
        <v>95</v>
      </c>
      <c r="E203" s="5">
        <v>8500000</v>
      </c>
      <c r="F203" s="12">
        <f t="shared" si="75"/>
        <v>0</v>
      </c>
      <c r="G203" s="5"/>
      <c r="H203" s="5"/>
      <c r="I203" s="5">
        <f t="shared" si="63"/>
        <v>8500000</v>
      </c>
      <c r="J203" s="5"/>
      <c r="K203" s="5">
        <f t="shared" si="81"/>
        <v>0</v>
      </c>
      <c r="L203" s="5"/>
      <c r="M203" s="5"/>
      <c r="N203" s="5"/>
      <c r="O203" s="5">
        <f t="shared" si="82"/>
        <v>0</v>
      </c>
      <c r="P203" s="2"/>
      <c r="Q203" s="2">
        <f t="shared" si="61"/>
        <v>0</v>
      </c>
      <c r="R203" s="2">
        <f t="shared" si="68"/>
        <v>0</v>
      </c>
    </row>
    <row r="204" spans="1:18" s="11" customFormat="1" ht="12.75" x14ac:dyDescent="0.2">
      <c r="A204" s="66" t="s">
        <v>354</v>
      </c>
      <c r="B204" s="67" t="s">
        <v>96</v>
      </c>
      <c r="C204" s="67" t="s">
        <v>24</v>
      </c>
      <c r="D204" s="18" t="s">
        <v>97</v>
      </c>
      <c r="E204" s="5">
        <f>85000000+21400000</f>
        <v>106400000</v>
      </c>
      <c r="F204" s="12">
        <f t="shared" si="75"/>
        <v>-4689151</v>
      </c>
      <c r="G204" s="5">
        <f>-4689151</f>
        <v>-4689151</v>
      </c>
      <c r="H204" s="5"/>
      <c r="I204" s="5">
        <f t="shared" si="63"/>
        <v>101710849</v>
      </c>
      <c r="J204" s="5"/>
      <c r="K204" s="5">
        <f t="shared" si="81"/>
        <v>0</v>
      </c>
      <c r="L204" s="5"/>
      <c r="M204" s="5"/>
      <c r="N204" s="5"/>
      <c r="O204" s="5">
        <f t="shared" si="82"/>
        <v>0</v>
      </c>
      <c r="P204" s="2">
        <f t="shared" si="83"/>
        <v>106400000</v>
      </c>
      <c r="Q204" s="2">
        <f t="shared" si="61"/>
        <v>-4689151</v>
      </c>
      <c r="R204" s="2">
        <f t="shared" si="68"/>
        <v>101710849</v>
      </c>
    </row>
    <row r="205" spans="1:18" s="11" customFormat="1" ht="24" x14ac:dyDescent="0.2">
      <c r="A205" s="66" t="s">
        <v>512</v>
      </c>
      <c r="B205" s="67" t="s">
        <v>229</v>
      </c>
      <c r="C205" s="67" t="s">
        <v>206</v>
      </c>
      <c r="D205" s="18" t="s">
        <v>487</v>
      </c>
      <c r="E205" s="5"/>
      <c r="F205" s="12">
        <f t="shared" si="75"/>
        <v>0</v>
      </c>
      <c r="G205" s="5"/>
      <c r="H205" s="5"/>
      <c r="I205" s="5"/>
      <c r="J205" s="5"/>
      <c r="K205" s="5">
        <f t="shared" si="81"/>
        <v>24054464</v>
      </c>
      <c r="L205" s="5"/>
      <c r="M205" s="5"/>
      <c r="N205" s="5">
        <f>24054464</f>
        <v>24054464</v>
      </c>
      <c r="O205" s="5">
        <f t="shared" ref="O205" si="84">K205+J205</f>
        <v>24054464</v>
      </c>
      <c r="P205" s="2">
        <f t="shared" si="83"/>
        <v>0</v>
      </c>
      <c r="Q205" s="2">
        <f t="shared" si="61"/>
        <v>24054464</v>
      </c>
      <c r="R205" s="2">
        <f t="shared" si="68"/>
        <v>24054464</v>
      </c>
    </row>
    <row r="206" spans="1:18" s="11" customFormat="1" ht="24" x14ac:dyDescent="0.2">
      <c r="A206" s="66" t="s">
        <v>355</v>
      </c>
      <c r="B206" s="67" t="s">
        <v>79</v>
      </c>
      <c r="C206" s="67" t="s">
        <v>25</v>
      </c>
      <c r="D206" s="18" t="s">
        <v>53</v>
      </c>
      <c r="E206" s="5"/>
      <c r="F206" s="12">
        <f t="shared" si="75"/>
        <v>0</v>
      </c>
      <c r="G206" s="5"/>
      <c r="H206" s="5"/>
      <c r="I206" s="5">
        <f t="shared" si="63"/>
        <v>0</v>
      </c>
      <c r="J206" s="5">
        <v>20000000</v>
      </c>
      <c r="K206" s="5">
        <f t="shared" si="81"/>
        <v>14544053</v>
      </c>
      <c r="L206" s="5"/>
      <c r="M206" s="5"/>
      <c r="N206" s="5">
        <f>14544053</f>
        <v>14544053</v>
      </c>
      <c r="O206" s="5">
        <f t="shared" si="82"/>
        <v>34544053</v>
      </c>
      <c r="P206" s="2">
        <f t="shared" si="83"/>
        <v>20000000</v>
      </c>
      <c r="Q206" s="2">
        <f t="shared" si="61"/>
        <v>14544053</v>
      </c>
      <c r="R206" s="2">
        <f t="shared" si="68"/>
        <v>34544053</v>
      </c>
    </row>
    <row r="207" spans="1:18" s="11" customFormat="1" ht="24" x14ac:dyDescent="0.2">
      <c r="A207" s="66" t="s">
        <v>513</v>
      </c>
      <c r="B207" s="67" t="s">
        <v>98</v>
      </c>
      <c r="C207" s="67" t="s">
        <v>16</v>
      </c>
      <c r="D207" s="18" t="s">
        <v>6</v>
      </c>
      <c r="E207" s="5"/>
      <c r="F207" s="12">
        <f t="shared" si="75"/>
        <v>0</v>
      </c>
      <c r="G207" s="5"/>
      <c r="H207" s="5"/>
      <c r="I207" s="5">
        <f t="shared" ref="I207" si="85">E207+F207</f>
        <v>0</v>
      </c>
      <c r="J207" s="5"/>
      <c r="K207" s="5">
        <f t="shared" si="81"/>
        <v>338900</v>
      </c>
      <c r="L207" s="5"/>
      <c r="M207" s="5">
        <f>338900</f>
        <v>338900</v>
      </c>
      <c r="N207" s="5"/>
      <c r="O207" s="5">
        <f t="shared" si="82"/>
        <v>338900</v>
      </c>
      <c r="P207" s="2">
        <f t="shared" si="83"/>
        <v>0</v>
      </c>
      <c r="Q207" s="2">
        <f t="shared" ref="Q207" si="86">F207+K207</f>
        <v>338900</v>
      </c>
      <c r="R207" s="2">
        <f t="shared" ref="R207" si="87">P207+Q207</f>
        <v>338900</v>
      </c>
    </row>
    <row r="208" spans="1:18" s="4" customFormat="1" ht="25.5" x14ac:dyDescent="0.2">
      <c r="A208" s="17" t="s">
        <v>216</v>
      </c>
      <c r="B208" s="1"/>
      <c r="C208" s="1"/>
      <c r="D208" s="62" t="s">
        <v>364</v>
      </c>
      <c r="E208" s="2">
        <f>SUM(E209:E218)</f>
        <v>99825000</v>
      </c>
      <c r="F208" s="12">
        <f t="shared" si="75"/>
        <v>-21196556</v>
      </c>
      <c r="G208" s="2">
        <f>SUM(G209:G218)</f>
        <v>-21196556</v>
      </c>
      <c r="H208" s="2">
        <f>SUM(H209:H218)</f>
        <v>0</v>
      </c>
      <c r="I208" s="5">
        <f t="shared" si="63"/>
        <v>78628444</v>
      </c>
      <c r="J208" s="2">
        <f>SUM(J209:J218)</f>
        <v>235200000</v>
      </c>
      <c r="K208" s="2">
        <f>SUM(K210:K218)</f>
        <v>-31319765</v>
      </c>
      <c r="L208" s="2">
        <f>SUM(L210:L218)</f>
        <v>0</v>
      </c>
      <c r="M208" s="2">
        <f>SUM(M210:M218)</f>
        <v>0</v>
      </c>
      <c r="N208" s="2">
        <f>SUM(N210:N218)</f>
        <v>-31319765</v>
      </c>
      <c r="O208" s="2">
        <f>SUM(O210:O218)</f>
        <v>203880235</v>
      </c>
      <c r="P208" s="2">
        <f t="shared" si="83"/>
        <v>335025000</v>
      </c>
      <c r="Q208" s="2">
        <f t="shared" si="61"/>
        <v>-52516321</v>
      </c>
      <c r="R208" s="2">
        <f t="shared" si="68"/>
        <v>282508679</v>
      </c>
    </row>
    <row r="209" spans="1:18" s="4" customFormat="1" ht="25.5" x14ac:dyDescent="0.2">
      <c r="A209" s="17" t="s">
        <v>217</v>
      </c>
      <c r="B209" s="1"/>
      <c r="C209" s="1"/>
      <c r="D209" s="62" t="s">
        <v>364</v>
      </c>
      <c r="E209" s="2"/>
      <c r="F209" s="12">
        <f t="shared" si="75"/>
        <v>0</v>
      </c>
      <c r="G209" s="2"/>
      <c r="H209" s="2"/>
      <c r="I209" s="5">
        <f t="shared" si="63"/>
        <v>0</v>
      </c>
      <c r="J209" s="5"/>
      <c r="K209" s="5">
        <f t="shared" ref="K209:K218" si="88">M209+N209</f>
        <v>0</v>
      </c>
      <c r="L209" s="2"/>
      <c r="M209" s="2"/>
      <c r="N209" s="2"/>
      <c r="O209" s="2">
        <f t="shared" ref="O209:O218" si="89">J209+K209</f>
        <v>0</v>
      </c>
      <c r="P209" s="2">
        <f t="shared" si="83"/>
        <v>0</v>
      </c>
      <c r="Q209" s="2">
        <f t="shared" si="61"/>
        <v>0</v>
      </c>
      <c r="R209" s="2">
        <f t="shared" si="68"/>
        <v>0</v>
      </c>
    </row>
    <row r="210" spans="1:18" s="11" customFormat="1" ht="36" x14ac:dyDescent="0.2">
      <c r="A210" s="66" t="s">
        <v>218</v>
      </c>
      <c r="B210" s="67" t="s">
        <v>61</v>
      </c>
      <c r="C210" s="67" t="s">
        <v>22</v>
      </c>
      <c r="D210" s="18" t="s">
        <v>450</v>
      </c>
      <c r="E210" s="5">
        <v>3325000</v>
      </c>
      <c r="F210" s="12">
        <f t="shared" si="75"/>
        <v>0</v>
      </c>
      <c r="G210" s="5"/>
      <c r="H210" s="5"/>
      <c r="I210" s="5">
        <f t="shared" si="63"/>
        <v>3325000</v>
      </c>
      <c r="J210" s="5">
        <v>0</v>
      </c>
      <c r="K210" s="5">
        <f t="shared" si="88"/>
        <v>0</v>
      </c>
      <c r="L210" s="5"/>
      <c r="M210" s="5"/>
      <c r="N210" s="5"/>
      <c r="O210" s="5">
        <f t="shared" si="89"/>
        <v>0</v>
      </c>
      <c r="P210" s="2">
        <f t="shared" si="83"/>
        <v>3325000</v>
      </c>
      <c r="Q210" s="2">
        <f t="shared" si="61"/>
        <v>0</v>
      </c>
      <c r="R210" s="2">
        <f t="shared" si="68"/>
        <v>3325000</v>
      </c>
    </row>
    <row r="211" spans="1:18" s="11" customFormat="1" ht="12.75" x14ac:dyDescent="0.2">
      <c r="A211" s="67" t="s">
        <v>223</v>
      </c>
      <c r="B211" s="67" t="s">
        <v>11</v>
      </c>
      <c r="C211" s="67" t="s">
        <v>14</v>
      </c>
      <c r="D211" s="18" t="s">
        <v>166</v>
      </c>
      <c r="E211" s="5">
        <v>4500000</v>
      </c>
      <c r="F211" s="12">
        <f t="shared" si="75"/>
        <v>135680</v>
      </c>
      <c r="G211" s="5">
        <f>135680</f>
        <v>135680</v>
      </c>
      <c r="H211" s="5"/>
      <c r="I211" s="5">
        <f t="shared" si="63"/>
        <v>4635680</v>
      </c>
      <c r="J211" s="5">
        <v>700000</v>
      </c>
      <c r="K211" s="5">
        <f t="shared" si="88"/>
        <v>0</v>
      </c>
      <c r="L211" s="5"/>
      <c r="M211" s="5"/>
      <c r="N211" s="5"/>
      <c r="O211" s="5">
        <f t="shared" si="89"/>
        <v>700000</v>
      </c>
      <c r="P211" s="2">
        <f t="shared" si="83"/>
        <v>5200000</v>
      </c>
      <c r="Q211" s="2">
        <f t="shared" si="61"/>
        <v>135680</v>
      </c>
      <c r="R211" s="2">
        <f t="shared" si="68"/>
        <v>5335680</v>
      </c>
    </row>
    <row r="212" spans="1:18" s="11" customFormat="1" ht="12.75" x14ac:dyDescent="0.2">
      <c r="A212" s="66" t="s">
        <v>452</v>
      </c>
      <c r="B212" s="67" t="s">
        <v>96</v>
      </c>
      <c r="C212" s="67" t="s">
        <v>24</v>
      </c>
      <c r="D212" s="18" t="s">
        <v>97</v>
      </c>
      <c r="E212" s="5">
        <f>133000000-41000000+20000000-20000000</f>
        <v>92000000</v>
      </c>
      <c r="F212" s="12">
        <f t="shared" si="75"/>
        <v>-21332236</v>
      </c>
      <c r="G212" s="5">
        <f>-21332236</f>
        <v>-21332236</v>
      </c>
      <c r="H212" s="5"/>
      <c r="I212" s="5">
        <f t="shared" si="63"/>
        <v>70667764</v>
      </c>
      <c r="J212" s="5"/>
      <c r="K212" s="5">
        <f t="shared" si="88"/>
        <v>0</v>
      </c>
      <c r="L212" s="5"/>
      <c r="M212" s="5"/>
      <c r="N212" s="5"/>
      <c r="O212" s="5">
        <f t="shared" si="89"/>
        <v>0</v>
      </c>
      <c r="P212" s="2">
        <f t="shared" ref="P212" si="90">E212+J212</f>
        <v>92000000</v>
      </c>
      <c r="Q212" s="2">
        <f t="shared" si="61"/>
        <v>-21332236</v>
      </c>
      <c r="R212" s="2">
        <f t="shared" si="68"/>
        <v>70667764</v>
      </c>
    </row>
    <row r="213" spans="1:18" s="11" customFormat="1" ht="24" x14ac:dyDescent="0.2">
      <c r="A213" s="67" t="s">
        <v>230</v>
      </c>
      <c r="B213" s="67" t="s">
        <v>229</v>
      </c>
      <c r="C213" s="67" t="s">
        <v>206</v>
      </c>
      <c r="D213" s="18" t="s">
        <v>487</v>
      </c>
      <c r="E213" s="5"/>
      <c r="F213" s="12">
        <f t="shared" si="75"/>
        <v>0</v>
      </c>
      <c r="G213" s="5"/>
      <c r="H213" s="5"/>
      <c r="I213" s="5">
        <f t="shared" si="63"/>
        <v>0</v>
      </c>
      <c r="J213" s="5">
        <v>150000000</v>
      </c>
      <c r="K213" s="5">
        <f t="shared" si="88"/>
        <v>24584336</v>
      </c>
      <c r="L213" s="5"/>
      <c r="M213" s="5"/>
      <c r="N213" s="5">
        <f>24584336</f>
        <v>24584336</v>
      </c>
      <c r="O213" s="5">
        <f t="shared" si="89"/>
        <v>174584336</v>
      </c>
      <c r="P213" s="2">
        <f t="shared" si="83"/>
        <v>150000000</v>
      </c>
      <c r="Q213" s="2">
        <f t="shared" si="61"/>
        <v>24584336</v>
      </c>
      <c r="R213" s="2">
        <f t="shared" si="68"/>
        <v>174584336</v>
      </c>
    </row>
    <row r="214" spans="1:18" s="11" customFormat="1" ht="12.75" x14ac:dyDescent="0.2">
      <c r="A214" s="67" t="s">
        <v>514</v>
      </c>
      <c r="B214" s="67" t="s">
        <v>502</v>
      </c>
      <c r="C214" s="67" t="s">
        <v>206</v>
      </c>
      <c r="D214" s="18" t="s">
        <v>503</v>
      </c>
      <c r="E214" s="5"/>
      <c r="F214" s="12">
        <f t="shared" si="75"/>
        <v>0</v>
      </c>
      <c r="G214" s="5"/>
      <c r="H214" s="5"/>
      <c r="I214" s="5">
        <f t="shared" si="63"/>
        <v>0</v>
      </c>
      <c r="J214" s="5"/>
      <c r="K214" s="5">
        <f t="shared" si="88"/>
        <v>6000000</v>
      </c>
      <c r="L214" s="5"/>
      <c r="M214" s="5"/>
      <c r="N214" s="5">
        <f>6000000</f>
        <v>6000000</v>
      </c>
      <c r="O214" s="5">
        <f t="shared" ref="O214:O215" si="91">K214+J214</f>
        <v>6000000</v>
      </c>
      <c r="P214" s="2">
        <f t="shared" si="83"/>
        <v>0</v>
      </c>
      <c r="Q214" s="2">
        <f t="shared" si="61"/>
        <v>6000000</v>
      </c>
      <c r="R214" s="2">
        <f t="shared" si="68"/>
        <v>6000000</v>
      </c>
    </row>
    <row r="215" spans="1:18" s="11" customFormat="1" ht="12.75" x14ac:dyDescent="0.2">
      <c r="A215" s="67" t="s">
        <v>515</v>
      </c>
      <c r="B215" s="67" t="s">
        <v>508</v>
      </c>
      <c r="C215" s="67" t="s">
        <v>206</v>
      </c>
      <c r="D215" s="18" t="s">
        <v>509</v>
      </c>
      <c r="E215" s="5"/>
      <c r="F215" s="12">
        <f t="shared" si="75"/>
        <v>0</v>
      </c>
      <c r="G215" s="5"/>
      <c r="H215" s="5"/>
      <c r="I215" s="5"/>
      <c r="J215" s="5"/>
      <c r="K215" s="5">
        <f t="shared" si="88"/>
        <v>9857</v>
      </c>
      <c r="L215" s="5"/>
      <c r="M215" s="5"/>
      <c r="N215" s="5">
        <f>9857</f>
        <v>9857</v>
      </c>
      <c r="O215" s="5">
        <f t="shared" si="91"/>
        <v>9857</v>
      </c>
      <c r="P215" s="2">
        <f t="shared" si="83"/>
        <v>0</v>
      </c>
      <c r="Q215" s="2">
        <f t="shared" si="61"/>
        <v>9857</v>
      </c>
      <c r="R215" s="2">
        <f t="shared" si="68"/>
        <v>9857</v>
      </c>
    </row>
    <row r="216" spans="1:18" s="11" customFormat="1" ht="12.75" x14ac:dyDescent="0.2">
      <c r="A216" s="67" t="s">
        <v>231</v>
      </c>
      <c r="B216" s="67" t="s">
        <v>232</v>
      </c>
      <c r="C216" s="67" t="s">
        <v>206</v>
      </c>
      <c r="D216" s="18" t="s">
        <v>488</v>
      </c>
      <c r="E216" s="5"/>
      <c r="F216" s="12">
        <f t="shared" si="75"/>
        <v>0</v>
      </c>
      <c r="G216" s="5"/>
      <c r="H216" s="5"/>
      <c r="I216" s="5">
        <f t="shared" si="63"/>
        <v>0</v>
      </c>
      <c r="J216" s="5">
        <v>34500000</v>
      </c>
      <c r="K216" s="5">
        <f t="shared" si="88"/>
        <v>-12079691</v>
      </c>
      <c r="L216" s="5"/>
      <c r="M216" s="5"/>
      <c r="N216" s="5">
        <f>-12079691</f>
        <v>-12079691</v>
      </c>
      <c r="O216" s="5">
        <f t="shared" si="89"/>
        <v>22420309</v>
      </c>
      <c r="P216" s="2">
        <f t="shared" si="83"/>
        <v>34500000</v>
      </c>
      <c r="Q216" s="2">
        <f t="shared" si="61"/>
        <v>-12079691</v>
      </c>
      <c r="R216" s="2">
        <f t="shared" si="68"/>
        <v>22420309</v>
      </c>
    </row>
    <row r="217" spans="1:18" s="11" customFormat="1" ht="24" x14ac:dyDescent="0.2">
      <c r="A217" s="67" t="s">
        <v>516</v>
      </c>
      <c r="B217" s="67" t="s">
        <v>517</v>
      </c>
      <c r="C217" s="67" t="s">
        <v>206</v>
      </c>
      <c r="D217" s="18" t="s">
        <v>518</v>
      </c>
      <c r="E217" s="5"/>
      <c r="F217" s="12">
        <f t="shared" si="75"/>
        <v>0</v>
      </c>
      <c r="G217" s="5"/>
      <c r="H217" s="5"/>
      <c r="I217" s="5"/>
      <c r="J217" s="5"/>
      <c r="K217" s="5">
        <f t="shared" si="88"/>
        <v>15733</v>
      </c>
      <c r="L217" s="5"/>
      <c r="M217" s="5"/>
      <c r="N217" s="5">
        <f>15733</f>
        <v>15733</v>
      </c>
      <c r="O217" s="5">
        <f t="shared" ref="O217" si="92">K217+J217</f>
        <v>15733</v>
      </c>
      <c r="P217" s="2">
        <f t="shared" si="83"/>
        <v>0</v>
      </c>
      <c r="Q217" s="2">
        <f t="shared" si="61"/>
        <v>15733</v>
      </c>
      <c r="R217" s="2">
        <f t="shared" si="68"/>
        <v>15733</v>
      </c>
    </row>
    <row r="218" spans="1:18" s="11" customFormat="1" ht="24" x14ac:dyDescent="0.2">
      <c r="A218" s="67" t="s">
        <v>304</v>
      </c>
      <c r="B218" s="67" t="s">
        <v>273</v>
      </c>
      <c r="C218" s="67" t="s">
        <v>25</v>
      </c>
      <c r="D218" s="18" t="s">
        <v>99</v>
      </c>
      <c r="E218" s="5"/>
      <c r="F218" s="12">
        <f t="shared" si="75"/>
        <v>0</v>
      </c>
      <c r="G218" s="5"/>
      <c r="H218" s="5"/>
      <c r="I218" s="5">
        <f t="shared" si="63"/>
        <v>0</v>
      </c>
      <c r="J218" s="5">
        <v>50000000</v>
      </c>
      <c r="K218" s="5">
        <f t="shared" si="88"/>
        <v>-49850000</v>
      </c>
      <c r="L218" s="5"/>
      <c r="M218" s="5"/>
      <c r="N218" s="5">
        <f>-49850000</f>
        <v>-49850000</v>
      </c>
      <c r="O218" s="5">
        <f t="shared" si="89"/>
        <v>150000</v>
      </c>
      <c r="P218" s="2">
        <f t="shared" si="83"/>
        <v>50000000</v>
      </c>
      <c r="Q218" s="2">
        <f t="shared" si="61"/>
        <v>-49850000</v>
      </c>
      <c r="R218" s="2">
        <f t="shared" si="68"/>
        <v>150000</v>
      </c>
    </row>
    <row r="219" spans="1:18" s="4" customFormat="1" ht="25.5" x14ac:dyDescent="0.2">
      <c r="A219" s="17" t="s">
        <v>207</v>
      </c>
      <c r="B219" s="1"/>
      <c r="C219" s="1"/>
      <c r="D219" s="22" t="s">
        <v>353</v>
      </c>
      <c r="E219" s="2">
        <f>E221+E227+E222+E229</f>
        <v>24570000</v>
      </c>
      <c r="F219" s="12">
        <f t="shared" si="75"/>
        <v>0</v>
      </c>
      <c r="G219" s="2">
        <f t="shared" ref="G219:H219" si="93">G221+G227+G222</f>
        <v>0</v>
      </c>
      <c r="H219" s="2">
        <f t="shared" si="93"/>
        <v>0</v>
      </c>
      <c r="I219" s="5">
        <f t="shared" si="63"/>
        <v>24570000</v>
      </c>
      <c r="J219" s="2">
        <f>J221+J227+J222+J229+J226</f>
        <v>1000000</v>
      </c>
      <c r="K219" s="2">
        <f t="shared" ref="K219:O219" si="94">K221+K227+K222+K229+K226</f>
        <v>21385</v>
      </c>
      <c r="L219" s="2">
        <f t="shared" si="94"/>
        <v>0</v>
      </c>
      <c r="M219" s="2">
        <f t="shared" si="94"/>
        <v>0</v>
      </c>
      <c r="N219" s="2">
        <f t="shared" si="94"/>
        <v>21385</v>
      </c>
      <c r="O219" s="2">
        <f t="shared" si="94"/>
        <v>1021385</v>
      </c>
      <c r="P219" s="2">
        <f>E219+J219</f>
        <v>25570000</v>
      </c>
      <c r="Q219" s="2">
        <f t="shared" si="61"/>
        <v>21385</v>
      </c>
      <c r="R219" s="2">
        <f t="shared" si="68"/>
        <v>25591385</v>
      </c>
    </row>
    <row r="220" spans="1:18" s="4" customFormat="1" ht="25.5" x14ac:dyDescent="0.2">
      <c r="A220" s="17" t="s">
        <v>208</v>
      </c>
      <c r="B220" s="1"/>
      <c r="C220" s="1"/>
      <c r="D220" s="22" t="s">
        <v>353</v>
      </c>
      <c r="E220" s="2"/>
      <c r="F220" s="12">
        <f t="shared" si="75"/>
        <v>0</v>
      </c>
      <c r="G220" s="2"/>
      <c r="H220" s="2"/>
      <c r="I220" s="5">
        <f t="shared" si="63"/>
        <v>0</v>
      </c>
      <c r="J220" s="5"/>
      <c r="K220" s="5">
        <f t="shared" ref="K220:K232" si="95">M220+N220</f>
        <v>0</v>
      </c>
      <c r="L220" s="2"/>
      <c r="M220" s="2"/>
      <c r="N220" s="2"/>
      <c r="O220" s="2">
        <f t="shared" ref="O220:O232" si="96">J220+K220</f>
        <v>0</v>
      </c>
      <c r="P220" s="2">
        <f t="shared" si="83"/>
        <v>0</v>
      </c>
      <c r="Q220" s="2">
        <f t="shared" si="61"/>
        <v>0</v>
      </c>
      <c r="R220" s="2">
        <f t="shared" si="68"/>
        <v>0</v>
      </c>
    </row>
    <row r="221" spans="1:18" s="11" customFormat="1" ht="36" x14ac:dyDescent="0.2">
      <c r="A221" s="66" t="s">
        <v>209</v>
      </c>
      <c r="B221" s="67" t="s">
        <v>61</v>
      </c>
      <c r="C221" s="67" t="s">
        <v>22</v>
      </c>
      <c r="D221" s="18" t="s">
        <v>450</v>
      </c>
      <c r="E221" s="5">
        <v>9670000</v>
      </c>
      <c r="F221" s="12">
        <f t="shared" si="75"/>
        <v>0</v>
      </c>
      <c r="G221" s="5"/>
      <c r="H221" s="5"/>
      <c r="I221" s="5">
        <f t="shared" si="63"/>
        <v>9670000</v>
      </c>
      <c r="J221" s="5">
        <v>0</v>
      </c>
      <c r="K221" s="5">
        <f t="shared" si="95"/>
        <v>0</v>
      </c>
      <c r="L221" s="5"/>
      <c r="M221" s="5"/>
      <c r="N221" s="5"/>
      <c r="O221" s="5">
        <f t="shared" si="96"/>
        <v>0</v>
      </c>
      <c r="P221" s="2">
        <f t="shared" si="83"/>
        <v>9670000</v>
      </c>
      <c r="Q221" s="2">
        <f t="shared" si="61"/>
        <v>0</v>
      </c>
      <c r="R221" s="2">
        <f t="shared" si="68"/>
        <v>9670000</v>
      </c>
    </row>
    <row r="222" spans="1:18" s="11" customFormat="1" ht="12.75" x14ac:dyDescent="0.2">
      <c r="A222" s="66" t="s">
        <v>294</v>
      </c>
      <c r="B222" s="67" t="s">
        <v>11</v>
      </c>
      <c r="C222" s="67" t="s">
        <v>14</v>
      </c>
      <c r="D222" s="18" t="s">
        <v>166</v>
      </c>
      <c r="E222" s="5">
        <f>E224+E225</f>
        <v>10900000</v>
      </c>
      <c r="F222" s="12">
        <f t="shared" si="75"/>
        <v>0</v>
      </c>
      <c r="G222" s="5"/>
      <c r="H222" s="5"/>
      <c r="I222" s="5">
        <f t="shared" si="63"/>
        <v>10900000</v>
      </c>
      <c r="J222" s="5">
        <v>0</v>
      </c>
      <c r="K222" s="5">
        <f t="shared" si="95"/>
        <v>0</v>
      </c>
      <c r="L222" s="5"/>
      <c r="M222" s="5"/>
      <c r="N222" s="5"/>
      <c r="O222" s="5">
        <f t="shared" si="96"/>
        <v>0</v>
      </c>
      <c r="P222" s="2">
        <f t="shared" si="83"/>
        <v>10900000</v>
      </c>
      <c r="Q222" s="2">
        <f t="shared" si="61"/>
        <v>0</v>
      </c>
      <c r="R222" s="2">
        <f t="shared" si="68"/>
        <v>10900000</v>
      </c>
    </row>
    <row r="223" spans="1:18" s="11" customFormat="1" ht="12.75" x14ac:dyDescent="0.2">
      <c r="A223" s="66"/>
      <c r="B223" s="67"/>
      <c r="C223" s="67"/>
      <c r="D223" s="18" t="s">
        <v>318</v>
      </c>
      <c r="E223" s="5"/>
      <c r="F223" s="12">
        <f t="shared" si="75"/>
        <v>0</v>
      </c>
      <c r="G223" s="5"/>
      <c r="H223" s="5"/>
      <c r="I223" s="5">
        <f t="shared" si="63"/>
        <v>0</v>
      </c>
      <c r="J223" s="5">
        <v>0</v>
      </c>
      <c r="K223" s="5">
        <f t="shared" si="95"/>
        <v>0</v>
      </c>
      <c r="L223" s="5"/>
      <c r="M223" s="5"/>
      <c r="N223" s="5"/>
      <c r="O223" s="5">
        <f t="shared" si="96"/>
        <v>0</v>
      </c>
      <c r="P223" s="2">
        <f t="shared" si="83"/>
        <v>0</v>
      </c>
      <c r="Q223" s="2">
        <f t="shared" si="61"/>
        <v>0</v>
      </c>
      <c r="R223" s="2">
        <f t="shared" si="68"/>
        <v>0</v>
      </c>
    </row>
    <row r="224" spans="1:18" s="11" customFormat="1" ht="24" x14ac:dyDescent="0.2">
      <c r="A224" s="66" t="s">
        <v>294</v>
      </c>
      <c r="B224" s="67" t="s">
        <v>11</v>
      </c>
      <c r="C224" s="67" t="s">
        <v>14</v>
      </c>
      <c r="D224" s="18" t="s">
        <v>319</v>
      </c>
      <c r="E224" s="5">
        <v>5900000</v>
      </c>
      <c r="F224" s="12">
        <f t="shared" si="75"/>
        <v>0</v>
      </c>
      <c r="G224" s="5"/>
      <c r="H224" s="5"/>
      <c r="I224" s="5">
        <f t="shared" si="63"/>
        <v>5900000</v>
      </c>
      <c r="J224" s="5">
        <v>0</v>
      </c>
      <c r="K224" s="5">
        <f t="shared" si="95"/>
        <v>0</v>
      </c>
      <c r="L224" s="5"/>
      <c r="M224" s="5"/>
      <c r="N224" s="5"/>
      <c r="O224" s="5">
        <f t="shared" si="96"/>
        <v>0</v>
      </c>
      <c r="P224" s="2">
        <f t="shared" si="83"/>
        <v>5900000</v>
      </c>
      <c r="Q224" s="2">
        <f t="shared" si="61"/>
        <v>0</v>
      </c>
      <c r="R224" s="2">
        <f t="shared" si="68"/>
        <v>5900000</v>
      </c>
    </row>
    <row r="225" spans="1:18" s="11" customFormat="1" ht="24" x14ac:dyDescent="0.2">
      <c r="A225" s="66" t="s">
        <v>294</v>
      </c>
      <c r="B225" s="67" t="s">
        <v>11</v>
      </c>
      <c r="C225" s="67" t="s">
        <v>14</v>
      </c>
      <c r="D225" s="38" t="s">
        <v>475</v>
      </c>
      <c r="E225" s="5">
        <v>5000000</v>
      </c>
      <c r="F225" s="12">
        <f t="shared" si="75"/>
        <v>0</v>
      </c>
      <c r="G225" s="5"/>
      <c r="H225" s="5"/>
      <c r="I225" s="5">
        <f t="shared" si="63"/>
        <v>5000000</v>
      </c>
      <c r="J225" s="5"/>
      <c r="K225" s="5">
        <f t="shared" si="95"/>
        <v>0</v>
      </c>
      <c r="L225" s="5"/>
      <c r="M225" s="5"/>
      <c r="N225" s="5"/>
      <c r="O225" s="5">
        <f t="shared" si="96"/>
        <v>0</v>
      </c>
      <c r="P225" s="2">
        <f t="shared" si="83"/>
        <v>5000000</v>
      </c>
      <c r="Q225" s="2">
        <f t="shared" si="61"/>
        <v>0</v>
      </c>
      <c r="R225" s="2">
        <f t="shared" si="68"/>
        <v>5000000</v>
      </c>
    </row>
    <row r="226" spans="1:18" s="11" customFormat="1" ht="24.6" customHeight="1" x14ac:dyDescent="0.2">
      <c r="A226" s="66" t="s">
        <v>519</v>
      </c>
      <c r="B226" s="67" t="s">
        <v>232</v>
      </c>
      <c r="C226" s="67" t="s">
        <v>206</v>
      </c>
      <c r="D226" s="18" t="s">
        <v>494</v>
      </c>
      <c r="E226" s="5"/>
      <c r="F226" s="12">
        <f t="shared" si="75"/>
        <v>0</v>
      </c>
      <c r="G226" s="5"/>
      <c r="H226" s="5"/>
      <c r="I226" s="5"/>
      <c r="J226" s="5"/>
      <c r="K226" s="5">
        <f t="shared" si="95"/>
        <v>21385</v>
      </c>
      <c r="L226" s="5"/>
      <c r="M226" s="5"/>
      <c r="N226" s="5">
        <f>21385</f>
        <v>21385</v>
      </c>
      <c r="O226" s="5">
        <f t="shared" ref="O226" si="97">K226+J226</f>
        <v>21385</v>
      </c>
      <c r="P226" s="2">
        <f t="shared" si="83"/>
        <v>0</v>
      </c>
      <c r="Q226" s="2">
        <f t="shared" si="61"/>
        <v>21385</v>
      </c>
      <c r="R226" s="2">
        <f t="shared" si="68"/>
        <v>21385</v>
      </c>
    </row>
    <row r="227" spans="1:18" s="11" customFormat="1" ht="24" x14ac:dyDescent="0.2">
      <c r="A227" s="86" t="s">
        <v>210</v>
      </c>
      <c r="B227" s="87" t="s">
        <v>205</v>
      </c>
      <c r="C227" s="87" t="s">
        <v>206</v>
      </c>
      <c r="D227" s="18" t="s">
        <v>448</v>
      </c>
      <c r="E227" s="5">
        <v>4000000</v>
      </c>
      <c r="F227" s="12">
        <f t="shared" si="75"/>
        <v>0</v>
      </c>
      <c r="G227" s="5"/>
      <c r="H227" s="5"/>
      <c r="I227" s="5">
        <f t="shared" si="63"/>
        <v>4000000</v>
      </c>
      <c r="J227" s="5">
        <v>0</v>
      </c>
      <c r="K227" s="5">
        <f t="shared" si="95"/>
        <v>0</v>
      </c>
      <c r="L227" s="5"/>
      <c r="M227" s="5"/>
      <c r="N227" s="5"/>
      <c r="O227" s="5">
        <f t="shared" si="96"/>
        <v>0</v>
      </c>
      <c r="P227" s="2">
        <f t="shared" si="83"/>
        <v>4000000</v>
      </c>
      <c r="Q227" s="2">
        <f t="shared" si="61"/>
        <v>0</v>
      </c>
      <c r="R227" s="2">
        <f t="shared" si="68"/>
        <v>4000000</v>
      </c>
    </row>
    <row r="228" spans="1:18" s="11" customFormat="1" ht="12.75" x14ac:dyDescent="0.2">
      <c r="A228" s="86"/>
      <c r="B228" s="87"/>
      <c r="C228" s="87"/>
      <c r="D228" s="37" t="s">
        <v>449</v>
      </c>
      <c r="E228" s="5">
        <v>4000000</v>
      </c>
      <c r="F228" s="12">
        <f t="shared" si="75"/>
        <v>0</v>
      </c>
      <c r="G228" s="5"/>
      <c r="H228" s="5"/>
      <c r="I228" s="5">
        <f t="shared" si="63"/>
        <v>4000000</v>
      </c>
      <c r="J228" s="5"/>
      <c r="K228" s="5">
        <f t="shared" si="95"/>
        <v>0</v>
      </c>
      <c r="L228" s="5"/>
      <c r="M228" s="5"/>
      <c r="N228" s="5"/>
      <c r="O228" s="5">
        <f t="shared" si="96"/>
        <v>0</v>
      </c>
      <c r="P228" s="2">
        <f t="shared" si="83"/>
        <v>4000000</v>
      </c>
      <c r="Q228" s="2">
        <f t="shared" si="61"/>
        <v>0</v>
      </c>
      <c r="R228" s="2">
        <f t="shared" si="68"/>
        <v>4000000</v>
      </c>
    </row>
    <row r="229" spans="1:18" s="11" customFormat="1" ht="94.5" customHeight="1" x14ac:dyDescent="0.2">
      <c r="A229" s="66" t="s">
        <v>481</v>
      </c>
      <c r="B229" s="67" t="s">
        <v>262</v>
      </c>
      <c r="C229" s="67" t="s">
        <v>25</v>
      </c>
      <c r="D229" s="18" t="s">
        <v>263</v>
      </c>
      <c r="E229" s="5"/>
      <c r="F229" s="12">
        <f t="shared" si="75"/>
        <v>0</v>
      </c>
      <c r="G229" s="5"/>
      <c r="H229" s="5"/>
      <c r="I229" s="5">
        <f t="shared" si="63"/>
        <v>0</v>
      </c>
      <c r="J229" s="5">
        <v>1000000</v>
      </c>
      <c r="K229" s="5">
        <f t="shared" si="95"/>
        <v>0</v>
      </c>
      <c r="L229" s="5"/>
      <c r="M229" s="5"/>
      <c r="N229" s="5"/>
      <c r="O229" s="5">
        <f t="shared" si="96"/>
        <v>1000000</v>
      </c>
      <c r="P229" s="2">
        <f t="shared" si="83"/>
        <v>1000000</v>
      </c>
      <c r="Q229" s="2">
        <f t="shared" si="61"/>
        <v>0</v>
      </c>
      <c r="R229" s="2">
        <f t="shared" si="68"/>
        <v>1000000</v>
      </c>
    </row>
    <row r="230" spans="1:18" s="11" customFormat="1" ht="42.75" customHeight="1" x14ac:dyDescent="0.2">
      <c r="A230" s="17" t="s">
        <v>459</v>
      </c>
      <c r="B230" s="67"/>
      <c r="C230" s="67"/>
      <c r="D230" s="62" t="s">
        <v>462</v>
      </c>
      <c r="E230" s="2">
        <f t="shared" ref="E230" si="98">E232</f>
        <v>2975000</v>
      </c>
      <c r="F230" s="12">
        <f t="shared" si="75"/>
        <v>0</v>
      </c>
      <c r="G230" s="2">
        <f t="shared" ref="G230:H230" si="99">G232</f>
        <v>0</v>
      </c>
      <c r="H230" s="2">
        <f t="shared" si="99"/>
        <v>0</v>
      </c>
      <c r="I230" s="2">
        <f t="shared" si="63"/>
        <v>2975000</v>
      </c>
      <c r="J230" s="2">
        <f>SUM(J231:J232)</f>
        <v>0</v>
      </c>
      <c r="K230" s="2">
        <f t="shared" ref="K230:O230" si="100">SUM(K231:K232)</f>
        <v>99606</v>
      </c>
      <c r="L230" s="2">
        <f t="shared" si="100"/>
        <v>0</v>
      </c>
      <c r="M230" s="2">
        <f t="shared" si="100"/>
        <v>0</v>
      </c>
      <c r="N230" s="2">
        <f t="shared" si="100"/>
        <v>99606</v>
      </c>
      <c r="O230" s="2">
        <f t="shared" si="100"/>
        <v>99606</v>
      </c>
      <c r="P230" s="2">
        <f t="shared" si="83"/>
        <v>2975000</v>
      </c>
      <c r="Q230" s="2">
        <f t="shared" si="61"/>
        <v>99606</v>
      </c>
      <c r="R230" s="2">
        <f t="shared" si="68"/>
        <v>3074606</v>
      </c>
    </row>
    <row r="231" spans="1:18" s="11" customFormat="1" ht="39" customHeight="1" x14ac:dyDescent="0.2">
      <c r="A231" s="17" t="s">
        <v>460</v>
      </c>
      <c r="B231" s="67"/>
      <c r="C231" s="67"/>
      <c r="D231" s="62" t="s">
        <v>462</v>
      </c>
      <c r="E231" s="5"/>
      <c r="F231" s="12">
        <f t="shared" si="75"/>
        <v>0</v>
      </c>
      <c r="G231" s="5"/>
      <c r="H231" s="5"/>
      <c r="I231" s="5">
        <f t="shared" si="63"/>
        <v>0</v>
      </c>
      <c r="J231" s="5"/>
      <c r="K231" s="5">
        <f t="shared" si="95"/>
        <v>0</v>
      </c>
      <c r="L231" s="5"/>
      <c r="M231" s="5"/>
      <c r="N231" s="5"/>
      <c r="O231" s="5">
        <f t="shared" si="96"/>
        <v>0</v>
      </c>
      <c r="P231" s="2"/>
      <c r="Q231" s="2">
        <f t="shared" si="61"/>
        <v>0</v>
      </c>
      <c r="R231" s="2">
        <f t="shared" si="68"/>
        <v>0</v>
      </c>
    </row>
    <row r="232" spans="1:18" s="11" customFormat="1" ht="36" x14ac:dyDescent="0.2">
      <c r="A232" s="66" t="s">
        <v>461</v>
      </c>
      <c r="B232" s="67" t="s">
        <v>61</v>
      </c>
      <c r="C232" s="67" t="s">
        <v>22</v>
      </c>
      <c r="D232" s="18" t="s">
        <v>450</v>
      </c>
      <c r="E232" s="5">
        <v>2975000</v>
      </c>
      <c r="F232" s="12">
        <f t="shared" si="75"/>
        <v>0</v>
      </c>
      <c r="G232" s="5"/>
      <c r="H232" s="5"/>
      <c r="I232" s="5">
        <f t="shared" si="63"/>
        <v>2975000</v>
      </c>
      <c r="J232" s="5"/>
      <c r="K232" s="5">
        <f t="shared" si="95"/>
        <v>99606</v>
      </c>
      <c r="L232" s="5"/>
      <c r="M232" s="5"/>
      <c r="N232" s="5">
        <f>99606</f>
        <v>99606</v>
      </c>
      <c r="O232" s="5">
        <f t="shared" si="96"/>
        <v>99606</v>
      </c>
      <c r="P232" s="2">
        <f t="shared" si="83"/>
        <v>2975000</v>
      </c>
      <c r="Q232" s="2">
        <f t="shared" si="61"/>
        <v>99606</v>
      </c>
      <c r="R232" s="2">
        <f t="shared" si="68"/>
        <v>3074606</v>
      </c>
    </row>
    <row r="233" spans="1:18" s="11" customFormat="1" ht="25.5" x14ac:dyDescent="0.2">
      <c r="A233" s="17" t="s">
        <v>155</v>
      </c>
      <c r="B233" s="67"/>
      <c r="C233" s="67"/>
      <c r="D233" s="62" t="s">
        <v>307</v>
      </c>
      <c r="E233" s="2">
        <f>E235+E237+E236+E240</f>
        <v>178885000</v>
      </c>
      <c r="F233" s="12">
        <f t="shared" si="75"/>
        <v>-64880</v>
      </c>
      <c r="G233" s="2">
        <f>G235+G237+G236+G240</f>
        <v>-64880</v>
      </c>
      <c r="H233" s="2">
        <f>H235+H237+H236+H240</f>
        <v>0</v>
      </c>
      <c r="I233" s="5">
        <f t="shared" si="63"/>
        <v>178820120</v>
      </c>
      <c r="J233" s="2">
        <f>SUM(J234:J241)</f>
        <v>0</v>
      </c>
      <c r="K233" s="2">
        <f t="shared" ref="K233:O233" si="101">SUM(K234:K241)</f>
        <v>10269608</v>
      </c>
      <c r="L233" s="2">
        <f t="shared" si="101"/>
        <v>0</v>
      </c>
      <c r="M233" s="2">
        <f t="shared" si="101"/>
        <v>103400</v>
      </c>
      <c r="N233" s="2">
        <f t="shared" si="101"/>
        <v>10166208</v>
      </c>
      <c r="O233" s="2">
        <f t="shared" si="101"/>
        <v>10269608</v>
      </c>
      <c r="P233" s="2">
        <f t="shared" si="83"/>
        <v>178885000</v>
      </c>
      <c r="Q233" s="2">
        <f t="shared" si="61"/>
        <v>10204728</v>
      </c>
      <c r="R233" s="2">
        <f t="shared" si="68"/>
        <v>189089728</v>
      </c>
    </row>
    <row r="234" spans="1:18" s="11" customFormat="1" ht="25.5" x14ac:dyDescent="0.2">
      <c r="A234" s="17" t="s">
        <v>156</v>
      </c>
      <c r="B234" s="67"/>
      <c r="C234" s="67"/>
      <c r="D234" s="62" t="s">
        <v>307</v>
      </c>
      <c r="E234" s="5"/>
      <c r="F234" s="12">
        <f t="shared" si="75"/>
        <v>0</v>
      </c>
      <c r="G234" s="5"/>
      <c r="H234" s="5"/>
      <c r="I234" s="5">
        <f t="shared" si="63"/>
        <v>0</v>
      </c>
      <c r="J234" s="5"/>
      <c r="K234" s="5">
        <f t="shared" ref="K234:K241" si="102">M234+N234</f>
        <v>0</v>
      </c>
      <c r="L234" s="5"/>
      <c r="M234" s="5"/>
      <c r="N234" s="5"/>
      <c r="O234" s="5">
        <f t="shared" ref="O234:O241" si="103">J234+K234</f>
        <v>0</v>
      </c>
      <c r="P234" s="2">
        <f t="shared" si="83"/>
        <v>0</v>
      </c>
      <c r="Q234" s="2">
        <f t="shared" si="61"/>
        <v>0</v>
      </c>
      <c r="R234" s="2">
        <f t="shared" si="68"/>
        <v>0</v>
      </c>
    </row>
    <row r="235" spans="1:18" s="11" customFormat="1" ht="36" x14ac:dyDescent="0.2">
      <c r="A235" s="66" t="s">
        <v>157</v>
      </c>
      <c r="B235" s="67" t="s">
        <v>61</v>
      </c>
      <c r="C235" s="67" t="s">
        <v>22</v>
      </c>
      <c r="D235" s="18" t="s">
        <v>450</v>
      </c>
      <c r="E235" s="5">
        <v>5385000</v>
      </c>
      <c r="F235" s="12">
        <f t="shared" si="75"/>
        <v>973000</v>
      </c>
      <c r="G235" s="5">
        <v>973000</v>
      </c>
      <c r="H235" s="5"/>
      <c r="I235" s="5">
        <f t="shared" si="63"/>
        <v>6358000</v>
      </c>
      <c r="J235" s="5">
        <v>0</v>
      </c>
      <c r="K235" s="5">
        <f t="shared" si="102"/>
        <v>400000</v>
      </c>
      <c r="L235" s="5"/>
      <c r="M235" s="5"/>
      <c r="N235" s="5">
        <f>400000</f>
        <v>400000</v>
      </c>
      <c r="O235" s="5">
        <f t="shared" si="103"/>
        <v>400000</v>
      </c>
      <c r="P235" s="2">
        <f t="shared" si="83"/>
        <v>5385000</v>
      </c>
      <c r="Q235" s="2">
        <f t="shared" si="61"/>
        <v>1373000</v>
      </c>
      <c r="R235" s="2">
        <f t="shared" si="68"/>
        <v>6758000</v>
      </c>
    </row>
    <row r="236" spans="1:18" s="11" customFormat="1" ht="12.75" x14ac:dyDescent="0.2">
      <c r="A236" s="66" t="s">
        <v>219</v>
      </c>
      <c r="B236" s="67" t="s">
        <v>11</v>
      </c>
      <c r="C236" s="67" t="s">
        <v>14</v>
      </c>
      <c r="D236" s="18" t="s">
        <v>166</v>
      </c>
      <c r="E236" s="5">
        <v>1000000</v>
      </c>
      <c r="F236" s="12">
        <f t="shared" si="75"/>
        <v>-512700</v>
      </c>
      <c r="G236" s="5">
        <f>-512700</f>
        <v>-512700</v>
      </c>
      <c r="H236" s="5"/>
      <c r="I236" s="5">
        <f t="shared" si="63"/>
        <v>487300</v>
      </c>
      <c r="J236" s="5">
        <v>0</v>
      </c>
      <c r="K236" s="5">
        <f t="shared" si="102"/>
        <v>0</v>
      </c>
      <c r="L236" s="5"/>
      <c r="M236" s="5"/>
      <c r="N236" s="5"/>
      <c r="O236" s="5">
        <f t="shared" si="103"/>
        <v>0</v>
      </c>
      <c r="P236" s="2">
        <f t="shared" si="83"/>
        <v>1000000</v>
      </c>
      <c r="Q236" s="2">
        <f t="shared" si="61"/>
        <v>-512700</v>
      </c>
      <c r="R236" s="2">
        <f t="shared" si="68"/>
        <v>487300</v>
      </c>
    </row>
    <row r="237" spans="1:18" s="11" customFormat="1" ht="12.75" x14ac:dyDescent="0.2">
      <c r="A237" s="66" t="s">
        <v>158</v>
      </c>
      <c r="B237" s="67" t="s">
        <v>96</v>
      </c>
      <c r="C237" s="67" t="s">
        <v>24</v>
      </c>
      <c r="D237" s="18" t="s">
        <v>97</v>
      </c>
      <c r="E237" s="5">
        <v>2500000</v>
      </c>
      <c r="F237" s="12">
        <f t="shared" si="75"/>
        <v>-525180</v>
      </c>
      <c r="G237" s="5">
        <f>-525180</f>
        <v>-525180</v>
      </c>
      <c r="H237" s="5"/>
      <c r="I237" s="5">
        <f t="shared" si="63"/>
        <v>1974820</v>
      </c>
      <c r="J237" s="5">
        <v>0</v>
      </c>
      <c r="K237" s="5">
        <f t="shared" si="102"/>
        <v>257500</v>
      </c>
      <c r="L237" s="5"/>
      <c r="M237" s="5"/>
      <c r="N237" s="5">
        <f>257500</f>
        <v>257500</v>
      </c>
      <c r="O237" s="5">
        <f t="shared" si="103"/>
        <v>257500</v>
      </c>
      <c r="P237" s="2">
        <f t="shared" si="83"/>
        <v>2500000</v>
      </c>
      <c r="Q237" s="2">
        <f t="shared" si="61"/>
        <v>-267680</v>
      </c>
      <c r="R237" s="2">
        <f t="shared" si="68"/>
        <v>2232320</v>
      </c>
    </row>
    <row r="238" spans="1:18" s="11" customFormat="1" ht="24" x14ac:dyDescent="0.2">
      <c r="A238" s="66" t="s">
        <v>520</v>
      </c>
      <c r="B238" s="67" t="s">
        <v>229</v>
      </c>
      <c r="C238" s="67" t="s">
        <v>206</v>
      </c>
      <c r="D238" s="18" t="s">
        <v>487</v>
      </c>
      <c r="E238" s="5"/>
      <c r="F238" s="12">
        <f t="shared" si="75"/>
        <v>0</v>
      </c>
      <c r="G238" s="5"/>
      <c r="H238" s="5"/>
      <c r="I238" s="5"/>
      <c r="J238" s="5"/>
      <c r="K238" s="5">
        <f t="shared" si="102"/>
        <v>3508708</v>
      </c>
      <c r="L238" s="5"/>
      <c r="M238" s="5"/>
      <c r="N238" s="5">
        <f>3508708</f>
        <v>3508708</v>
      </c>
      <c r="O238" s="5">
        <f t="shared" ref="O238:O239" si="104">K238+J238</f>
        <v>3508708</v>
      </c>
      <c r="P238" s="2">
        <f t="shared" si="83"/>
        <v>0</v>
      </c>
      <c r="Q238" s="2">
        <f t="shared" si="61"/>
        <v>3508708</v>
      </c>
      <c r="R238" s="2">
        <f t="shared" si="68"/>
        <v>3508708</v>
      </c>
    </row>
    <row r="239" spans="1:18" s="11" customFormat="1" ht="28.5" customHeight="1" x14ac:dyDescent="0.2">
      <c r="A239" s="66" t="s">
        <v>521</v>
      </c>
      <c r="B239" s="67" t="s">
        <v>523</v>
      </c>
      <c r="C239" s="67" t="s">
        <v>222</v>
      </c>
      <c r="D239" s="18" t="s">
        <v>522</v>
      </c>
      <c r="E239" s="5"/>
      <c r="F239" s="12">
        <f t="shared" si="75"/>
        <v>0</v>
      </c>
      <c r="G239" s="5"/>
      <c r="H239" s="5"/>
      <c r="I239" s="5">
        <f t="shared" ref="I239" si="105">E239+F239</f>
        <v>0</v>
      </c>
      <c r="J239" s="5"/>
      <c r="K239" s="5">
        <f t="shared" si="102"/>
        <v>6000000</v>
      </c>
      <c r="L239" s="5"/>
      <c r="M239" s="5"/>
      <c r="N239" s="5">
        <f>6000000</f>
        <v>6000000</v>
      </c>
      <c r="O239" s="5">
        <f t="shared" si="104"/>
        <v>6000000</v>
      </c>
      <c r="P239" s="2">
        <f t="shared" si="83"/>
        <v>0</v>
      </c>
      <c r="Q239" s="2">
        <f t="shared" si="61"/>
        <v>6000000</v>
      </c>
      <c r="R239" s="2">
        <f t="shared" si="68"/>
        <v>6000000</v>
      </c>
    </row>
    <row r="240" spans="1:18" s="11" customFormat="1" ht="24" x14ac:dyDescent="0.2">
      <c r="A240" s="66" t="s">
        <v>224</v>
      </c>
      <c r="B240" s="67" t="s">
        <v>225</v>
      </c>
      <c r="C240" s="67" t="s">
        <v>222</v>
      </c>
      <c r="D240" s="18" t="s">
        <v>226</v>
      </c>
      <c r="E240" s="5">
        <f>170000000</f>
        <v>170000000</v>
      </c>
      <c r="F240" s="12">
        <f t="shared" si="75"/>
        <v>0</v>
      </c>
      <c r="G240" s="5"/>
      <c r="H240" s="5"/>
      <c r="I240" s="5">
        <f t="shared" si="63"/>
        <v>170000000</v>
      </c>
      <c r="J240" s="5">
        <v>0</v>
      </c>
      <c r="K240" s="5">
        <f t="shared" si="102"/>
        <v>0</v>
      </c>
      <c r="L240" s="5"/>
      <c r="M240" s="5"/>
      <c r="N240" s="5"/>
      <c r="O240" s="5">
        <f t="shared" si="103"/>
        <v>0</v>
      </c>
      <c r="P240" s="2">
        <f t="shared" si="83"/>
        <v>170000000</v>
      </c>
      <c r="Q240" s="2">
        <f t="shared" si="61"/>
        <v>0</v>
      </c>
      <c r="R240" s="2">
        <f t="shared" si="68"/>
        <v>170000000</v>
      </c>
    </row>
    <row r="241" spans="1:18" s="11" customFormat="1" ht="100.5" customHeight="1" x14ac:dyDescent="0.2">
      <c r="A241" s="66" t="s">
        <v>524</v>
      </c>
      <c r="B241" s="67" t="s">
        <v>262</v>
      </c>
      <c r="C241" s="67" t="s">
        <v>25</v>
      </c>
      <c r="D241" s="18" t="s">
        <v>263</v>
      </c>
      <c r="E241" s="5"/>
      <c r="F241" s="12">
        <f t="shared" si="75"/>
        <v>0</v>
      </c>
      <c r="G241" s="5"/>
      <c r="H241" s="5"/>
      <c r="I241" s="5">
        <f t="shared" ref="I241" si="106">E241+F241</f>
        <v>0</v>
      </c>
      <c r="J241" s="5"/>
      <c r="K241" s="5">
        <f t="shared" si="102"/>
        <v>103400</v>
      </c>
      <c r="L241" s="5"/>
      <c r="M241" s="5">
        <v>103400</v>
      </c>
      <c r="N241" s="5"/>
      <c r="O241" s="5">
        <f t="shared" si="103"/>
        <v>103400</v>
      </c>
      <c r="P241" s="2">
        <f t="shared" ref="P241" si="107">E241+J241</f>
        <v>0</v>
      </c>
      <c r="Q241" s="2">
        <f t="shared" ref="Q241" si="108">F241+K241</f>
        <v>103400</v>
      </c>
      <c r="R241" s="2">
        <f t="shared" ref="R241" si="109">P241+Q241</f>
        <v>103400</v>
      </c>
    </row>
    <row r="242" spans="1:18" s="4" customFormat="1" ht="51" x14ac:dyDescent="0.2">
      <c r="A242" s="17" t="s">
        <v>340</v>
      </c>
      <c r="B242" s="1"/>
      <c r="C242" s="1"/>
      <c r="D242" s="62" t="s">
        <v>343</v>
      </c>
      <c r="E242" s="2">
        <f>E244+E245+E249+E248</f>
        <v>19595000</v>
      </c>
      <c r="F242" s="12">
        <f t="shared" si="75"/>
        <v>3910003</v>
      </c>
      <c r="G242" s="2">
        <f t="shared" ref="G242:H242" si="110">G244+G245+G249+G248</f>
        <v>3910003</v>
      </c>
      <c r="H242" s="2">
        <f t="shared" si="110"/>
        <v>0</v>
      </c>
      <c r="I242" s="5">
        <f t="shared" si="63"/>
        <v>23505003</v>
      </c>
      <c r="J242" s="2">
        <f>J244+J245+J249+J248</f>
        <v>0</v>
      </c>
      <c r="K242" s="2">
        <f>K244+K245+K249+K248</f>
        <v>0</v>
      </c>
      <c r="L242" s="2">
        <f t="shared" ref="L242:O242" si="111">L244+L245+L249+L248</f>
        <v>0</v>
      </c>
      <c r="M242" s="2">
        <f t="shared" si="111"/>
        <v>0</v>
      </c>
      <c r="N242" s="2">
        <f t="shared" si="111"/>
        <v>0</v>
      </c>
      <c r="O242" s="2">
        <f t="shared" si="111"/>
        <v>0</v>
      </c>
      <c r="P242" s="2">
        <f t="shared" si="83"/>
        <v>19595000</v>
      </c>
      <c r="Q242" s="2">
        <f t="shared" ref="Q242:Q303" si="112">F242+K242</f>
        <v>3910003</v>
      </c>
      <c r="R242" s="2">
        <f t="shared" si="68"/>
        <v>23505003</v>
      </c>
    </row>
    <row r="243" spans="1:18" s="4" customFormat="1" ht="51" x14ac:dyDescent="0.2">
      <c r="A243" s="17" t="s">
        <v>341</v>
      </c>
      <c r="B243" s="1"/>
      <c r="C243" s="1"/>
      <c r="D243" s="62" t="s">
        <v>343</v>
      </c>
      <c r="E243" s="2"/>
      <c r="F243" s="12">
        <f t="shared" si="75"/>
        <v>0</v>
      </c>
      <c r="G243" s="2"/>
      <c r="H243" s="2"/>
      <c r="I243" s="5">
        <f t="shared" si="63"/>
        <v>0</v>
      </c>
      <c r="J243" s="5">
        <v>0</v>
      </c>
      <c r="K243" s="5">
        <f t="shared" ref="K243:K244" si="113">M243+N243</f>
        <v>0</v>
      </c>
      <c r="L243" s="2"/>
      <c r="M243" s="2"/>
      <c r="N243" s="2"/>
      <c r="O243" s="2">
        <f t="shared" ref="O243:O244" si="114">J243+K243</f>
        <v>0</v>
      </c>
      <c r="P243" s="2">
        <f t="shared" si="83"/>
        <v>0</v>
      </c>
      <c r="Q243" s="2">
        <f t="shared" si="112"/>
        <v>0</v>
      </c>
      <c r="R243" s="2">
        <f t="shared" si="68"/>
        <v>0</v>
      </c>
    </row>
    <row r="244" spans="1:18" s="11" customFormat="1" ht="36" x14ac:dyDescent="0.2">
      <c r="A244" s="66" t="s">
        <v>342</v>
      </c>
      <c r="B244" s="67" t="s">
        <v>61</v>
      </c>
      <c r="C244" s="67" t="s">
        <v>22</v>
      </c>
      <c r="D244" s="18" t="s">
        <v>450</v>
      </c>
      <c r="E244" s="5">
        <v>4595000</v>
      </c>
      <c r="F244" s="12">
        <f t="shared" si="75"/>
        <v>144000</v>
      </c>
      <c r="G244" s="5">
        <v>144000</v>
      </c>
      <c r="H244" s="5"/>
      <c r="I244" s="5">
        <f t="shared" ref="I244:I303" si="115">E244+F244</f>
        <v>4739000</v>
      </c>
      <c r="J244" s="5">
        <v>0</v>
      </c>
      <c r="K244" s="5">
        <f t="shared" si="113"/>
        <v>0</v>
      </c>
      <c r="L244" s="5"/>
      <c r="M244" s="5"/>
      <c r="N244" s="5"/>
      <c r="O244" s="5">
        <f t="shared" si="114"/>
        <v>0</v>
      </c>
      <c r="P244" s="2">
        <f t="shared" si="83"/>
        <v>4595000</v>
      </c>
      <c r="Q244" s="2">
        <f t="shared" si="112"/>
        <v>144000</v>
      </c>
      <c r="R244" s="2">
        <f t="shared" si="68"/>
        <v>4739000</v>
      </c>
    </row>
    <row r="245" spans="1:18" s="11" customFormat="1" ht="12.75" x14ac:dyDescent="0.2">
      <c r="A245" s="66" t="s">
        <v>344</v>
      </c>
      <c r="B245" s="67" t="s">
        <v>11</v>
      </c>
      <c r="C245" s="67" t="s">
        <v>14</v>
      </c>
      <c r="D245" s="18" t="s">
        <v>166</v>
      </c>
      <c r="E245" s="5">
        <f>500000+500000</f>
        <v>1000000</v>
      </c>
      <c r="F245" s="12">
        <f t="shared" si="75"/>
        <v>0</v>
      </c>
      <c r="G245" s="5"/>
      <c r="H245" s="5">
        <f t="shared" ref="H245:O245" si="116">H247</f>
        <v>0</v>
      </c>
      <c r="I245" s="5">
        <f t="shared" si="115"/>
        <v>1000000</v>
      </c>
      <c r="J245" s="5">
        <v>0</v>
      </c>
      <c r="K245" s="5">
        <f t="shared" si="116"/>
        <v>0</v>
      </c>
      <c r="L245" s="5">
        <f t="shared" si="116"/>
        <v>0</v>
      </c>
      <c r="M245" s="5">
        <f t="shared" si="116"/>
        <v>0</v>
      </c>
      <c r="N245" s="5">
        <f t="shared" si="116"/>
        <v>0</v>
      </c>
      <c r="O245" s="5">
        <f t="shared" si="116"/>
        <v>0</v>
      </c>
      <c r="P245" s="2">
        <f t="shared" si="83"/>
        <v>1000000</v>
      </c>
      <c r="Q245" s="2">
        <f t="shared" si="112"/>
        <v>0</v>
      </c>
      <c r="R245" s="2">
        <f t="shared" si="68"/>
        <v>1000000</v>
      </c>
    </row>
    <row r="246" spans="1:18" s="11" customFormat="1" ht="12.75" x14ac:dyDescent="0.2">
      <c r="A246" s="66"/>
      <c r="B246" s="67"/>
      <c r="C246" s="67"/>
      <c r="D246" s="18" t="s">
        <v>348</v>
      </c>
      <c r="E246" s="5"/>
      <c r="F246" s="12">
        <f t="shared" si="75"/>
        <v>0</v>
      </c>
      <c r="G246" s="5"/>
      <c r="H246" s="5"/>
      <c r="I246" s="5">
        <f t="shared" si="115"/>
        <v>0</v>
      </c>
      <c r="J246" s="5"/>
      <c r="K246" s="5">
        <f t="shared" ref="K246:K249" si="117">M246+N246</f>
        <v>0</v>
      </c>
      <c r="L246" s="5"/>
      <c r="M246" s="5"/>
      <c r="N246" s="5"/>
      <c r="O246" s="5">
        <f t="shared" ref="O246:O249" si="118">J246+K246</f>
        <v>0</v>
      </c>
      <c r="P246" s="2">
        <f t="shared" si="83"/>
        <v>0</v>
      </c>
      <c r="Q246" s="2">
        <f t="shared" si="112"/>
        <v>0</v>
      </c>
      <c r="R246" s="2">
        <f t="shared" si="68"/>
        <v>0</v>
      </c>
    </row>
    <row r="247" spans="1:18" s="11" customFormat="1" ht="36" x14ac:dyDescent="0.2">
      <c r="A247" s="66"/>
      <c r="B247" s="67"/>
      <c r="C247" s="67"/>
      <c r="D247" s="20" t="s">
        <v>463</v>
      </c>
      <c r="E247" s="5">
        <f>500000+500000</f>
        <v>1000000</v>
      </c>
      <c r="F247" s="12">
        <f t="shared" si="75"/>
        <v>0</v>
      </c>
      <c r="G247" s="5"/>
      <c r="H247" s="5"/>
      <c r="I247" s="5">
        <f t="shared" si="115"/>
        <v>1000000</v>
      </c>
      <c r="J247" s="5">
        <v>0</v>
      </c>
      <c r="K247" s="5">
        <f t="shared" si="117"/>
        <v>0</v>
      </c>
      <c r="L247" s="5"/>
      <c r="M247" s="5"/>
      <c r="N247" s="5"/>
      <c r="O247" s="5">
        <f t="shared" si="118"/>
        <v>0</v>
      </c>
      <c r="P247" s="2">
        <f t="shared" si="83"/>
        <v>1000000</v>
      </c>
      <c r="Q247" s="2">
        <f t="shared" si="112"/>
        <v>0</v>
      </c>
      <c r="R247" s="2">
        <f t="shared" si="68"/>
        <v>1000000</v>
      </c>
    </row>
    <row r="248" spans="1:18" s="11" customFormat="1" ht="12.75" x14ac:dyDescent="0.2">
      <c r="A248" s="66" t="s">
        <v>357</v>
      </c>
      <c r="B248" s="67" t="s">
        <v>76</v>
      </c>
      <c r="C248" s="67" t="s">
        <v>45</v>
      </c>
      <c r="D248" s="18" t="s">
        <v>77</v>
      </c>
      <c r="E248" s="5">
        <v>10800000</v>
      </c>
      <c r="F248" s="12">
        <f t="shared" si="75"/>
        <v>-600000</v>
      </c>
      <c r="G248" s="5">
        <v>-600000</v>
      </c>
      <c r="H248" s="5"/>
      <c r="I248" s="5">
        <f t="shared" si="115"/>
        <v>10200000</v>
      </c>
      <c r="J248" s="5">
        <v>0</v>
      </c>
      <c r="K248" s="5">
        <f t="shared" si="117"/>
        <v>0</v>
      </c>
      <c r="L248" s="5"/>
      <c r="M248" s="5"/>
      <c r="N248" s="5"/>
      <c r="O248" s="5">
        <f t="shared" si="118"/>
        <v>0</v>
      </c>
      <c r="P248" s="2">
        <f t="shared" si="83"/>
        <v>10800000</v>
      </c>
      <c r="Q248" s="2">
        <f t="shared" si="112"/>
        <v>-600000</v>
      </c>
      <c r="R248" s="2">
        <f t="shared" si="68"/>
        <v>10200000</v>
      </c>
    </row>
    <row r="249" spans="1:18" s="11" customFormat="1" ht="12.75" x14ac:dyDescent="0.2">
      <c r="A249" s="66" t="s">
        <v>345</v>
      </c>
      <c r="B249" s="67" t="s">
        <v>300</v>
      </c>
      <c r="C249" s="67" t="s">
        <v>45</v>
      </c>
      <c r="D249" s="20" t="s">
        <v>301</v>
      </c>
      <c r="E249" s="5">
        <v>3200000</v>
      </c>
      <c r="F249" s="12">
        <f t="shared" si="75"/>
        <v>4366003</v>
      </c>
      <c r="G249" s="5">
        <v>4366003</v>
      </c>
      <c r="H249" s="5"/>
      <c r="I249" s="5">
        <f t="shared" si="115"/>
        <v>7566003</v>
      </c>
      <c r="J249" s="5">
        <v>0</v>
      </c>
      <c r="K249" s="5">
        <f t="shared" si="117"/>
        <v>0</v>
      </c>
      <c r="L249" s="5"/>
      <c r="M249" s="5"/>
      <c r="N249" s="5"/>
      <c r="O249" s="5">
        <f t="shared" si="118"/>
        <v>0</v>
      </c>
      <c r="P249" s="2">
        <f t="shared" si="83"/>
        <v>3200000</v>
      </c>
      <c r="Q249" s="2">
        <f t="shared" si="112"/>
        <v>4366003</v>
      </c>
      <c r="R249" s="2">
        <f t="shared" si="68"/>
        <v>7566003</v>
      </c>
    </row>
    <row r="250" spans="1:18" s="4" customFormat="1" ht="50.25" customHeight="1" x14ac:dyDescent="0.2">
      <c r="A250" s="17" t="s">
        <v>334</v>
      </c>
      <c r="B250" s="1"/>
      <c r="C250" s="1"/>
      <c r="D250" s="51" t="s">
        <v>336</v>
      </c>
      <c r="E250" s="2">
        <f>E252+E253+E255</f>
        <v>8820000</v>
      </c>
      <c r="F250" s="12">
        <f t="shared" si="75"/>
        <v>-383250</v>
      </c>
      <c r="G250" s="2">
        <f t="shared" ref="G250:O250" si="119">G252+G253+G255</f>
        <v>-383250</v>
      </c>
      <c r="H250" s="2">
        <f t="shared" si="119"/>
        <v>0</v>
      </c>
      <c r="I250" s="5">
        <f t="shared" si="115"/>
        <v>8436750</v>
      </c>
      <c r="J250" s="2">
        <f>J252+J253+J255</f>
        <v>0</v>
      </c>
      <c r="K250" s="2">
        <f>K252+K253+K255</f>
        <v>770000</v>
      </c>
      <c r="L250" s="2">
        <f t="shared" si="119"/>
        <v>0</v>
      </c>
      <c r="M250" s="2">
        <f t="shared" si="119"/>
        <v>0</v>
      </c>
      <c r="N250" s="2">
        <f t="shared" si="119"/>
        <v>770000</v>
      </c>
      <c r="O250" s="2">
        <f t="shared" si="119"/>
        <v>770000</v>
      </c>
      <c r="P250" s="2">
        <f t="shared" si="83"/>
        <v>8820000</v>
      </c>
      <c r="Q250" s="2">
        <f t="shared" si="112"/>
        <v>386750</v>
      </c>
      <c r="R250" s="2">
        <f t="shared" si="68"/>
        <v>9206750</v>
      </c>
    </row>
    <row r="251" spans="1:18" s="4" customFormat="1" ht="54" customHeight="1" x14ac:dyDescent="0.2">
      <c r="A251" s="17" t="s">
        <v>335</v>
      </c>
      <c r="B251" s="1"/>
      <c r="C251" s="1"/>
      <c r="D251" s="62" t="s">
        <v>336</v>
      </c>
      <c r="E251" s="2"/>
      <c r="F251" s="12">
        <f t="shared" si="75"/>
        <v>0</v>
      </c>
      <c r="G251" s="2"/>
      <c r="H251" s="2"/>
      <c r="I251" s="5">
        <f t="shared" si="115"/>
        <v>0</v>
      </c>
      <c r="J251" s="5">
        <v>0</v>
      </c>
      <c r="K251" s="5">
        <f t="shared" ref="K251:K254" si="120">M251+N251</f>
        <v>0</v>
      </c>
      <c r="L251" s="2"/>
      <c r="M251" s="2"/>
      <c r="N251" s="2"/>
      <c r="O251" s="2">
        <f t="shared" ref="O251:O299" si="121">J251+K251</f>
        <v>0</v>
      </c>
      <c r="P251" s="2">
        <f t="shared" si="83"/>
        <v>0</v>
      </c>
      <c r="Q251" s="2">
        <f t="shared" si="112"/>
        <v>0</v>
      </c>
      <c r="R251" s="2">
        <f t="shared" si="68"/>
        <v>0</v>
      </c>
    </row>
    <row r="252" spans="1:18" s="11" customFormat="1" ht="36" x14ac:dyDescent="0.2">
      <c r="A252" s="66" t="s">
        <v>337</v>
      </c>
      <c r="B252" s="67" t="s">
        <v>61</v>
      </c>
      <c r="C252" s="67" t="s">
        <v>22</v>
      </c>
      <c r="D252" s="18" t="s">
        <v>450</v>
      </c>
      <c r="E252" s="5">
        <v>5520000</v>
      </c>
      <c r="F252" s="12">
        <f t="shared" si="75"/>
        <v>0</v>
      </c>
      <c r="G252" s="5"/>
      <c r="H252" s="5"/>
      <c r="I252" s="5">
        <f t="shared" si="115"/>
        <v>5520000</v>
      </c>
      <c r="J252" s="5">
        <v>0</v>
      </c>
      <c r="K252" s="5">
        <f t="shared" si="120"/>
        <v>0</v>
      </c>
      <c r="L252" s="5"/>
      <c r="M252" s="5"/>
      <c r="N252" s="5"/>
      <c r="O252" s="5">
        <f t="shared" si="121"/>
        <v>0</v>
      </c>
      <c r="P252" s="2">
        <f t="shared" si="83"/>
        <v>5520000</v>
      </c>
      <c r="Q252" s="2">
        <f t="shared" si="112"/>
        <v>0</v>
      </c>
      <c r="R252" s="2">
        <f t="shared" si="68"/>
        <v>5520000</v>
      </c>
    </row>
    <row r="253" spans="1:18" s="11" customFormat="1" ht="24" x14ac:dyDescent="0.2">
      <c r="A253" s="66" t="s">
        <v>338</v>
      </c>
      <c r="B253" s="67" t="s">
        <v>185</v>
      </c>
      <c r="C253" s="67" t="s">
        <v>186</v>
      </c>
      <c r="D253" s="20" t="s">
        <v>274</v>
      </c>
      <c r="E253" s="5">
        <f>E254</f>
        <v>700000</v>
      </c>
      <c r="F253" s="12">
        <f t="shared" si="75"/>
        <v>-50000</v>
      </c>
      <c r="G253" s="5">
        <v>-50000</v>
      </c>
      <c r="H253" s="5"/>
      <c r="I253" s="5">
        <f t="shared" si="115"/>
        <v>650000</v>
      </c>
      <c r="J253" s="5">
        <v>0</v>
      </c>
      <c r="K253" s="5">
        <f t="shared" si="120"/>
        <v>0</v>
      </c>
      <c r="L253" s="5"/>
      <c r="M253" s="5"/>
      <c r="N253" s="5"/>
      <c r="O253" s="5">
        <f t="shared" si="121"/>
        <v>0</v>
      </c>
      <c r="P253" s="2">
        <f t="shared" si="83"/>
        <v>700000</v>
      </c>
      <c r="Q253" s="2">
        <f t="shared" si="112"/>
        <v>-50000</v>
      </c>
      <c r="R253" s="2">
        <f t="shared" si="68"/>
        <v>650000</v>
      </c>
    </row>
    <row r="254" spans="1:18" s="11" customFormat="1" ht="36" x14ac:dyDescent="0.2">
      <c r="A254" s="66"/>
      <c r="B254" s="67"/>
      <c r="C254" s="67"/>
      <c r="D254" s="20" t="s">
        <v>361</v>
      </c>
      <c r="E254" s="5">
        <v>700000</v>
      </c>
      <c r="F254" s="12">
        <f t="shared" si="75"/>
        <v>-50000</v>
      </c>
      <c r="G254" s="5">
        <v>-50000</v>
      </c>
      <c r="H254" s="5"/>
      <c r="I254" s="5">
        <f t="shared" si="115"/>
        <v>650000</v>
      </c>
      <c r="J254" s="5">
        <v>0</v>
      </c>
      <c r="K254" s="5">
        <f t="shared" si="120"/>
        <v>0</v>
      </c>
      <c r="L254" s="5"/>
      <c r="M254" s="5"/>
      <c r="N254" s="5"/>
      <c r="O254" s="5">
        <f t="shared" si="121"/>
        <v>0</v>
      </c>
      <c r="P254" s="2">
        <f t="shared" si="83"/>
        <v>700000</v>
      </c>
      <c r="Q254" s="2">
        <f t="shared" si="112"/>
        <v>-50000</v>
      </c>
      <c r="R254" s="2">
        <f t="shared" si="68"/>
        <v>650000</v>
      </c>
    </row>
    <row r="255" spans="1:18" s="11" customFormat="1" ht="12.75" x14ac:dyDescent="0.2">
      <c r="A255" s="66" t="s">
        <v>339</v>
      </c>
      <c r="B255" s="66" t="s">
        <v>279</v>
      </c>
      <c r="C255" s="67" t="s">
        <v>25</v>
      </c>
      <c r="D255" s="21" t="s">
        <v>192</v>
      </c>
      <c r="E255" s="5">
        <f>E257+E258+E259+E260+E261</f>
        <v>2600000</v>
      </c>
      <c r="F255" s="12">
        <f t="shared" si="75"/>
        <v>-333250</v>
      </c>
      <c r="G255" s="5">
        <f>G257+G258+G259+G260+G261</f>
        <v>-333250</v>
      </c>
      <c r="H255" s="5"/>
      <c r="I255" s="5">
        <f t="shared" si="115"/>
        <v>2266750</v>
      </c>
      <c r="J255" s="5">
        <v>0</v>
      </c>
      <c r="K255" s="5">
        <f>SUM(K256:K261)</f>
        <v>770000</v>
      </c>
      <c r="L255" s="5">
        <f t="shared" ref="L255:O255" si="122">SUM(L256:L261)</f>
        <v>0</v>
      </c>
      <c r="M255" s="5">
        <f t="shared" si="122"/>
        <v>0</v>
      </c>
      <c r="N255" s="5">
        <f t="shared" si="122"/>
        <v>770000</v>
      </c>
      <c r="O255" s="5">
        <f t="shared" si="122"/>
        <v>770000</v>
      </c>
      <c r="P255" s="2">
        <f t="shared" si="83"/>
        <v>2600000</v>
      </c>
      <c r="Q255" s="2">
        <f t="shared" si="112"/>
        <v>436750</v>
      </c>
      <c r="R255" s="2">
        <f t="shared" si="68"/>
        <v>3036750</v>
      </c>
    </row>
    <row r="256" spans="1:18" s="11" customFormat="1" ht="12.75" x14ac:dyDescent="0.2">
      <c r="A256" s="66"/>
      <c r="B256" s="66"/>
      <c r="C256" s="67"/>
      <c r="D256" s="21" t="s">
        <v>288</v>
      </c>
      <c r="E256" s="5"/>
      <c r="F256" s="12">
        <f t="shared" ref="F256:F285" si="123">G256+H256</f>
        <v>0</v>
      </c>
      <c r="G256" s="5"/>
      <c r="H256" s="5"/>
      <c r="I256" s="5">
        <f t="shared" si="115"/>
        <v>0</v>
      </c>
      <c r="J256" s="5"/>
      <c r="K256" s="5">
        <f t="shared" ref="K256:K261" si="124">M256+N256</f>
        <v>0</v>
      </c>
      <c r="L256" s="5"/>
      <c r="M256" s="5"/>
      <c r="N256" s="5"/>
      <c r="O256" s="5">
        <f t="shared" si="121"/>
        <v>0</v>
      </c>
      <c r="P256" s="2">
        <f t="shared" si="83"/>
        <v>0</v>
      </c>
      <c r="Q256" s="2">
        <f t="shared" si="112"/>
        <v>0</v>
      </c>
      <c r="R256" s="2">
        <f t="shared" si="68"/>
        <v>0</v>
      </c>
    </row>
    <row r="257" spans="1:18" s="11" customFormat="1" ht="24" x14ac:dyDescent="0.2">
      <c r="A257" s="66"/>
      <c r="B257" s="67"/>
      <c r="C257" s="67"/>
      <c r="D257" s="20" t="s">
        <v>360</v>
      </c>
      <c r="E257" s="5">
        <v>500000</v>
      </c>
      <c r="F257" s="12">
        <f t="shared" si="123"/>
        <v>0</v>
      </c>
      <c r="G257" s="5"/>
      <c r="H257" s="5"/>
      <c r="I257" s="5">
        <f t="shared" si="115"/>
        <v>500000</v>
      </c>
      <c r="J257" s="5">
        <v>0</v>
      </c>
      <c r="K257" s="5">
        <f t="shared" si="124"/>
        <v>0</v>
      </c>
      <c r="L257" s="5"/>
      <c r="M257" s="5"/>
      <c r="N257" s="5"/>
      <c r="O257" s="5">
        <f t="shared" si="121"/>
        <v>0</v>
      </c>
      <c r="P257" s="2">
        <f t="shared" si="83"/>
        <v>500000</v>
      </c>
      <c r="Q257" s="2">
        <f t="shared" si="112"/>
        <v>0</v>
      </c>
      <c r="R257" s="2">
        <f t="shared" ref="R257:R303" si="125">P257+Q257</f>
        <v>500000</v>
      </c>
    </row>
    <row r="258" spans="1:18" s="11" customFormat="1" ht="48" x14ac:dyDescent="0.2">
      <c r="A258" s="66"/>
      <c r="B258" s="67"/>
      <c r="C258" s="67"/>
      <c r="D258" s="21" t="s">
        <v>365</v>
      </c>
      <c r="E258" s="5">
        <v>700000</v>
      </c>
      <c r="F258" s="12">
        <f t="shared" si="123"/>
        <v>0</v>
      </c>
      <c r="G258" s="5"/>
      <c r="H258" s="5"/>
      <c r="I258" s="5">
        <f t="shared" si="115"/>
        <v>700000</v>
      </c>
      <c r="J258" s="5">
        <v>0</v>
      </c>
      <c r="K258" s="5">
        <f t="shared" si="124"/>
        <v>0</v>
      </c>
      <c r="L258" s="5"/>
      <c r="M258" s="5"/>
      <c r="N258" s="5"/>
      <c r="O258" s="5">
        <f t="shared" si="121"/>
        <v>0</v>
      </c>
      <c r="P258" s="2">
        <f t="shared" si="83"/>
        <v>700000</v>
      </c>
      <c r="Q258" s="2">
        <f t="shared" si="112"/>
        <v>0</v>
      </c>
      <c r="R258" s="2">
        <f t="shared" si="125"/>
        <v>700000</v>
      </c>
    </row>
    <row r="259" spans="1:18" s="11" customFormat="1" ht="51" x14ac:dyDescent="0.2">
      <c r="A259" s="66"/>
      <c r="B259" s="67"/>
      <c r="C259" s="67"/>
      <c r="D259" s="40" t="s">
        <v>476</v>
      </c>
      <c r="E259" s="5">
        <v>1000000</v>
      </c>
      <c r="F259" s="12">
        <f t="shared" si="123"/>
        <v>0</v>
      </c>
      <c r="G259" s="5"/>
      <c r="H259" s="5"/>
      <c r="I259" s="5">
        <f t="shared" si="115"/>
        <v>1000000</v>
      </c>
      <c r="J259" s="5">
        <v>0</v>
      </c>
      <c r="K259" s="5">
        <f t="shared" si="124"/>
        <v>0</v>
      </c>
      <c r="L259" s="5"/>
      <c r="M259" s="5"/>
      <c r="N259" s="5"/>
      <c r="O259" s="5">
        <f t="shared" si="121"/>
        <v>0</v>
      </c>
      <c r="P259" s="2">
        <f t="shared" si="83"/>
        <v>1000000</v>
      </c>
      <c r="Q259" s="2">
        <f t="shared" si="112"/>
        <v>0</v>
      </c>
      <c r="R259" s="2">
        <f t="shared" si="125"/>
        <v>1000000</v>
      </c>
    </row>
    <row r="260" spans="1:18" s="11" customFormat="1" ht="24" x14ac:dyDescent="0.2">
      <c r="A260" s="66"/>
      <c r="B260" s="67"/>
      <c r="C260" s="67"/>
      <c r="D260" s="20" t="s">
        <v>367</v>
      </c>
      <c r="E260" s="5">
        <v>200000</v>
      </c>
      <c r="F260" s="12">
        <f t="shared" si="123"/>
        <v>-150000</v>
      </c>
      <c r="G260" s="5">
        <v>-150000</v>
      </c>
      <c r="H260" s="5"/>
      <c r="I260" s="5">
        <f t="shared" si="115"/>
        <v>50000</v>
      </c>
      <c r="J260" s="5"/>
      <c r="K260" s="5">
        <f t="shared" si="124"/>
        <v>770000</v>
      </c>
      <c r="L260" s="5"/>
      <c r="M260" s="5"/>
      <c r="N260" s="5">
        <f>770000</f>
        <v>770000</v>
      </c>
      <c r="O260" s="5">
        <f t="shared" si="121"/>
        <v>770000</v>
      </c>
      <c r="P260" s="2">
        <f t="shared" si="83"/>
        <v>200000</v>
      </c>
      <c r="Q260" s="2">
        <f t="shared" si="112"/>
        <v>620000</v>
      </c>
      <c r="R260" s="2">
        <f t="shared" si="125"/>
        <v>820000</v>
      </c>
    </row>
    <row r="261" spans="1:18" s="11" customFormat="1" ht="24" x14ac:dyDescent="0.2">
      <c r="A261" s="66"/>
      <c r="B261" s="67"/>
      <c r="C261" s="67"/>
      <c r="D261" s="39" t="s">
        <v>352</v>
      </c>
      <c r="E261" s="5">
        <v>200000</v>
      </c>
      <c r="F261" s="12">
        <f t="shared" si="123"/>
        <v>-183250</v>
      </c>
      <c r="G261" s="5">
        <v>-183250</v>
      </c>
      <c r="H261" s="5"/>
      <c r="I261" s="5">
        <f t="shared" si="115"/>
        <v>16750</v>
      </c>
      <c r="J261" s="5"/>
      <c r="K261" s="5">
        <f t="shared" si="124"/>
        <v>0</v>
      </c>
      <c r="L261" s="5"/>
      <c r="M261" s="5"/>
      <c r="N261" s="5"/>
      <c r="O261" s="5">
        <f t="shared" si="121"/>
        <v>0</v>
      </c>
      <c r="P261" s="2">
        <f t="shared" si="83"/>
        <v>200000</v>
      </c>
      <c r="Q261" s="2">
        <f t="shared" si="112"/>
        <v>-183250</v>
      </c>
      <c r="R261" s="2">
        <f t="shared" si="125"/>
        <v>16750</v>
      </c>
    </row>
    <row r="262" spans="1:18" s="4" customFormat="1" ht="38.25" x14ac:dyDescent="0.2">
      <c r="A262" s="17" t="s">
        <v>195</v>
      </c>
      <c r="B262" s="1"/>
      <c r="C262" s="1"/>
      <c r="D262" s="62" t="s">
        <v>356</v>
      </c>
      <c r="E262" s="2">
        <f>E264+E265+E266+E269+E272+E273</f>
        <v>11350000</v>
      </c>
      <c r="F262" s="12">
        <f t="shared" si="123"/>
        <v>-2300000</v>
      </c>
      <c r="G262" s="2">
        <f>G264+G265+G266+G269+G272+G273</f>
        <v>-2300000</v>
      </c>
      <c r="H262" s="2">
        <f t="shared" ref="H262:O262" si="126">H264+H265+H266+H269+H272+H273</f>
        <v>0</v>
      </c>
      <c r="I262" s="5">
        <f t="shared" si="115"/>
        <v>9050000</v>
      </c>
      <c r="J262" s="2">
        <f>J264+J265+J266+J269+J272+J273</f>
        <v>20000000</v>
      </c>
      <c r="K262" s="2">
        <f>K264+K265+K266+K269+K272+K273</f>
        <v>2300000</v>
      </c>
      <c r="L262" s="2">
        <f t="shared" si="126"/>
        <v>0</v>
      </c>
      <c r="M262" s="2">
        <f t="shared" si="126"/>
        <v>0</v>
      </c>
      <c r="N262" s="2">
        <f t="shared" si="126"/>
        <v>2300000</v>
      </c>
      <c r="O262" s="2">
        <f t="shared" si="126"/>
        <v>22300000</v>
      </c>
      <c r="P262" s="2">
        <f>P264+P265+P266+P269+P272+P273</f>
        <v>31350000</v>
      </c>
      <c r="Q262" s="2">
        <f t="shared" si="112"/>
        <v>0</v>
      </c>
      <c r="R262" s="2">
        <f t="shared" si="125"/>
        <v>31350000</v>
      </c>
    </row>
    <row r="263" spans="1:18" s="4" customFormat="1" ht="38.25" x14ac:dyDescent="0.2">
      <c r="A263" s="17" t="s">
        <v>187</v>
      </c>
      <c r="B263" s="1"/>
      <c r="C263" s="1"/>
      <c r="D263" s="62" t="s">
        <v>356</v>
      </c>
      <c r="E263" s="2"/>
      <c r="F263" s="12">
        <f t="shared" si="123"/>
        <v>0</v>
      </c>
      <c r="G263" s="2"/>
      <c r="H263" s="2"/>
      <c r="I263" s="5">
        <f t="shared" si="115"/>
        <v>0</v>
      </c>
      <c r="J263" s="5">
        <v>0</v>
      </c>
      <c r="K263" s="5">
        <f t="shared" ref="K263:K272" si="127">M263+N263</f>
        <v>0</v>
      </c>
      <c r="L263" s="2"/>
      <c r="M263" s="2"/>
      <c r="N263" s="2"/>
      <c r="O263" s="2">
        <f t="shared" si="121"/>
        <v>0</v>
      </c>
      <c r="P263" s="2">
        <f t="shared" si="83"/>
        <v>0</v>
      </c>
      <c r="Q263" s="2">
        <f t="shared" si="112"/>
        <v>0</v>
      </c>
      <c r="R263" s="2">
        <f t="shared" si="125"/>
        <v>0</v>
      </c>
    </row>
    <row r="264" spans="1:18" s="11" customFormat="1" ht="36" x14ac:dyDescent="0.2">
      <c r="A264" s="66" t="s">
        <v>188</v>
      </c>
      <c r="B264" s="67" t="s">
        <v>61</v>
      </c>
      <c r="C264" s="67" t="s">
        <v>22</v>
      </c>
      <c r="D264" s="18" t="s">
        <v>450</v>
      </c>
      <c r="E264" s="5">
        <v>5950000</v>
      </c>
      <c r="F264" s="12">
        <f t="shared" si="123"/>
        <v>0</v>
      </c>
      <c r="G264" s="5"/>
      <c r="H264" s="5"/>
      <c r="I264" s="5">
        <f t="shared" si="115"/>
        <v>5950000</v>
      </c>
      <c r="J264" s="5">
        <v>0</v>
      </c>
      <c r="K264" s="5">
        <f t="shared" si="127"/>
        <v>0</v>
      </c>
      <c r="L264" s="5"/>
      <c r="M264" s="5"/>
      <c r="N264" s="5"/>
      <c r="O264" s="5">
        <f t="shared" si="121"/>
        <v>0</v>
      </c>
      <c r="P264" s="2">
        <f t="shared" si="83"/>
        <v>5950000</v>
      </c>
      <c r="Q264" s="2">
        <f t="shared" si="112"/>
        <v>0</v>
      </c>
      <c r="R264" s="2">
        <f t="shared" si="125"/>
        <v>5950000</v>
      </c>
    </row>
    <row r="265" spans="1:18" s="11" customFormat="1" ht="24" x14ac:dyDescent="0.2">
      <c r="A265" s="66" t="s">
        <v>272</v>
      </c>
      <c r="B265" s="67" t="s">
        <v>273</v>
      </c>
      <c r="C265" s="67" t="s">
        <v>25</v>
      </c>
      <c r="D265" s="18" t="s">
        <v>99</v>
      </c>
      <c r="E265" s="5">
        <v>1000000</v>
      </c>
      <c r="F265" s="12">
        <f t="shared" si="123"/>
        <v>0</v>
      </c>
      <c r="G265" s="5"/>
      <c r="H265" s="5"/>
      <c r="I265" s="5">
        <f t="shared" si="115"/>
        <v>1000000</v>
      </c>
      <c r="J265" s="5">
        <v>0</v>
      </c>
      <c r="K265" s="5">
        <f t="shared" si="127"/>
        <v>0</v>
      </c>
      <c r="L265" s="5"/>
      <c r="M265" s="5"/>
      <c r="N265" s="5"/>
      <c r="O265" s="5">
        <f t="shared" si="121"/>
        <v>0</v>
      </c>
      <c r="P265" s="2">
        <f t="shared" si="83"/>
        <v>1000000</v>
      </c>
      <c r="Q265" s="2">
        <f t="shared" si="112"/>
        <v>0</v>
      </c>
      <c r="R265" s="2">
        <f t="shared" si="125"/>
        <v>1000000</v>
      </c>
    </row>
    <row r="266" spans="1:18" s="11" customFormat="1" ht="24" x14ac:dyDescent="0.2">
      <c r="A266" s="66" t="s">
        <v>194</v>
      </c>
      <c r="B266" s="67" t="s">
        <v>100</v>
      </c>
      <c r="C266" s="67" t="s">
        <v>26</v>
      </c>
      <c r="D266" s="18" t="s">
        <v>428</v>
      </c>
      <c r="E266" s="5">
        <f>E267+E268</f>
        <v>400000</v>
      </c>
      <c r="F266" s="12">
        <f t="shared" si="123"/>
        <v>700000</v>
      </c>
      <c r="G266" s="5">
        <f>G267+G268</f>
        <v>700000</v>
      </c>
      <c r="H266" s="5"/>
      <c r="I266" s="5">
        <f t="shared" si="115"/>
        <v>1100000</v>
      </c>
      <c r="J266" s="5">
        <v>0</v>
      </c>
      <c r="K266" s="5">
        <f t="shared" si="127"/>
        <v>0</v>
      </c>
      <c r="L266" s="5"/>
      <c r="M266" s="5"/>
      <c r="N266" s="5"/>
      <c r="O266" s="5">
        <f t="shared" si="121"/>
        <v>0</v>
      </c>
      <c r="P266" s="2">
        <f t="shared" si="83"/>
        <v>400000</v>
      </c>
      <c r="Q266" s="2">
        <f t="shared" si="112"/>
        <v>700000</v>
      </c>
      <c r="R266" s="2">
        <f t="shared" si="125"/>
        <v>1100000</v>
      </c>
    </row>
    <row r="267" spans="1:18" s="11" customFormat="1" ht="36" x14ac:dyDescent="0.2">
      <c r="A267" s="66"/>
      <c r="B267" s="67"/>
      <c r="C267" s="67"/>
      <c r="D267" s="38" t="s">
        <v>477</v>
      </c>
      <c r="E267" s="5">
        <v>300000</v>
      </c>
      <c r="F267" s="12">
        <f t="shared" si="123"/>
        <v>0</v>
      </c>
      <c r="G267" s="5"/>
      <c r="H267" s="5"/>
      <c r="I267" s="5">
        <f t="shared" si="115"/>
        <v>300000</v>
      </c>
      <c r="J267" s="5"/>
      <c r="K267" s="5">
        <f t="shared" si="127"/>
        <v>0</v>
      </c>
      <c r="L267" s="5"/>
      <c r="M267" s="5"/>
      <c r="N267" s="5"/>
      <c r="O267" s="5">
        <f t="shared" si="121"/>
        <v>0</v>
      </c>
      <c r="P267" s="2">
        <f t="shared" si="83"/>
        <v>300000</v>
      </c>
      <c r="Q267" s="2">
        <f t="shared" si="112"/>
        <v>0</v>
      </c>
      <c r="R267" s="2">
        <f t="shared" si="125"/>
        <v>300000</v>
      </c>
    </row>
    <row r="268" spans="1:18" s="11" customFormat="1" ht="36" x14ac:dyDescent="0.2">
      <c r="A268" s="66"/>
      <c r="B268" s="67"/>
      <c r="C268" s="67"/>
      <c r="D268" s="18" t="s">
        <v>429</v>
      </c>
      <c r="E268" s="5">
        <v>100000</v>
      </c>
      <c r="F268" s="12">
        <f t="shared" si="123"/>
        <v>700000</v>
      </c>
      <c r="G268" s="5">
        <v>700000</v>
      </c>
      <c r="H268" s="5"/>
      <c r="I268" s="5">
        <f t="shared" si="115"/>
        <v>800000</v>
      </c>
      <c r="J268" s="5"/>
      <c r="K268" s="5">
        <f t="shared" si="127"/>
        <v>0</v>
      </c>
      <c r="L268" s="5"/>
      <c r="M268" s="5"/>
      <c r="N268" s="5"/>
      <c r="O268" s="5">
        <f t="shared" si="121"/>
        <v>0</v>
      </c>
      <c r="P268" s="2">
        <f t="shared" si="83"/>
        <v>100000</v>
      </c>
      <c r="Q268" s="2">
        <f t="shared" si="112"/>
        <v>700000</v>
      </c>
      <c r="R268" s="2">
        <f t="shared" si="125"/>
        <v>800000</v>
      </c>
    </row>
    <row r="269" spans="1:18" s="11" customFormat="1" ht="12.75" x14ac:dyDescent="0.2">
      <c r="A269" s="66" t="s">
        <v>190</v>
      </c>
      <c r="B269" s="67" t="s">
        <v>191</v>
      </c>
      <c r="C269" s="67" t="s">
        <v>186</v>
      </c>
      <c r="D269" s="20" t="s">
        <v>430</v>
      </c>
      <c r="E269" s="5">
        <f>E270+E271</f>
        <v>1700000</v>
      </c>
      <c r="F269" s="12">
        <f t="shared" si="123"/>
        <v>-700000</v>
      </c>
      <c r="G269" s="5">
        <v>-700000</v>
      </c>
      <c r="H269" s="5"/>
      <c r="I269" s="5">
        <f t="shared" si="115"/>
        <v>1000000</v>
      </c>
      <c r="J269" s="5">
        <v>0</v>
      </c>
      <c r="K269" s="5">
        <f t="shared" si="127"/>
        <v>0</v>
      </c>
      <c r="L269" s="5"/>
      <c r="M269" s="5"/>
      <c r="N269" s="5"/>
      <c r="O269" s="5">
        <f t="shared" si="121"/>
        <v>0</v>
      </c>
      <c r="P269" s="2">
        <f t="shared" si="83"/>
        <v>1700000</v>
      </c>
      <c r="Q269" s="2">
        <f t="shared" si="112"/>
        <v>-700000</v>
      </c>
      <c r="R269" s="2">
        <f t="shared" si="125"/>
        <v>1000000</v>
      </c>
    </row>
    <row r="270" spans="1:18" s="11" customFormat="1" ht="36" x14ac:dyDescent="0.2">
      <c r="A270" s="66"/>
      <c r="B270" s="67"/>
      <c r="C270" s="67"/>
      <c r="D270" s="20" t="s">
        <v>431</v>
      </c>
      <c r="E270" s="5">
        <v>100000</v>
      </c>
      <c r="F270" s="12">
        <f t="shared" si="123"/>
        <v>0</v>
      </c>
      <c r="G270" s="5"/>
      <c r="H270" s="5"/>
      <c r="I270" s="5">
        <f t="shared" si="115"/>
        <v>100000</v>
      </c>
      <c r="J270" s="5">
        <v>0</v>
      </c>
      <c r="K270" s="5">
        <f t="shared" si="127"/>
        <v>0</v>
      </c>
      <c r="L270" s="5"/>
      <c r="M270" s="5"/>
      <c r="N270" s="5"/>
      <c r="O270" s="5">
        <f t="shared" si="121"/>
        <v>0</v>
      </c>
      <c r="P270" s="2">
        <f t="shared" si="83"/>
        <v>100000</v>
      </c>
      <c r="Q270" s="2">
        <f t="shared" si="112"/>
        <v>0</v>
      </c>
      <c r="R270" s="2">
        <f t="shared" si="125"/>
        <v>100000</v>
      </c>
    </row>
    <row r="271" spans="1:18" s="11" customFormat="1" ht="48" x14ac:dyDescent="0.2">
      <c r="A271" s="66"/>
      <c r="B271" s="67"/>
      <c r="C271" s="67"/>
      <c r="D271" s="20" t="s">
        <v>432</v>
      </c>
      <c r="E271" s="5">
        <v>1600000</v>
      </c>
      <c r="F271" s="12">
        <f t="shared" si="123"/>
        <v>-700000</v>
      </c>
      <c r="G271" s="5">
        <v>-700000</v>
      </c>
      <c r="H271" s="5"/>
      <c r="I271" s="5">
        <f t="shared" si="115"/>
        <v>900000</v>
      </c>
      <c r="J271" s="5"/>
      <c r="K271" s="5">
        <f t="shared" si="127"/>
        <v>0</v>
      </c>
      <c r="L271" s="5"/>
      <c r="M271" s="5"/>
      <c r="N271" s="5"/>
      <c r="O271" s="5">
        <f t="shared" si="121"/>
        <v>0</v>
      </c>
      <c r="P271" s="2">
        <f t="shared" si="83"/>
        <v>1600000</v>
      </c>
      <c r="Q271" s="2">
        <f t="shared" si="112"/>
        <v>-700000</v>
      </c>
      <c r="R271" s="2">
        <f t="shared" si="125"/>
        <v>900000</v>
      </c>
    </row>
    <row r="272" spans="1:18" s="11" customFormat="1" ht="24" x14ac:dyDescent="0.2">
      <c r="A272" s="66" t="s">
        <v>362</v>
      </c>
      <c r="B272" s="67" t="s">
        <v>79</v>
      </c>
      <c r="C272" s="67" t="s">
        <v>25</v>
      </c>
      <c r="D272" s="18" t="s">
        <v>9</v>
      </c>
      <c r="E272" s="5"/>
      <c r="F272" s="12">
        <f t="shared" si="123"/>
        <v>0</v>
      </c>
      <c r="G272" s="5"/>
      <c r="H272" s="5"/>
      <c r="I272" s="5">
        <f t="shared" si="115"/>
        <v>0</v>
      </c>
      <c r="J272" s="5">
        <v>20000000</v>
      </c>
      <c r="K272" s="5">
        <f t="shared" si="127"/>
        <v>0</v>
      </c>
      <c r="L272" s="5"/>
      <c r="M272" s="5"/>
      <c r="N272" s="5"/>
      <c r="O272" s="5">
        <f t="shared" si="121"/>
        <v>20000000</v>
      </c>
      <c r="P272" s="2">
        <f t="shared" ref="P272:P303" si="128">E272+J272</f>
        <v>20000000</v>
      </c>
      <c r="Q272" s="2">
        <f t="shared" si="112"/>
        <v>0</v>
      </c>
      <c r="R272" s="2">
        <f t="shared" si="125"/>
        <v>20000000</v>
      </c>
    </row>
    <row r="273" spans="1:18" s="11" customFormat="1" ht="12.75" x14ac:dyDescent="0.2">
      <c r="A273" s="66" t="s">
        <v>189</v>
      </c>
      <c r="B273" s="66" t="s">
        <v>279</v>
      </c>
      <c r="C273" s="67" t="s">
        <v>25</v>
      </c>
      <c r="D273" s="21" t="s">
        <v>192</v>
      </c>
      <c r="E273" s="5">
        <f t="shared" ref="E273" si="129">E276+E275</f>
        <v>2300000</v>
      </c>
      <c r="F273" s="12">
        <f t="shared" si="123"/>
        <v>-2300000</v>
      </c>
      <c r="G273" s="5">
        <f t="shared" ref="G273:P273" si="130">G276+G275</f>
        <v>-2300000</v>
      </c>
      <c r="H273" s="5">
        <f t="shared" si="130"/>
        <v>0</v>
      </c>
      <c r="I273" s="5">
        <f t="shared" si="115"/>
        <v>0</v>
      </c>
      <c r="J273" s="5">
        <v>0</v>
      </c>
      <c r="K273" s="5">
        <f>K276+K275</f>
        <v>2300000</v>
      </c>
      <c r="L273" s="5">
        <f t="shared" si="130"/>
        <v>0</v>
      </c>
      <c r="M273" s="5">
        <f t="shared" si="130"/>
        <v>0</v>
      </c>
      <c r="N273" s="5">
        <f t="shared" si="130"/>
        <v>2300000</v>
      </c>
      <c r="O273" s="5">
        <f t="shared" si="130"/>
        <v>2300000</v>
      </c>
      <c r="P273" s="2">
        <f t="shared" si="130"/>
        <v>2300000</v>
      </c>
      <c r="Q273" s="2">
        <f t="shared" si="112"/>
        <v>0</v>
      </c>
      <c r="R273" s="2">
        <f t="shared" si="125"/>
        <v>2300000</v>
      </c>
    </row>
    <row r="274" spans="1:18" s="11" customFormat="1" ht="12.75" x14ac:dyDescent="0.2">
      <c r="A274" s="66"/>
      <c r="B274" s="66"/>
      <c r="C274" s="67"/>
      <c r="D274" s="21" t="s">
        <v>193</v>
      </c>
      <c r="E274" s="5"/>
      <c r="F274" s="12">
        <f t="shared" si="123"/>
        <v>0</v>
      </c>
      <c r="G274" s="5"/>
      <c r="H274" s="5"/>
      <c r="I274" s="5">
        <f t="shared" si="115"/>
        <v>0</v>
      </c>
      <c r="J274" s="5">
        <v>0</v>
      </c>
      <c r="K274" s="5">
        <f t="shared" ref="K274:K276" si="131">M274+N274</f>
        <v>0</v>
      </c>
      <c r="L274" s="5"/>
      <c r="M274" s="5"/>
      <c r="N274" s="5"/>
      <c r="O274" s="5">
        <f t="shared" si="121"/>
        <v>0</v>
      </c>
      <c r="P274" s="2">
        <f t="shared" si="128"/>
        <v>0</v>
      </c>
      <c r="Q274" s="2">
        <f t="shared" si="112"/>
        <v>0</v>
      </c>
      <c r="R274" s="2">
        <f t="shared" si="125"/>
        <v>0</v>
      </c>
    </row>
    <row r="275" spans="1:18" s="11" customFormat="1" ht="51" x14ac:dyDescent="0.2">
      <c r="A275" s="66"/>
      <c r="B275" s="66"/>
      <c r="C275" s="67"/>
      <c r="D275" s="41" t="s">
        <v>474</v>
      </c>
      <c r="E275" s="5">
        <v>2200000</v>
      </c>
      <c r="F275" s="12">
        <f t="shared" si="123"/>
        <v>-2200000</v>
      </c>
      <c r="G275" s="5">
        <v>-2200000</v>
      </c>
      <c r="H275" s="5"/>
      <c r="I275" s="5">
        <f t="shared" si="115"/>
        <v>0</v>
      </c>
      <c r="J275" s="5"/>
      <c r="K275" s="5">
        <f t="shared" si="131"/>
        <v>2300000</v>
      </c>
      <c r="L275" s="5"/>
      <c r="M275" s="5"/>
      <c r="N275" s="5">
        <f>2300000</f>
        <v>2300000</v>
      </c>
      <c r="O275" s="5">
        <f t="shared" si="121"/>
        <v>2300000</v>
      </c>
      <c r="P275" s="2">
        <f t="shared" si="128"/>
        <v>2200000</v>
      </c>
      <c r="Q275" s="2">
        <f t="shared" si="112"/>
        <v>100000</v>
      </c>
      <c r="R275" s="2">
        <f t="shared" si="125"/>
        <v>2300000</v>
      </c>
    </row>
    <row r="276" spans="1:18" s="11" customFormat="1" ht="36" x14ac:dyDescent="0.2">
      <c r="A276" s="66"/>
      <c r="B276" s="66"/>
      <c r="C276" s="67"/>
      <c r="D276" s="21" t="s">
        <v>484</v>
      </c>
      <c r="E276" s="5">
        <v>100000</v>
      </c>
      <c r="F276" s="12">
        <f t="shared" si="123"/>
        <v>-100000</v>
      </c>
      <c r="G276" s="5">
        <v>-100000</v>
      </c>
      <c r="H276" s="5"/>
      <c r="I276" s="5">
        <f t="shared" si="115"/>
        <v>0</v>
      </c>
      <c r="J276" s="5">
        <v>0</v>
      </c>
      <c r="K276" s="5">
        <f t="shared" si="131"/>
        <v>0</v>
      </c>
      <c r="L276" s="5"/>
      <c r="M276" s="5"/>
      <c r="N276" s="5"/>
      <c r="O276" s="5">
        <f t="shared" si="121"/>
        <v>0</v>
      </c>
      <c r="P276" s="2">
        <f t="shared" si="128"/>
        <v>100000</v>
      </c>
      <c r="Q276" s="2">
        <f t="shared" si="112"/>
        <v>-100000</v>
      </c>
      <c r="R276" s="2">
        <f t="shared" si="125"/>
        <v>0</v>
      </c>
    </row>
    <row r="277" spans="1:18" s="4" customFormat="1" ht="25.5" x14ac:dyDescent="0.2">
      <c r="A277" s="17" t="s">
        <v>196</v>
      </c>
      <c r="B277" s="1"/>
      <c r="C277" s="1"/>
      <c r="D277" s="22" t="s">
        <v>332</v>
      </c>
      <c r="E277" s="2">
        <f>E279+E282+E280+E287+E283+E281</f>
        <v>23110000</v>
      </c>
      <c r="F277" s="12">
        <f t="shared" si="123"/>
        <v>0</v>
      </c>
      <c r="G277" s="2">
        <f>G279+G282+G280+G287+G283+G281</f>
        <v>0</v>
      </c>
      <c r="H277" s="2">
        <f>H279+H282+H280+H287+H283+H281</f>
        <v>0</v>
      </c>
      <c r="I277" s="5">
        <f t="shared" si="115"/>
        <v>23110000</v>
      </c>
      <c r="J277" s="2">
        <f>J279+J282+J280+J287+J283+J281+J286</f>
        <v>200000</v>
      </c>
      <c r="K277" s="2">
        <f t="shared" ref="K277:O277" si="132">K279+K282+K280+K287+K283+K281+K286</f>
        <v>2753657</v>
      </c>
      <c r="L277" s="2">
        <f t="shared" si="132"/>
        <v>0</v>
      </c>
      <c r="M277" s="2">
        <f t="shared" si="132"/>
        <v>99900</v>
      </c>
      <c r="N277" s="2">
        <f t="shared" si="132"/>
        <v>2653757</v>
      </c>
      <c r="O277" s="2">
        <f t="shared" si="132"/>
        <v>2953657</v>
      </c>
      <c r="P277" s="2">
        <f>P279+P282+P280+P287+P283+P281</f>
        <v>23310000</v>
      </c>
      <c r="Q277" s="2">
        <f t="shared" si="112"/>
        <v>2753657</v>
      </c>
      <c r="R277" s="2">
        <f t="shared" si="125"/>
        <v>26063657</v>
      </c>
    </row>
    <row r="278" spans="1:18" s="4" customFormat="1" ht="25.5" x14ac:dyDescent="0.2">
      <c r="A278" s="17" t="s">
        <v>197</v>
      </c>
      <c r="B278" s="1"/>
      <c r="C278" s="1"/>
      <c r="D278" s="22" t="s">
        <v>332</v>
      </c>
      <c r="E278" s="2"/>
      <c r="F278" s="12">
        <f t="shared" si="123"/>
        <v>0</v>
      </c>
      <c r="G278" s="2"/>
      <c r="H278" s="2"/>
      <c r="I278" s="5">
        <f t="shared" si="115"/>
        <v>0</v>
      </c>
      <c r="J278" s="5">
        <v>0</v>
      </c>
      <c r="K278" s="5">
        <f t="shared" ref="K278:K287" si="133">M278+N278</f>
        <v>0</v>
      </c>
      <c r="L278" s="2"/>
      <c r="M278" s="2"/>
      <c r="N278" s="2"/>
      <c r="O278" s="2">
        <f t="shared" si="121"/>
        <v>0</v>
      </c>
      <c r="P278" s="2">
        <f t="shared" si="128"/>
        <v>0</v>
      </c>
      <c r="Q278" s="2">
        <f t="shared" si="112"/>
        <v>0</v>
      </c>
      <c r="R278" s="2">
        <f t="shared" si="125"/>
        <v>0</v>
      </c>
    </row>
    <row r="279" spans="1:18" s="11" customFormat="1" ht="36" x14ac:dyDescent="0.2">
      <c r="A279" s="66" t="s">
        <v>198</v>
      </c>
      <c r="B279" s="67" t="s">
        <v>61</v>
      </c>
      <c r="C279" s="67" t="s">
        <v>22</v>
      </c>
      <c r="D279" s="18" t="s">
        <v>450</v>
      </c>
      <c r="E279" s="5">
        <v>15050000</v>
      </c>
      <c r="F279" s="12">
        <f t="shared" si="123"/>
        <v>0</v>
      </c>
      <c r="G279" s="5">
        <v>0</v>
      </c>
      <c r="H279" s="5"/>
      <c r="I279" s="5">
        <f t="shared" si="115"/>
        <v>15050000</v>
      </c>
      <c r="J279" s="5">
        <v>0</v>
      </c>
      <c r="K279" s="5">
        <f t="shared" si="133"/>
        <v>0</v>
      </c>
      <c r="L279" s="5"/>
      <c r="M279" s="5"/>
      <c r="N279" s="5"/>
      <c r="O279" s="5">
        <f t="shared" si="121"/>
        <v>0</v>
      </c>
      <c r="P279" s="2">
        <f t="shared" si="128"/>
        <v>15050000</v>
      </c>
      <c r="Q279" s="2">
        <f t="shared" si="112"/>
        <v>0</v>
      </c>
      <c r="R279" s="2">
        <f t="shared" si="125"/>
        <v>15050000</v>
      </c>
    </row>
    <row r="280" spans="1:18" s="11" customFormat="1" ht="12.75" x14ac:dyDescent="0.2">
      <c r="A280" s="66" t="s">
        <v>203</v>
      </c>
      <c r="B280" s="67" t="s">
        <v>11</v>
      </c>
      <c r="C280" s="67" t="s">
        <v>14</v>
      </c>
      <c r="D280" s="18" t="s">
        <v>166</v>
      </c>
      <c r="E280" s="5">
        <v>60000</v>
      </c>
      <c r="F280" s="12">
        <f t="shared" si="123"/>
        <v>0</v>
      </c>
      <c r="G280" s="5"/>
      <c r="H280" s="5"/>
      <c r="I280" s="5">
        <f t="shared" si="115"/>
        <v>60000</v>
      </c>
      <c r="J280" s="5">
        <v>0</v>
      </c>
      <c r="K280" s="5">
        <f t="shared" si="133"/>
        <v>0</v>
      </c>
      <c r="L280" s="5"/>
      <c r="M280" s="5"/>
      <c r="N280" s="5"/>
      <c r="O280" s="5">
        <f t="shared" si="121"/>
        <v>0</v>
      </c>
      <c r="P280" s="2">
        <f t="shared" si="128"/>
        <v>60000</v>
      </c>
      <c r="Q280" s="2">
        <f t="shared" si="112"/>
        <v>0</v>
      </c>
      <c r="R280" s="2">
        <f t="shared" si="125"/>
        <v>60000</v>
      </c>
    </row>
    <row r="281" spans="1:18" s="11" customFormat="1" ht="12.75" x14ac:dyDescent="0.2">
      <c r="A281" s="66" t="s">
        <v>466</v>
      </c>
      <c r="B281" s="67" t="s">
        <v>467</v>
      </c>
      <c r="C281" s="67" t="s">
        <v>201</v>
      </c>
      <c r="D281" s="18" t="s">
        <v>468</v>
      </c>
      <c r="E281" s="5">
        <v>2500000</v>
      </c>
      <c r="F281" s="12">
        <f t="shared" si="123"/>
        <v>0</v>
      </c>
      <c r="G281" s="5"/>
      <c r="H281" s="5"/>
      <c r="I281" s="5">
        <f t="shared" si="115"/>
        <v>2500000</v>
      </c>
      <c r="J281" s="5"/>
      <c r="K281" s="5">
        <f t="shared" si="133"/>
        <v>0</v>
      </c>
      <c r="L281" s="5"/>
      <c r="M281" s="5"/>
      <c r="N281" s="5"/>
      <c r="O281" s="5">
        <f t="shared" si="121"/>
        <v>0</v>
      </c>
      <c r="P281" s="2">
        <f t="shared" si="128"/>
        <v>2500000</v>
      </c>
      <c r="Q281" s="2">
        <f t="shared" si="112"/>
        <v>0</v>
      </c>
      <c r="R281" s="2">
        <f t="shared" si="125"/>
        <v>2500000</v>
      </c>
    </row>
    <row r="282" spans="1:18" s="11" customFormat="1" ht="12.75" x14ac:dyDescent="0.2">
      <c r="A282" s="66" t="s">
        <v>199</v>
      </c>
      <c r="B282" s="67" t="s">
        <v>200</v>
      </c>
      <c r="C282" s="67" t="s">
        <v>201</v>
      </c>
      <c r="D282" s="18" t="s">
        <v>202</v>
      </c>
      <c r="E282" s="5">
        <v>500000</v>
      </c>
      <c r="F282" s="12">
        <f t="shared" si="123"/>
        <v>0</v>
      </c>
      <c r="G282" s="5"/>
      <c r="H282" s="5"/>
      <c r="I282" s="5">
        <f t="shared" si="115"/>
        <v>500000</v>
      </c>
      <c r="J282" s="5">
        <v>0</v>
      </c>
      <c r="K282" s="5">
        <f t="shared" si="133"/>
        <v>0</v>
      </c>
      <c r="L282" s="5"/>
      <c r="M282" s="5"/>
      <c r="N282" s="5"/>
      <c r="O282" s="5">
        <f t="shared" si="121"/>
        <v>0</v>
      </c>
      <c r="P282" s="2">
        <f t="shared" si="128"/>
        <v>500000</v>
      </c>
      <c r="Q282" s="2">
        <f t="shared" si="112"/>
        <v>0</v>
      </c>
      <c r="R282" s="2">
        <f t="shared" si="125"/>
        <v>500000</v>
      </c>
    </row>
    <row r="283" spans="1:18" s="11" customFormat="1" ht="12.75" x14ac:dyDescent="0.2">
      <c r="A283" s="66" t="s">
        <v>465</v>
      </c>
      <c r="B283" s="67" t="s">
        <v>426</v>
      </c>
      <c r="C283" s="67" t="s">
        <v>201</v>
      </c>
      <c r="D283" s="18" t="s">
        <v>427</v>
      </c>
      <c r="E283" s="5">
        <v>5000000</v>
      </c>
      <c r="F283" s="12">
        <f t="shared" si="123"/>
        <v>0</v>
      </c>
      <c r="G283" s="5"/>
      <c r="H283" s="5"/>
      <c r="I283" s="5">
        <f t="shared" si="115"/>
        <v>5000000</v>
      </c>
      <c r="J283" s="5">
        <v>0</v>
      </c>
      <c r="K283" s="5">
        <f t="shared" si="133"/>
        <v>0</v>
      </c>
      <c r="L283" s="5"/>
      <c r="M283" s="5"/>
      <c r="N283" s="5"/>
      <c r="O283" s="5">
        <f t="shared" si="121"/>
        <v>0</v>
      </c>
      <c r="P283" s="2">
        <f t="shared" si="128"/>
        <v>5000000</v>
      </c>
      <c r="Q283" s="2">
        <f t="shared" si="112"/>
        <v>0</v>
      </c>
      <c r="R283" s="2">
        <f t="shared" si="125"/>
        <v>5000000</v>
      </c>
    </row>
    <row r="284" spans="1:18" s="11" customFormat="1" ht="12.75" x14ac:dyDescent="0.2">
      <c r="A284" s="66"/>
      <c r="B284" s="67"/>
      <c r="C284" s="67"/>
      <c r="D284" s="21" t="s">
        <v>193</v>
      </c>
      <c r="E284" s="5"/>
      <c r="F284" s="12">
        <f t="shared" si="123"/>
        <v>0</v>
      </c>
      <c r="G284" s="5"/>
      <c r="H284" s="5"/>
      <c r="I284" s="5">
        <f t="shared" si="115"/>
        <v>0</v>
      </c>
      <c r="J284" s="5"/>
      <c r="K284" s="5">
        <f t="shared" si="133"/>
        <v>0</v>
      </c>
      <c r="L284" s="5"/>
      <c r="M284" s="5"/>
      <c r="N284" s="5"/>
      <c r="O284" s="5">
        <f t="shared" si="121"/>
        <v>0</v>
      </c>
      <c r="P284" s="2"/>
      <c r="Q284" s="2">
        <f t="shared" si="112"/>
        <v>0</v>
      </c>
      <c r="R284" s="2">
        <f t="shared" si="125"/>
        <v>0</v>
      </c>
    </row>
    <row r="285" spans="1:18" s="11" customFormat="1" ht="12.75" x14ac:dyDescent="0.2">
      <c r="A285" s="66"/>
      <c r="B285" s="67"/>
      <c r="C285" s="67"/>
      <c r="D285" s="21" t="s">
        <v>486</v>
      </c>
      <c r="E285" s="5">
        <v>5000000</v>
      </c>
      <c r="F285" s="12">
        <f t="shared" si="123"/>
        <v>0</v>
      </c>
      <c r="G285" s="5"/>
      <c r="H285" s="5"/>
      <c r="I285" s="5">
        <f t="shared" si="115"/>
        <v>5000000</v>
      </c>
      <c r="J285" s="5"/>
      <c r="K285" s="5">
        <f t="shared" si="133"/>
        <v>0</v>
      </c>
      <c r="L285" s="5"/>
      <c r="M285" s="5"/>
      <c r="N285" s="5"/>
      <c r="O285" s="5">
        <f t="shared" si="121"/>
        <v>0</v>
      </c>
      <c r="P285" s="2"/>
      <c r="Q285" s="2">
        <f t="shared" si="112"/>
        <v>0</v>
      </c>
      <c r="R285" s="2">
        <f t="shared" si="125"/>
        <v>0</v>
      </c>
    </row>
    <row r="286" spans="1:18" s="11" customFormat="1" ht="24" x14ac:dyDescent="0.2">
      <c r="A286" s="66" t="s">
        <v>525</v>
      </c>
      <c r="B286" s="67" t="s">
        <v>79</v>
      </c>
      <c r="C286" s="67" t="s">
        <v>25</v>
      </c>
      <c r="D286" s="18" t="s">
        <v>9</v>
      </c>
      <c r="E286" s="5"/>
      <c r="F286" s="5">
        <f t="shared" ref="F286:F287" si="134">G286+H286</f>
        <v>0</v>
      </c>
      <c r="G286" s="5"/>
      <c r="H286" s="5"/>
      <c r="I286" s="5">
        <f t="shared" si="115"/>
        <v>0</v>
      </c>
      <c r="J286" s="5"/>
      <c r="K286" s="5">
        <f t="shared" si="133"/>
        <v>2653757</v>
      </c>
      <c r="L286" s="5"/>
      <c r="M286" s="5"/>
      <c r="N286" s="5">
        <f>2653757</f>
        <v>2653757</v>
      </c>
      <c r="O286" s="5">
        <f>K286+J286</f>
        <v>2653757</v>
      </c>
      <c r="P286" s="2">
        <f t="shared" ref="P286" si="135">E286+J286</f>
        <v>0</v>
      </c>
      <c r="Q286" s="2">
        <f t="shared" si="112"/>
        <v>2653757</v>
      </c>
      <c r="R286" s="2">
        <f t="shared" si="125"/>
        <v>2653757</v>
      </c>
    </row>
    <row r="287" spans="1:18" s="11" customFormat="1" ht="24" x14ac:dyDescent="0.2">
      <c r="A287" s="66" t="s">
        <v>314</v>
      </c>
      <c r="B287" s="67" t="s">
        <v>98</v>
      </c>
      <c r="C287" s="67" t="s">
        <v>16</v>
      </c>
      <c r="D287" s="18" t="s">
        <v>6</v>
      </c>
      <c r="E287" s="5"/>
      <c r="F287" s="5">
        <f t="shared" si="134"/>
        <v>0</v>
      </c>
      <c r="G287" s="5"/>
      <c r="H287" s="5"/>
      <c r="I287" s="5">
        <f t="shared" si="115"/>
        <v>0</v>
      </c>
      <c r="J287" s="5">
        <v>200000</v>
      </c>
      <c r="K287" s="5">
        <f t="shared" si="133"/>
        <v>99900</v>
      </c>
      <c r="L287" s="5"/>
      <c r="M287" s="5">
        <f>99900</f>
        <v>99900</v>
      </c>
      <c r="N287" s="5"/>
      <c r="O287" s="5">
        <f t="shared" si="121"/>
        <v>299900</v>
      </c>
      <c r="P287" s="2">
        <f t="shared" si="128"/>
        <v>200000</v>
      </c>
      <c r="Q287" s="2">
        <f t="shared" si="112"/>
        <v>99900</v>
      </c>
      <c r="R287" s="2">
        <f t="shared" si="125"/>
        <v>299900</v>
      </c>
    </row>
    <row r="288" spans="1:18" s="4" customFormat="1" ht="38.25" x14ac:dyDescent="0.2">
      <c r="A288" s="17" t="s">
        <v>329</v>
      </c>
      <c r="B288" s="1"/>
      <c r="C288" s="1"/>
      <c r="D288" s="22" t="s">
        <v>333</v>
      </c>
      <c r="E288" s="2">
        <f t="shared" ref="E288" si="136">E290</f>
        <v>23000000</v>
      </c>
      <c r="F288" s="2">
        <f>F290</f>
        <v>1243000</v>
      </c>
      <c r="G288" s="2">
        <f t="shared" ref="G288:P288" si="137">G290</f>
        <v>1243000</v>
      </c>
      <c r="H288" s="2">
        <f t="shared" si="137"/>
        <v>0</v>
      </c>
      <c r="I288" s="5">
        <f t="shared" si="115"/>
        <v>24243000</v>
      </c>
      <c r="J288" s="2">
        <f>SUM(J290)</f>
        <v>0</v>
      </c>
      <c r="K288" s="2">
        <f t="shared" si="137"/>
        <v>57000</v>
      </c>
      <c r="L288" s="2">
        <f t="shared" si="137"/>
        <v>0</v>
      </c>
      <c r="M288" s="2">
        <f t="shared" si="137"/>
        <v>0</v>
      </c>
      <c r="N288" s="2">
        <f t="shared" si="137"/>
        <v>57000</v>
      </c>
      <c r="O288" s="2">
        <f t="shared" si="137"/>
        <v>57000</v>
      </c>
      <c r="P288" s="2">
        <f t="shared" si="137"/>
        <v>23000000</v>
      </c>
      <c r="Q288" s="2">
        <f t="shared" si="112"/>
        <v>1300000</v>
      </c>
      <c r="R288" s="2">
        <f t="shared" si="125"/>
        <v>24300000</v>
      </c>
    </row>
    <row r="289" spans="1:18" s="4" customFormat="1" ht="38.25" x14ac:dyDescent="0.2">
      <c r="A289" s="17" t="s">
        <v>330</v>
      </c>
      <c r="B289" s="1"/>
      <c r="C289" s="1"/>
      <c r="D289" s="22" t="s">
        <v>333</v>
      </c>
      <c r="E289" s="2"/>
      <c r="F289" s="2"/>
      <c r="G289" s="2"/>
      <c r="H289" s="2"/>
      <c r="I289" s="5">
        <f t="shared" si="115"/>
        <v>0</v>
      </c>
      <c r="J289" s="5">
        <v>0</v>
      </c>
      <c r="K289" s="5">
        <f t="shared" ref="K289:K290" si="138">M289+N289</f>
        <v>0</v>
      </c>
      <c r="L289" s="2"/>
      <c r="M289" s="2"/>
      <c r="N289" s="2"/>
      <c r="O289" s="2">
        <f t="shared" si="121"/>
        <v>0</v>
      </c>
      <c r="P289" s="2">
        <f t="shared" si="128"/>
        <v>0</v>
      </c>
      <c r="Q289" s="2">
        <f t="shared" si="112"/>
        <v>0</v>
      </c>
      <c r="R289" s="2">
        <f t="shared" si="125"/>
        <v>0</v>
      </c>
    </row>
    <row r="290" spans="1:18" s="11" customFormat="1" ht="36" x14ac:dyDescent="0.2">
      <c r="A290" s="66" t="s">
        <v>331</v>
      </c>
      <c r="B290" s="67" t="s">
        <v>61</v>
      </c>
      <c r="C290" s="67" t="s">
        <v>22</v>
      </c>
      <c r="D290" s="18" t="s">
        <v>450</v>
      </c>
      <c r="E290" s="5">
        <v>23000000</v>
      </c>
      <c r="F290" s="5">
        <f>G290+H290</f>
        <v>1243000</v>
      </c>
      <c r="G290" s="5">
        <v>1243000</v>
      </c>
      <c r="H290" s="5"/>
      <c r="I290" s="5">
        <f t="shared" si="115"/>
        <v>24243000</v>
      </c>
      <c r="J290" s="5">
        <v>0</v>
      </c>
      <c r="K290" s="5">
        <f t="shared" si="138"/>
        <v>57000</v>
      </c>
      <c r="L290" s="5"/>
      <c r="M290" s="5"/>
      <c r="N290" s="5">
        <f>57000</f>
        <v>57000</v>
      </c>
      <c r="O290" s="5">
        <f t="shared" si="121"/>
        <v>57000</v>
      </c>
      <c r="P290" s="2">
        <f t="shared" si="128"/>
        <v>23000000</v>
      </c>
      <c r="Q290" s="2">
        <f t="shared" si="112"/>
        <v>1300000</v>
      </c>
      <c r="R290" s="2">
        <f t="shared" si="125"/>
        <v>24300000</v>
      </c>
    </row>
    <row r="291" spans="1:18" s="4" customFormat="1" ht="25.5" x14ac:dyDescent="0.2">
      <c r="A291" s="17" t="s">
        <v>119</v>
      </c>
      <c r="B291" s="1"/>
      <c r="C291" s="1"/>
      <c r="D291" s="62" t="s">
        <v>366</v>
      </c>
      <c r="E291" s="2">
        <f>E293+E294+E301+E302+E303+E304</f>
        <v>230230535</v>
      </c>
      <c r="F291" s="2">
        <f>F293+F294+F301+F302+F303+F304+F310</f>
        <v>-23000018</v>
      </c>
      <c r="G291" s="2">
        <f>G293+G294+G301+G302+G303+G304+G310</f>
        <v>-23000018</v>
      </c>
      <c r="H291" s="2">
        <f>H293+H294+H301+H302+H303+H304</f>
        <v>0</v>
      </c>
      <c r="I291" s="5">
        <f t="shared" si="115"/>
        <v>207230517</v>
      </c>
      <c r="J291" s="2">
        <f t="shared" ref="J291" si="139">J293+J294+J301+J302+J303+J310</f>
        <v>0</v>
      </c>
      <c r="K291" s="2">
        <f>K293+K294+K301+K302+K303+K310+K304</f>
        <v>37034684</v>
      </c>
      <c r="L291" s="2">
        <f>L293+L294+L301+L302+L303+L310+L304</f>
        <v>1000000</v>
      </c>
      <c r="M291" s="2">
        <f>M293+M294+M301+M302+M303+M310+M304</f>
        <v>0</v>
      </c>
      <c r="N291" s="2">
        <f>N293+N294+N301+N302+N303+N310+N304</f>
        <v>37034684</v>
      </c>
      <c r="O291" s="2">
        <f>O293+O294+O301+O302+O303+O310+O304</f>
        <v>37034684</v>
      </c>
      <c r="P291" s="2">
        <f>P293+P294+P301+P302+P303+P304</f>
        <v>230230535</v>
      </c>
      <c r="Q291" s="2">
        <f>F291+K291</f>
        <v>14034666</v>
      </c>
      <c r="R291" s="2">
        <f>P291+Q291</f>
        <v>244265201</v>
      </c>
    </row>
    <row r="292" spans="1:18" s="4" customFormat="1" ht="25.5" x14ac:dyDescent="0.2">
      <c r="A292" s="17" t="s">
        <v>120</v>
      </c>
      <c r="B292" s="1"/>
      <c r="C292" s="1"/>
      <c r="D292" s="62" t="s">
        <v>366</v>
      </c>
      <c r="E292" s="2"/>
      <c r="F292" s="5">
        <f t="shared" ref="F292:F302" si="140">G292+H292</f>
        <v>0</v>
      </c>
      <c r="G292" s="2"/>
      <c r="H292" s="2"/>
      <c r="I292" s="5">
        <f t="shared" si="115"/>
        <v>0</v>
      </c>
      <c r="J292" s="5">
        <v>0</v>
      </c>
      <c r="K292" s="5">
        <f t="shared" ref="K292:K299" si="141">M292+N292</f>
        <v>0</v>
      </c>
      <c r="L292" s="2"/>
      <c r="M292" s="2"/>
      <c r="N292" s="2"/>
      <c r="O292" s="2">
        <f t="shared" si="121"/>
        <v>0</v>
      </c>
      <c r="P292" s="2">
        <f t="shared" si="128"/>
        <v>0</v>
      </c>
      <c r="Q292" s="2">
        <f t="shared" si="112"/>
        <v>0</v>
      </c>
      <c r="R292" s="2">
        <f t="shared" si="125"/>
        <v>0</v>
      </c>
    </row>
    <row r="293" spans="1:18" s="11" customFormat="1" ht="36" x14ac:dyDescent="0.2">
      <c r="A293" s="66" t="s">
        <v>121</v>
      </c>
      <c r="B293" s="67" t="s">
        <v>61</v>
      </c>
      <c r="C293" s="67" t="s">
        <v>22</v>
      </c>
      <c r="D293" s="18" t="s">
        <v>450</v>
      </c>
      <c r="E293" s="5">
        <f>18900000+2900</f>
        <v>18902900</v>
      </c>
      <c r="F293" s="5">
        <f t="shared" si="140"/>
        <v>0</v>
      </c>
      <c r="G293" s="5"/>
      <c r="H293" s="5"/>
      <c r="I293" s="5">
        <f t="shared" si="115"/>
        <v>18902900</v>
      </c>
      <c r="J293" s="5">
        <v>0</v>
      </c>
      <c r="K293" s="5">
        <f t="shared" si="141"/>
        <v>0</v>
      </c>
      <c r="L293" s="5"/>
      <c r="M293" s="5"/>
      <c r="N293" s="5"/>
      <c r="O293" s="5">
        <f t="shared" si="121"/>
        <v>0</v>
      </c>
      <c r="P293" s="2">
        <f t="shared" si="128"/>
        <v>18902900</v>
      </c>
      <c r="Q293" s="2">
        <f t="shared" si="112"/>
        <v>0</v>
      </c>
      <c r="R293" s="2">
        <f>P293+Q293</f>
        <v>18902900</v>
      </c>
    </row>
    <row r="294" spans="1:18" s="11" customFormat="1" ht="12" x14ac:dyDescent="0.2">
      <c r="A294" s="66" t="s">
        <v>182</v>
      </c>
      <c r="B294" s="67" t="s">
        <v>11</v>
      </c>
      <c r="C294" s="67" t="s">
        <v>14</v>
      </c>
      <c r="D294" s="18" t="s">
        <v>183</v>
      </c>
      <c r="E294" s="5">
        <f>E296+E297+E298+E299+6500000</f>
        <v>56160000</v>
      </c>
      <c r="F294" s="5">
        <f t="shared" si="140"/>
        <v>-38301618</v>
      </c>
      <c r="G294" s="5">
        <f>G296+G297+G298+G299+G300-5395000</f>
        <v>-38301618</v>
      </c>
      <c r="H294" s="5"/>
      <c r="I294" s="5">
        <f>E294+F294</f>
        <v>17858382</v>
      </c>
      <c r="J294" s="5">
        <v>0</v>
      </c>
      <c r="K294" s="5">
        <f t="shared" si="141"/>
        <v>14000000</v>
      </c>
      <c r="L294" s="5">
        <f>SUM(L296:L299)</f>
        <v>0</v>
      </c>
      <c r="M294" s="5">
        <f>SUM(M296:M299)</f>
        <v>0</v>
      </c>
      <c r="N294" s="5">
        <f>14000000</f>
        <v>14000000</v>
      </c>
      <c r="O294" s="5">
        <f t="shared" ref="O294" si="142">K294+J294</f>
        <v>14000000</v>
      </c>
      <c r="P294" s="2">
        <f t="shared" si="128"/>
        <v>56160000</v>
      </c>
      <c r="Q294" s="2">
        <f t="shared" si="112"/>
        <v>-24301618</v>
      </c>
      <c r="R294" s="2">
        <f t="shared" si="125"/>
        <v>31858382</v>
      </c>
    </row>
    <row r="295" spans="1:18" s="11" customFormat="1" ht="12" x14ac:dyDescent="0.2">
      <c r="A295" s="66"/>
      <c r="B295" s="67"/>
      <c r="C295" s="67"/>
      <c r="D295" s="18" t="s">
        <v>27</v>
      </c>
      <c r="E295" s="5"/>
      <c r="F295" s="5">
        <f t="shared" si="140"/>
        <v>0</v>
      </c>
      <c r="G295" s="5"/>
      <c r="H295" s="5"/>
      <c r="I295" s="5">
        <f t="shared" si="115"/>
        <v>0</v>
      </c>
      <c r="J295" s="5"/>
      <c r="K295" s="5">
        <f t="shared" si="141"/>
        <v>0</v>
      </c>
      <c r="L295" s="5"/>
      <c r="M295" s="5"/>
      <c r="N295" s="5"/>
      <c r="O295" s="5">
        <f t="shared" si="121"/>
        <v>0</v>
      </c>
      <c r="P295" s="2">
        <f t="shared" si="128"/>
        <v>0</v>
      </c>
      <c r="Q295" s="2">
        <f t="shared" si="112"/>
        <v>0</v>
      </c>
      <c r="R295" s="2">
        <f t="shared" si="125"/>
        <v>0</v>
      </c>
    </row>
    <row r="296" spans="1:18" s="11" customFormat="1" ht="12" x14ac:dyDescent="0.2">
      <c r="A296" s="66"/>
      <c r="B296" s="67"/>
      <c r="C296" s="67"/>
      <c r="D296" s="20" t="s">
        <v>28</v>
      </c>
      <c r="E296" s="5">
        <v>200000</v>
      </c>
      <c r="F296" s="5">
        <f t="shared" si="140"/>
        <v>0</v>
      </c>
      <c r="G296" s="5"/>
      <c r="H296" s="5"/>
      <c r="I296" s="5">
        <f t="shared" si="115"/>
        <v>200000</v>
      </c>
      <c r="J296" s="5">
        <v>0</v>
      </c>
      <c r="K296" s="5">
        <f t="shared" si="141"/>
        <v>0</v>
      </c>
      <c r="L296" s="5"/>
      <c r="M296" s="5"/>
      <c r="N296" s="5"/>
      <c r="O296" s="5">
        <f t="shared" si="121"/>
        <v>0</v>
      </c>
      <c r="P296" s="2">
        <f t="shared" si="128"/>
        <v>200000</v>
      </c>
      <c r="Q296" s="2">
        <f t="shared" si="112"/>
        <v>0</v>
      </c>
      <c r="R296" s="2">
        <f t="shared" si="125"/>
        <v>200000</v>
      </c>
    </row>
    <row r="297" spans="1:18" s="11" customFormat="1" ht="36" x14ac:dyDescent="0.2">
      <c r="A297" s="66"/>
      <c r="B297" s="67"/>
      <c r="C297" s="67"/>
      <c r="D297" s="18" t="s">
        <v>322</v>
      </c>
      <c r="E297" s="5">
        <f>5670000+6000000+6000000+1540000</f>
        <v>19210000</v>
      </c>
      <c r="F297" s="5">
        <f>G297+H297</f>
        <v>-14291448</v>
      </c>
      <c r="G297" s="5">
        <f>-9766003-4525445</f>
        <v>-14291448</v>
      </c>
      <c r="H297" s="5"/>
      <c r="I297" s="5">
        <f t="shared" si="115"/>
        <v>4918552</v>
      </c>
      <c r="J297" s="5">
        <v>0</v>
      </c>
      <c r="K297" s="5">
        <f t="shared" si="141"/>
        <v>0</v>
      </c>
      <c r="L297" s="5"/>
      <c r="M297" s="5"/>
      <c r="N297" s="5"/>
      <c r="O297" s="5">
        <f t="shared" si="121"/>
        <v>0</v>
      </c>
      <c r="P297" s="2">
        <f>E297+J297</f>
        <v>19210000</v>
      </c>
      <c r="Q297" s="2">
        <f>F297+K297</f>
        <v>-14291448</v>
      </c>
      <c r="R297" s="2">
        <f>P297+Q297</f>
        <v>4918552</v>
      </c>
    </row>
    <row r="298" spans="1:18" s="11" customFormat="1" ht="24" x14ac:dyDescent="0.2">
      <c r="A298" s="66"/>
      <c r="B298" s="67"/>
      <c r="C298" s="67"/>
      <c r="D298" s="18" t="s">
        <v>56</v>
      </c>
      <c r="E298" s="5">
        <f>28000000+2000000</f>
        <v>30000000</v>
      </c>
      <c r="F298" s="5">
        <f t="shared" si="140"/>
        <v>-28552670</v>
      </c>
      <c r="G298" s="5">
        <f>-2507503-297770-25500000-247397</f>
        <v>-28552670</v>
      </c>
      <c r="H298" s="5"/>
      <c r="I298" s="5">
        <f t="shared" si="115"/>
        <v>1447330</v>
      </c>
      <c r="J298" s="5">
        <v>0</v>
      </c>
      <c r="K298" s="5">
        <f t="shared" si="141"/>
        <v>0</v>
      </c>
      <c r="L298" s="5"/>
      <c r="M298" s="5"/>
      <c r="N298" s="5"/>
      <c r="O298" s="5">
        <f t="shared" si="121"/>
        <v>0</v>
      </c>
      <c r="P298" s="2">
        <f t="shared" si="128"/>
        <v>30000000</v>
      </c>
      <c r="Q298" s="2">
        <f t="shared" si="112"/>
        <v>-28552670</v>
      </c>
      <c r="R298" s="2">
        <f t="shared" si="125"/>
        <v>1447330</v>
      </c>
    </row>
    <row r="299" spans="1:18" s="11" customFormat="1" ht="14.25" customHeight="1" x14ac:dyDescent="0.2">
      <c r="A299" s="66"/>
      <c r="B299" s="67"/>
      <c r="C299" s="67"/>
      <c r="D299" s="23" t="s">
        <v>323</v>
      </c>
      <c r="E299" s="5">
        <v>250000</v>
      </c>
      <c r="F299" s="5">
        <f t="shared" si="140"/>
        <v>-99900</v>
      </c>
      <c r="G299" s="5">
        <v>-99900</v>
      </c>
      <c r="H299" s="5"/>
      <c r="I299" s="5">
        <f t="shared" si="115"/>
        <v>150100</v>
      </c>
      <c r="J299" s="5">
        <v>0</v>
      </c>
      <c r="K299" s="5">
        <f t="shared" si="141"/>
        <v>0</v>
      </c>
      <c r="L299" s="5"/>
      <c r="M299" s="5"/>
      <c r="N299" s="5"/>
      <c r="O299" s="5">
        <f t="shared" si="121"/>
        <v>0</v>
      </c>
      <c r="P299" s="2">
        <f t="shared" si="128"/>
        <v>250000</v>
      </c>
      <c r="Q299" s="2">
        <f t="shared" si="112"/>
        <v>-99900</v>
      </c>
      <c r="R299" s="2">
        <f t="shared" si="125"/>
        <v>150100</v>
      </c>
    </row>
    <row r="300" spans="1:18" s="11" customFormat="1" ht="84.75" customHeight="1" x14ac:dyDescent="0.2">
      <c r="A300" s="66"/>
      <c r="B300" s="67"/>
      <c r="C300" s="67"/>
      <c r="D300" s="23" t="s">
        <v>572</v>
      </c>
      <c r="E300" s="5"/>
      <c r="F300" s="5">
        <f t="shared" si="140"/>
        <v>10037400</v>
      </c>
      <c r="G300" s="5">
        <v>10037400</v>
      </c>
      <c r="H300" s="5"/>
      <c r="I300" s="5">
        <f t="shared" si="115"/>
        <v>10037400</v>
      </c>
      <c r="J300" s="5"/>
      <c r="K300" s="5"/>
      <c r="L300" s="5"/>
      <c r="M300" s="5"/>
      <c r="N300" s="5"/>
      <c r="O300" s="5"/>
      <c r="P300" s="2">
        <f t="shared" si="128"/>
        <v>0</v>
      </c>
      <c r="Q300" s="2">
        <f t="shared" si="112"/>
        <v>10037400</v>
      </c>
      <c r="R300" s="2">
        <f t="shared" si="125"/>
        <v>10037400</v>
      </c>
    </row>
    <row r="301" spans="1:18" s="11" customFormat="1" ht="12" x14ac:dyDescent="0.2">
      <c r="A301" s="66" t="s">
        <v>122</v>
      </c>
      <c r="B301" s="67" t="s">
        <v>101</v>
      </c>
      <c r="C301" s="67" t="s">
        <v>103</v>
      </c>
      <c r="D301" s="18" t="s">
        <v>102</v>
      </c>
      <c r="E301" s="5">
        <v>15000000</v>
      </c>
      <c r="F301" s="5">
        <f t="shared" si="140"/>
        <v>0</v>
      </c>
      <c r="G301" s="5"/>
      <c r="H301" s="5"/>
      <c r="I301" s="5">
        <f t="shared" si="115"/>
        <v>15000000</v>
      </c>
      <c r="J301" s="5">
        <v>0</v>
      </c>
      <c r="K301" s="5">
        <f t="shared" ref="K301:K324" si="143">M301+N301</f>
        <v>0</v>
      </c>
      <c r="L301" s="5"/>
      <c r="M301" s="5"/>
      <c r="N301" s="5"/>
      <c r="O301" s="5">
        <f t="shared" ref="O301:O324" si="144">K301+J301</f>
        <v>0</v>
      </c>
      <c r="P301" s="2">
        <f t="shared" si="128"/>
        <v>15000000</v>
      </c>
      <c r="Q301" s="2">
        <f t="shared" si="112"/>
        <v>0</v>
      </c>
      <c r="R301" s="2">
        <f t="shared" si="125"/>
        <v>15000000</v>
      </c>
    </row>
    <row r="302" spans="1:18" s="11" customFormat="1" ht="12" x14ac:dyDescent="0.2">
      <c r="A302" s="66" t="s">
        <v>415</v>
      </c>
      <c r="B302" s="67" t="s">
        <v>413</v>
      </c>
      <c r="C302" s="67" t="s">
        <v>14</v>
      </c>
      <c r="D302" s="18" t="s">
        <v>414</v>
      </c>
      <c r="E302" s="5">
        <f>15000000-324665</f>
        <v>14675335</v>
      </c>
      <c r="F302" s="5">
        <f t="shared" si="140"/>
        <v>0</v>
      </c>
      <c r="G302" s="5"/>
      <c r="H302" s="5"/>
      <c r="I302" s="5">
        <f t="shared" si="115"/>
        <v>14675335</v>
      </c>
      <c r="J302" s="5">
        <v>0</v>
      </c>
      <c r="K302" s="5">
        <f t="shared" si="143"/>
        <v>0</v>
      </c>
      <c r="L302" s="5"/>
      <c r="M302" s="5"/>
      <c r="N302" s="5"/>
      <c r="O302" s="5">
        <f t="shared" si="144"/>
        <v>0</v>
      </c>
      <c r="P302" s="2">
        <f t="shared" si="128"/>
        <v>14675335</v>
      </c>
      <c r="Q302" s="2">
        <f t="shared" si="112"/>
        <v>0</v>
      </c>
      <c r="R302" s="2">
        <f t="shared" si="125"/>
        <v>14675335</v>
      </c>
    </row>
    <row r="303" spans="1:18" s="11" customFormat="1" ht="12" x14ac:dyDescent="0.2">
      <c r="A303" s="66" t="s">
        <v>181</v>
      </c>
      <c r="B303" s="67" t="s">
        <v>104</v>
      </c>
      <c r="C303" s="67" t="s">
        <v>11</v>
      </c>
      <c r="D303" s="36" t="s">
        <v>13</v>
      </c>
      <c r="E303" s="5">
        <v>123992300</v>
      </c>
      <c r="F303" s="5">
        <f>G303+H303</f>
        <v>0</v>
      </c>
      <c r="G303" s="5"/>
      <c r="H303" s="5"/>
      <c r="I303" s="5">
        <f t="shared" si="115"/>
        <v>123992300</v>
      </c>
      <c r="J303" s="5">
        <v>0</v>
      </c>
      <c r="K303" s="5">
        <f t="shared" si="143"/>
        <v>0</v>
      </c>
      <c r="L303" s="5"/>
      <c r="M303" s="5"/>
      <c r="N303" s="5"/>
      <c r="O303" s="5">
        <f t="shared" si="144"/>
        <v>0</v>
      </c>
      <c r="P303" s="2">
        <f t="shared" si="128"/>
        <v>123992300</v>
      </c>
      <c r="Q303" s="2">
        <f t="shared" si="112"/>
        <v>0</v>
      </c>
      <c r="R303" s="2">
        <f t="shared" si="125"/>
        <v>123992300</v>
      </c>
    </row>
    <row r="304" spans="1:18" s="11" customFormat="1" ht="12" x14ac:dyDescent="0.2">
      <c r="A304" s="66" t="s">
        <v>557</v>
      </c>
      <c r="B304" s="67" t="s">
        <v>556</v>
      </c>
      <c r="C304" s="67" t="s">
        <v>11</v>
      </c>
      <c r="D304" s="36" t="s">
        <v>555</v>
      </c>
      <c r="E304" s="5">
        <f>E306+E307+E308+E309</f>
        <v>1500000</v>
      </c>
      <c r="F304" s="5">
        <f>G304+H304</f>
        <v>0</v>
      </c>
      <c r="G304" s="5">
        <f>G306+G307+G308+G309</f>
        <v>0</v>
      </c>
      <c r="H304" s="5"/>
      <c r="I304" s="5">
        <f t="shared" ref="I304:I321" si="145">E304+F304</f>
        <v>1500000</v>
      </c>
      <c r="J304" s="5">
        <v>0</v>
      </c>
      <c r="K304" s="5">
        <f t="shared" ref="K304" si="146">M304+N304</f>
        <v>1000000</v>
      </c>
      <c r="L304" s="5">
        <f>L306+L307+L308+L309</f>
        <v>1000000</v>
      </c>
      <c r="M304" s="5">
        <f>M306+M307+M308+M309</f>
        <v>0</v>
      </c>
      <c r="N304" s="5">
        <f>N306+N307+N308+N309</f>
        <v>1000000</v>
      </c>
      <c r="O304" s="5">
        <f t="shared" ref="O304" si="147">K304+J304</f>
        <v>1000000</v>
      </c>
      <c r="P304" s="2">
        <f t="shared" ref="P304:P309" si="148">E304+J304</f>
        <v>1500000</v>
      </c>
      <c r="Q304" s="2">
        <f>F304+K304</f>
        <v>1000000</v>
      </c>
      <c r="R304" s="2">
        <f t="shared" ref="R304:R309" si="149">P304+Q304</f>
        <v>2500000</v>
      </c>
    </row>
    <row r="305" spans="1:18" s="11" customFormat="1" ht="12" x14ac:dyDescent="0.2">
      <c r="A305" s="66"/>
      <c r="B305" s="67"/>
      <c r="C305" s="67"/>
      <c r="D305" s="36" t="s">
        <v>558</v>
      </c>
      <c r="E305" s="5"/>
      <c r="F305" s="5"/>
      <c r="G305" s="5"/>
      <c r="H305" s="5"/>
      <c r="I305" s="5">
        <f t="shared" si="145"/>
        <v>0</v>
      </c>
      <c r="J305" s="5"/>
      <c r="K305" s="5"/>
      <c r="L305" s="5"/>
      <c r="M305" s="5"/>
      <c r="N305" s="5"/>
      <c r="O305" s="5"/>
      <c r="P305" s="2">
        <f t="shared" si="148"/>
        <v>0</v>
      </c>
      <c r="Q305" s="2">
        <f t="shared" ref="Q305:Q309" si="150">F305+K305</f>
        <v>0</v>
      </c>
      <c r="R305" s="2">
        <f t="shared" si="149"/>
        <v>0</v>
      </c>
    </row>
    <row r="306" spans="1:18" s="11" customFormat="1" ht="35.450000000000003" customHeight="1" x14ac:dyDescent="0.2">
      <c r="A306" s="66"/>
      <c r="B306" s="67"/>
      <c r="C306" s="67"/>
      <c r="D306" s="36" t="s">
        <v>561</v>
      </c>
      <c r="E306" s="5">
        <v>500000</v>
      </c>
      <c r="F306" s="5"/>
      <c r="G306" s="5"/>
      <c r="H306" s="5"/>
      <c r="I306" s="5">
        <f t="shared" si="145"/>
        <v>500000</v>
      </c>
      <c r="J306" s="5"/>
      <c r="K306" s="5"/>
      <c r="L306" s="5"/>
      <c r="M306" s="5"/>
      <c r="N306" s="5"/>
      <c r="O306" s="5">
        <f t="shared" ref="O306:O307" si="151">J306+K306</f>
        <v>0</v>
      </c>
      <c r="P306" s="2">
        <f t="shared" si="148"/>
        <v>500000</v>
      </c>
      <c r="Q306" s="2">
        <f t="shared" si="150"/>
        <v>0</v>
      </c>
      <c r="R306" s="2">
        <f t="shared" si="149"/>
        <v>500000</v>
      </c>
    </row>
    <row r="307" spans="1:18" s="11" customFormat="1" ht="60" customHeight="1" x14ac:dyDescent="0.2">
      <c r="A307" s="66"/>
      <c r="B307" s="67"/>
      <c r="C307" s="67"/>
      <c r="D307" s="36" t="s">
        <v>559</v>
      </c>
      <c r="E307" s="5">
        <v>500000</v>
      </c>
      <c r="F307" s="5"/>
      <c r="G307" s="5"/>
      <c r="H307" s="5"/>
      <c r="I307" s="5">
        <f t="shared" si="145"/>
        <v>500000</v>
      </c>
      <c r="J307" s="5"/>
      <c r="K307" s="5"/>
      <c r="L307" s="5"/>
      <c r="M307" s="5"/>
      <c r="N307" s="5"/>
      <c r="O307" s="5">
        <f t="shared" si="151"/>
        <v>0</v>
      </c>
      <c r="P307" s="2">
        <f t="shared" si="148"/>
        <v>500000</v>
      </c>
      <c r="Q307" s="2">
        <f t="shared" si="150"/>
        <v>0</v>
      </c>
      <c r="R307" s="2">
        <f t="shared" si="149"/>
        <v>500000</v>
      </c>
    </row>
    <row r="308" spans="1:18" s="11" customFormat="1" ht="36" customHeight="1" x14ac:dyDescent="0.2">
      <c r="A308" s="66"/>
      <c r="B308" s="67"/>
      <c r="C308" s="67"/>
      <c r="D308" s="36" t="s">
        <v>560</v>
      </c>
      <c r="E308" s="5">
        <v>500000</v>
      </c>
      <c r="F308" s="5"/>
      <c r="G308" s="5"/>
      <c r="H308" s="5"/>
      <c r="I308" s="5">
        <f t="shared" si="145"/>
        <v>500000</v>
      </c>
      <c r="J308" s="5"/>
      <c r="K308" s="5"/>
      <c r="L308" s="5"/>
      <c r="M308" s="5"/>
      <c r="N308" s="5"/>
      <c r="O308" s="5">
        <f>J308+K308</f>
        <v>0</v>
      </c>
      <c r="P308" s="2">
        <f t="shared" si="148"/>
        <v>500000</v>
      </c>
      <c r="Q308" s="2">
        <f t="shared" si="150"/>
        <v>0</v>
      </c>
      <c r="R308" s="2">
        <f t="shared" si="149"/>
        <v>500000</v>
      </c>
    </row>
    <row r="309" spans="1:18" s="11" customFormat="1" ht="36" customHeight="1" x14ac:dyDescent="0.2">
      <c r="A309" s="66"/>
      <c r="B309" s="67"/>
      <c r="C309" s="67"/>
      <c r="D309" s="36" t="s">
        <v>562</v>
      </c>
      <c r="E309" s="5"/>
      <c r="F309" s="5">
        <f>G309+H309</f>
        <v>0</v>
      </c>
      <c r="G309" s="5"/>
      <c r="H309" s="5"/>
      <c r="I309" s="5">
        <f t="shared" si="145"/>
        <v>0</v>
      </c>
      <c r="J309" s="5"/>
      <c r="K309" s="5">
        <f t="shared" si="143"/>
        <v>1000000</v>
      </c>
      <c r="L309" s="5">
        <v>1000000</v>
      </c>
      <c r="M309" s="5"/>
      <c r="N309" s="5">
        <v>1000000</v>
      </c>
      <c r="O309" s="5">
        <f>J309+K309</f>
        <v>1000000</v>
      </c>
      <c r="P309" s="2">
        <f t="shared" si="148"/>
        <v>0</v>
      </c>
      <c r="Q309" s="2">
        <f t="shared" si="150"/>
        <v>1000000</v>
      </c>
      <c r="R309" s="2">
        <f t="shared" si="149"/>
        <v>1000000</v>
      </c>
    </row>
    <row r="310" spans="1:18" s="11" customFormat="1" ht="36" x14ac:dyDescent="0.2">
      <c r="A310" s="49" t="s">
        <v>526</v>
      </c>
      <c r="B310" s="50" t="s">
        <v>527</v>
      </c>
      <c r="C310" s="49" t="s">
        <v>11</v>
      </c>
      <c r="D310" s="21" t="s">
        <v>528</v>
      </c>
      <c r="E310" s="5">
        <f>E331+E332+E333+E334+E335+E336+E337+E338+E339+E340+E341</f>
        <v>0</v>
      </c>
      <c r="F310" s="5">
        <f>G310</f>
        <v>15301600</v>
      </c>
      <c r="G310" s="5">
        <f>G313+G314+G315+G316+G317+G318+G319+G320+G321++G322+G323+G324+G311+G325+G326+G327+G328+G329+G312</f>
        <v>15301600</v>
      </c>
      <c r="H310" s="5"/>
      <c r="I310" s="5">
        <f t="shared" si="145"/>
        <v>15301600</v>
      </c>
      <c r="J310" s="5">
        <f>SUM(J313:J324)</f>
        <v>0</v>
      </c>
      <c r="K310" s="5">
        <f t="shared" si="143"/>
        <v>22034684</v>
      </c>
      <c r="L310" s="5">
        <f t="shared" ref="L310:M310" si="152">SUM(L313:L324)</f>
        <v>0</v>
      </c>
      <c r="M310" s="5">
        <f t="shared" si="152"/>
        <v>0</v>
      </c>
      <c r="N310" s="5">
        <f>SUM(N311:N324)</f>
        <v>22034684</v>
      </c>
      <c r="O310" s="5">
        <f t="shared" si="144"/>
        <v>22034684</v>
      </c>
      <c r="P310" s="2">
        <f t="shared" ref="P310:P324" si="153">E310+J310</f>
        <v>0</v>
      </c>
      <c r="Q310" s="2">
        <f>F310+K310</f>
        <v>37336284</v>
      </c>
      <c r="R310" s="2">
        <f>P310+Q310</f>
        <v>37336284</v>
      </c>
    </row>
    <row r="311" spans="1:18" s="11" customFormat="1" ht="72" x14ac:dyDescent="0.2">
      <c r="A311" s="49"/>
      <c r="B311" s="50"/>
      <c r="C311" s="49"/>
      <c r="D311" s="21" t="s">
        <v>567</v>
      </c>
      <c r="E311" s="5"/>
      <c r="F311" s="5">
        <f t="shared" ref="F311:F321" si="154">G311</f>
        <v>500000</v>
      </c>
      <c r="G311" s="5">
        <v>500000</v>
      </c>
      <c r="H311" s="5"/>
      <c r="I311" s="5">
        <f t="shared" si="145"/>
        <v>500000</v>
      </c>
      <c r="J311" s="5"/>
      <c r="K311" s="5"/>
      <c r="L311" s="5"/>
      <c r="M311" s="5"/>
      <c r="N311" s="5"/>
      <c r="O311" s="5"/>
      <c r="P311" s="2">
        <f t="shared" si="153"/>
        <v>0</v>
      </c>
      <c r="Q311" s="2">
        <f t="shared" ref="Q311:Q329" si="155">F311+K311</f>
        <v>500000</v>
      </c>
      <c r="R311" s="2">
        <f t="shared" ref="R311:R329" si="156">P311+Q311</f>
        <v>500000</v>
      </c>
    </row>
    <row r="312" spans="1:18" s="11" customFormat="1" ht="75" customHeight="1" x14ac:dyDescent="0.2">
      <c r="A312" s="49"/>
      <c r="B312" s="50"/>
      <c r="C312" s="49"/>
      <c r="D312" s="21" t="s">
        <v>566</v>
      </c>
      <c r="E312" s="5"/>
      <c r="F312" s="5">
        <f t="shared" si="154"/>
        <v>300000</v>
      </c>
      <c r="G312" s="5">
        <v>300000</v>
      </c>
      <c r="H312" s="5"/>
      <c r="I312" s="5"/>
      <c r="J312" s="5"/>
      <c r="K312" s="5"/>
      <c r="L312" s="5"/>
      <c r="M312" s="5"/>
      <c r="N312" s="5"/>
      <c r="O312" s="5"/>
      <c r="P312" s="2"/>
      <c r="Q312" s="2">
        <f t="shared" si="155"/>
        <v>300000</v>
      </c>
      <c r="R312" s="2">
        <f t="shared" si="156"/>
        <v>300000</v>
      </c>
    </row>
    <row r="313" spans="1:18" s="11" customFormat="1" ht="60" x14ac:dyDescent="0.2">
      <c r="A313" s="49"/>
      <c r="B313" s="50"/>
      <c r="C313" s="49"/>
      <c r="D313" s="21" t="s">
        <v>529</v>
      </c>
      <c r="E313" s="5"/>
      <c r="F313" s="5">
        <f t="shared" si="154"/>
        <v>0</v>
      </c>
      <c r="G313" s="5"/>
      <c r="H313" s="5"/>
      <c r="I313" s="5">
        <f t="shared" si="145"/>
        <v>0</v>
      </c>
      <c r="J313" s="5"/>
      <c r="K313" s="5">
        <f t="shared" si="143"/>
        <v>850000</v>
      </c>
      <c r="L313" s="5"/>
      <c r="M313" s="5"/>
      <c r="N313" s="5">
        <v>850000</v>
      </c>
      <c r="O313" s="5">
        <f t="shared" si="144"/>
        <v>850000</v>
      </c>
      <c r="P313" s="2">
        <f t="shared" si="153"/>
        <v>0</v>
      </c>
      <c r="Q313" s="2">
        <f t="shared" si="155"/>
        <v>850000</v>
      </c>
      <c r="R313" s="2">
        <f t="shared" si="156"/>
        <v>850000</v>
      </c>
    </row>
    <row r="314" spans="1:18" s="11" customFormat="1" ht="60" x14ac:dyDescent="0.2">
      <c r="A314" s="49"/>
      <c r="B314" s="50"/>
      <c r="C314" s="49"/>
      <c r="D314" s="21" t="s">
        <v>530</v>
      </c>
      <c r="E314" s="5"/>
      <c r="F314" s="5">
        <f t="shared" si="154"/>
        <v>0</v>
      </c>
      <c r="G314" s="5"/>
      <c r="H314" s="5"/>
      <c r="I314" s="5">
        <f t="shared" si="145"/>
        <v>0</v>
      </c>
      <c r="J314" s="5"/>
      <c r="K314" s="5">
        <f t="shared" si="143"/>
        <v>300000</v>
      </c>
      <c r="L314" s="5"/>
      <c r="M314" s="5"/>
      <c r="N314" s="5">
        <v>300000</v>
      </c>
      <c r="O314" s="5">
        <f t="shared" si="144"/>
        <v>300000</v>
      </c>
      <c r="P314" s="2">
        <f t="shared" si="153"/>
        <v>0</v>
      </c>
      <c r="Q314" s="2">
        <f t="shared" si="155"/>
        <v>300000</v>
      </c>
      <c r="R314" s="2">
        <f t="shared" si="156"/>
        <v>300000</v>
      </c>
    </row>
    <row r="315" spans="1:18" s="11" customFormat="1" ht="60" x14ac:dyDescent="0.2">
      <c r="A315" s="49"/>
      <c r="B315" s="50"/>
      <c r="C315" s="49"/>
      <c r="D315" s="21" t="s">
        <v>531</v>
      </c>
      <c r="E315" s="5"/>
      <c r="F315" s="5">
        <f t="shared" si="154"/>
        <v>0</v>
      </c>
      <c r="G315" s="5"/>
      <c r="H315" s="5"/>
      <c r="I315" s="5">
        <f t="shared" si="145"/>
        <v>0</v>
      </c>
      <c r="J315" s="5"/>
      <c r="K315" s="5">
        <f t="shared" si="143"/>
        <v>960000</v>
      </c>
      <c r="L315" s="5"/>
      <c r="M315" s="5"/>
      <c r="N315" s="5">
        <v>960000</v>
      </c>
      <c r="O315" s="5">
        <f t="shared" si="144"/>
        <v>960000</v>
      </c>
      <c r="P315" s="2">
        <f t="shared" si="153"/>
        <v>0</v>
      </c>
      <c r="Q315" s="2">
        <f t="shared" si="155"/>
        <v>960000</v>
      </c>
      <c r="R315" s="2">
        <f t="shared" si="156"/>
        <v>960000</v>
      </c>
    </row>
    <row r="316" spans="1:18" s="11" customFormat="1" ht="60" x14ac:dyDescent="0.2">
      <c r="A316" s="49"/>
      <c r="B316" s="50"/>
      <c r="C316" s="49"/>
      <c r="D316" s="21" t="s">
        <v>532</v>
      </c>
      <c r="E316" s="5"/>
      <c r="F316" s="5">
        <f t="shared" si="154"/>
        <v>1245000</v>
      </c>
      <c r="G316" s="5">
        <v>1245000</v>
      </c>
      <c r="H316" s="5"/>
      <c r="I316" s="5">
        <f t="shared" si="145"/>
        <v>1245000</v>
      </c>
      <c r="J316" s="5"/>
      <c r="K316" s="5">
        <f t="shared" si="143"/>
        <v>3369000</v>
      </c>
      <c r="L316" s="5"/>
      <c r="M316" s="5"/>
      <c r="N316" s="5">
        <v>3369000</v>
      </c>
      <c r="O316" s="5">
        <f t="shared" si="144"/>
        <v>3369000</v>
      </c>
      <c r="P316" s="2">
        <f t="shared" si="153"/>
        <v>0</v>
      </c>
      <c r="Q316" s="2">
        <f t="shared" si="155"/>
        <v>4614000</v>
      </c>
      <c r="R316" s="2">
        <f t="shared" si="156"/>
        <v>4614000</v>
      </c>
    </row>
    <row r="317" spans="1:18" s="11" customFormat="1" ht="60" x14ac:dyDescent="0.2">
      <c r="A317" s="49"/>
      <c r="B317" s="50"/>
      <c r="C317" s="49"/>
      <c r="D317" s="21" t="s">
        <v>533</v>
      </c>
      <c r="E317" s="5"/>
      <c r="F317" s="5">
        <f t="shared" si="154"/>
        <v>555000</v>
      </c>
      <c r="G317" s="5">
        <v>555000</v>
      </c>
      <c r="H317" s="5"/>
      <c r="I317" s="5">
        <f t="shared" si="145"/>
        <v>555000</v>
      </c>
      <c r="J317" s="5"/>
      <c r="K317" s="5">
        <f t="shared" si="143"/>
        <v>210000</v>
      </c>
      <c r="L317" s="5"/>
      <c r="M317" s="5"/>
      <c r="N317" s="5">
        <v>210000</v>
      </c>
      <c r="O317" s="5">
        <f t="shared" si="144"/>
        <v>210000</v>
      </c>
      <c r="P317" s="2">
        <f t="shared" si="153"/>
        <v>0</v>
      </c>
      <c r="Q317" s="2">
        <f t="shared" si="155"/>
        <v>765000</v>
      </c>
      <c r="R317" s="2">
        <f t="shared" si="156"/>
        <v>765000</v>
      </c>
    </row>
    <row r="318" spans="1:18" s="11" customFormat="1" ht="108" x14ac:dyDescent="0.2">
      <c r="A318" s="49"/>
      <c r="B318" s="50"/>
      <c r="C318" s="49"/>
      <c r="D318" s="21" t="s">
        <v>534</v>
      </c>
      <c r="E318" s="5"/>
      <c r="F318" s="5">
        <f t="shared" si="154"/>
        <v>0</v>
      </c>
      <c r="G318" s="5"/>
      <c r="H318" s="5"/>
      <c r="I318" s="5">
        <f t="shared" si="145"/>
        <v>0</v>
      </c>
      <c r="J318" s="5"/>
      <c r="K318" s="5">
        <f t="shared" si="143"/>
        <v>2755684</v>
      </c>
      <c r="L318" s="5"/>
      <c r="M318" s="5"/>
      <c r="N318" s="5">
        <v>2755684</v>
      </c>
      <c r="O318" s="5">
        <f t="shared" si="144"/>
        <v>2755684</v>
      </c>
      <c r="P318" s="2">
        <f t="shared" si="153"/>
        <v>0</v>
      </c>
      <c r="Q318" s="2">
        <f t="shared" si="155"/>
        <v>2755684</v>
      </c>
      <c r="R318" s="2">
        <f t="shared" si="156"/>
        <v>2755684</v>
      </c>
    </row>
    <row r="319" spans="1:18" s="11" customFormat="1" ht="72" x14ac:dyDescent="0.2">
      <c r="A319" s="49"/>
      <c r="B319" s="50"/>
      <c r="C319" s="49"/>
      <c r="D319" s="21" t="s">
        <v>535</v>
      </c>
      <c r="E319" s="5"/>
      <c r="F319" s="5">
        <f t="shared" si="154"/>
        <v>0</v>
      </c>
      <c r="G319" s="5"/>
      <c r="H319" s="5"/>
      <c r="I319" s="5">
        <f t="shared" si="145"/>
        <v>0</v>
      </c>
      <c r="J319" s="5"/>
      <c r="K319" s="5">
        <f t="shared" si="143"/>
        <v>3000000</v>
      </c>
      <c r="L319" s="5"/>
      <c r="M319" s="5"/>
      <c r="N319" s="5">
        <v>3000000</v>
      </c>
      <c r="O319" s="5">
        <f t="shared" si="144"/>
        <v>3000000</v>
      </c>
      <c r="P319" s="2">
        <f t="shared" si="153"/>
        <v>0</v>
      </c>
      <c r="Q319" s="2">
        <f t="shared" si="155"/>
        <v>3000000</v>
      </c>
      <c r="R319" s="2">
        <f t="shared" si="156"/>
        <v>3000000</v>
      </c>
    </row>
    <row r="320" spans="1:18" s="11" customFormat="1" ht="87" customHeight="1" x14ac:dyDescent="0.2">
      <c r="A320" s="49"/>
      <c r="B320" s="50"/>
      <c r="C320" s="49"/>
      <c r="D320" s="21" t="s">
        <v>536</v>
      </c>
      <c r="E320" s="5"/>
      <c r="F320" s="5">
        <f t="shared" si="154"/>
        <v>640200</v>
      </c>
      <c r="G320" s="5">
        <v>640200</v>
      </c>
      <c r="H320" s="5"/>
      <c r="I320" s="5">
        <f t="shared" si="145"/>
        <v>640200</v>
      </c>
      <c r="J320" s="5"/>
      <c r="K320" s="5">
        <f t="shared" si="143"/>
        <v>4500000</v>
      </c>
      <c r="L320" s="5"/>
      <c r="M320" s="5"/>
      <c r="N320" s="5">
        <v>4500000</v>
      </c>
      <c r="O320" s="5">
        <f t="shared" si="144"/>
        <v>4500000</v>
      </c>
      <c r="P320" s="2">
        <f t="shared" si="153"/>
        <v>0</v>
      </c>
      <c r="Q320" s="2">
        <f t="shared" si="155"/>
        <v>5140200</v>
      </c>
      <c r="R320" s="2">
        <f t="shared" si="156"/>
        <v>5140200</v>
      </c>
    </row>
    <row r="321" spans="1:18" s="11" customFormat="1" ht="72" x14ac:dyDescent="0.2">
      <c r="A321" s="49"/>
      <c r="B321" s="50"/>
      <c r="C321" s="49"/>
      <c r="D321" s="21" t="s">
        <v>537</v>
      </c>
      <c r="E321" s="5"/>
      <c r="F321" s="5">
        <f t="shared" si="154"/>
        <v>660000</v>
      </c>
      <c r="G321" s="5">
        <v>660000</v>
      </c>
      <c r="H321" s="5"/>
      <c r="I321" s="5">
        <f t="shared" si="145"/>
        <v>660000</v>
      </c>
      <c r="J321" s="5"/>
      <c r="K321" s="5">
        <f t="shared" si="143"/>
        <v>540000</v>
      </c>
      <c r="L321" s="5"/>
      <c r="M321" s="5"/>
      <c r="N321" s="5">
        <v>540000</v>
      </c>
      <c r="O321" s="5">
        <f t="shared" si="144"/>
        <v>540000</v>
      </c>
      <c r="P321" s="2">
        <f t="shared" si="153"/>
        <v>0</v>
      </c>
      <c r="Q321" s="2">
        <f t="shared" si="155"/>
        <v>1200000</v>
      </c>
      <c r="R321" s="2">
        <f t="shared" si="156"/>
        <v>1200000</v>
      </c>
    </row>
    <row r="322" spans="1:18" s="11" customFormat="1" ht="72" x14ac:dyDescent="0.2">
      <c r="A322" s="49"/>
      <c r="B322" s="50"/>
      <c r="C322" s="49"/>
      <c r="D322" s="21" t="s">
        <v>538</v>
      </c>
      <c r="E322" s="5"/>
      <c r="F322" s="5">
        <f>G322</f>
        <v>8001400</v>
      </c>
      <c r="G322" s="5">
        <v>8001400</v>
      </c>
      <c r="H322" s="5"/>
      <c r="I322" s="5">
        <f>E322+F322</f>
        <v>8001400</v>
      </c>
      <c r="J322" s="5"/>
      <c r="K322" s="5">
        <f t="shared" si="143"/>
        <v>600000</v>
      </c>
      <c r="L322" s="5"/>
      <c r="M322" s="5"/>
      <c r="N322" s="5">
        <v>600000</v>
      </c>
      <c r="O322" s="5">
        <f t="shared" si="144"/>
        <v>600000</v>
      </c>
      <c r="P322" s="2">
        <f t="shared" si="153"/>
        <v>0</v>
      </c>
      <c r="Q322" s="2">
        <f t="shared" si="155"/>
        <v>8601400</v>
      </c>
      <c r="R322" s="2">
        <f t="shared" si="156"/>
        <v>8601400</v>
      </c>
    </row>
    <row r="323" spans="1:18" s="11" customFormat="1" ht="84" x14ac:dyDescent="0.2">
      <c r="A323" s="49"/>
      <c r="B323" s="50"/>
      <c r="C323" s="49"/>
      <c r="D323" s="21" t="s">
        <v>539</v>
      </c>
      <c r="E323" s="5"/>
      <c r="F323" s="5">
        <f>G323</f>
        <v>1420000</v>
      </c>
      <c r="G323" s="5">
        <v>1420000</v>
      </c>
      <c r="H323" s="5"/>
      <c r="I323" s="5">
        <f>E323+F323</f>
        <v>1420000</v>
      </c>
      <c r="J323" s="5"/>
      <c r="K323" s="5">
        <f t="shared" si="143"/>
        <v>1950000</v>
      </c>
      <c r="L323" s="5"/>
      <c r="M323" s="5"/>
      <c r="N323" s="5">
        <v>1950000</v>
      </c>
      <c r="O323" s="5">
        <f t="shared" si="144"/>
        <v>1950000</v>
      </c>
      <c r="P323" s="2">
        <f t="shared" si="153"/>
        <v>0</v>
      </c>
      <c r="Q323" s="2">
        <f t="shared" si="155"/>
        <v>3370000</v>
      </c>
      <c r="R323" s="2">
        <f t="shared" si="156"/>
        <v>3370000</v>
      </c>
    </row>
    <row r="324" spans="1:18" s="11" customFormat="1" ht="72" x14ac:dyDescent="0.2">
      <c r="A324" s="49"/>
      <c r="B324" s="50"/>
      <c r="C324" s="49"/>
      <c r="D324" s="21" t="s">
        <v>540</v>
      </c>
      <c r="E324" s="5"/>
      <c r="F324" s="5">
        <f t="shared" ref="F324:F329" si="157">G324</f>
        <v>0</v>
      </c>
      <c r="G324" s="5"/>
      <c r="H324" s="5"/>
      <c r="I324" s="5">
        <f t="shared" ref="I324:I329" si="158">E324+F324</f>
        <v>0</v>
      </c>
      <c r="J324" s="5"/>
      <c r="K324" s="5">
        <f t="shared" si="143"/>
        <v>3000000</v>
      </c>
      <c r="L324" s="5"/>
      <c r="M324" s="5"/>
      <c r="N324" s="5">
        <v>3000000</v>
      </c>
      <c r="O324" s="5">
        <f t="shared" si="144"/>
        <v>3000000</v>
      </c>
      <c r="P324" s="2">
        <f t="shared" si="153"/>
        <v>0</v>
      </c>
      <c r="Q324" s="2">
        <f t="shared" si="155"/>
        <v>3000000</v>
      </c>
      <c r="R324" s="2">
        <f t="shared" si="156"/>
        <v>3000000</v>
      </c>
    </row>
    <row r="325" spans="1:18" s="11" customFormat="1" ht="108" x14ac:dyDescent="0.2">
      <c r="A325" s="49"/>
      <c r="B325" s="50"/>
      <c r="C325" s="49"/>
      <c r="D325" s="21" t="s">
        <v>563</v>
      </c>
      <c r="E325" s="5"/>
      <c r="F325" s="5">
        <f t="shared" si="157"/>
        <v>1050000</v>
      </c>
      <c r="G325" s="5">
        <v>1050000</v>
      </c>
      <c r="H325" s="5"/>
      <c r="I325" s="5">
        <f t="shared" si="158"/>
        <v>1050000</v>
      </c>
      <c r="J325" s="5"/>
      <c r="K325" s="5"/>
      <c r="L325" s="5"/>
      <c r="M325" s="5"/>
      <c r="N325" s="5"/>
      <c r="O325" s="5"/>
      <c r="P325" s="2"/>
      <c r="Q325" s="2">
        <f t="shared" si="155"/>
        <v>1050000</v>
      </c>
      <c r="R325" s="2">
        <f t="shared" si="156"/>
        <v>1050000</v>
      </c>
    </row>
    <row r="326" spans="1:18" s="11" customFormat="1" ht="72" x14ac:dyDescent="0.2">
      <c r="A326" s="49"/>
      <c r="B326" s="50"/>
      <c r="C326" s="49"/>
      <c r="D326" s="21" t="s">
        <v>568</v>
      </c>
      <c r="E326" s="5"/>
      <c r="F326" s="5">
        <f t="shared" si="157"/>
        <v>180000</v>
      </c>
      <c r="G326" s="5">
        <v>180000</v>
      </c>
      <c r="H326" s="5"/>
      <c r="I326" s="5">
        <f t="shared" si="158"/>
        <v>180000</v>
      </c>
      <c r="J326" s="5"/>
      <c r="K326" s="5"/>
      <c r="L326" s="5"/>
      <c r="M326" s="5"/>
      <c r="N326" s="5"/>
      <c r="O326" s="5"/>
      <c r="P326" s="2"/>
      <c r="Q326" s="2">
        <f t="shared" si="155"/>
        <v>180000</v>
      </c>
      <c r="R326" s="2">
        <f t="shared" si="156"/>
        <v>180000</v>
      </c>
    </row>
    <row r="327" spans="1:18" s="11" customFormat="1" ht="84" x14ac:dyDescent="0.2">
      <c r="A327" s="49"/>
      <c r="B327" s="50"/>
      <c r="C327" s="49"/>
      <c r="D327" s="21" t="s">
        <v>569</v>
      </c>
      <c r="E327" s="5"/>
      <c r="F327" s="5">
        <f t="shared" si="157"/>
        <v>450000</v>
      </c>
      <c r="G327" s="5">
        <v>450000</v>
      </c>
      <c r="H327" s="5"/>
      <c r="I327" s="5">
        <f t="shared" si="158"/>
        <v>450000</v>
      </c>
      <c r="J327" s="5"/>
      <c r="K327" s="5"/>
      <c r="L327" s="5"/>
      <c r="M327" s="5"/>
      <c r="N327" s="5"/>
      <c r="O327" s="5"/>
      <c r="P327" s="2"/>
      <c r="Q327" s="2">
        <f t="shared" si="155"/>
        <v>450000</v>
      </c>
      <c r="R327" s="2">
        <f t="shared" si="156"/>
        <v>450000</v>
      </c>
    </row>
    <row r="328" spans="1:18" s="11" customFormat="1" ht="72" x14ac:dyDescent="0.2">
      <c r="A328" s="49"/>
      <c r="B328" s="50"/>
      <c r="C328" s="49"/>
      <c r="D328" s="21" t="s">
        <v>570</v>
      </c>
      <c r="E328" s="5"/>
      <c r="F328" s="5">
        <f t="shared" si="157"/>
        <v>200000</v>
      </c>
      <c r="G328" s="5">
        <v>200000</v>
      </c>
      <c r="H328" s="5"/>
      <c r="I328" s="5">
        <f t="shared" si="158"/>
        <v>200000</v>
      </c>
      <c r="J328" s="5"/>
      <c r="K328" s="5"/>
      <c r="L328" s="5"/>
      <c r="M328" s="5"/>
      <c r="N328" s="5"/>
      <c r="O328" s="5"/>
      <c r="P328" s="2"/>
      <c r="Q328" s="2">
        <f t="shared" si="155"/>
        <v>200000</v>
      </c>
      <c r="R328" s="2">
        <f t="shared" si="156"/>
        <v>200000</v>
      </c>
    </row>
    <row r="329" spans="1:18" s="11" customFormat="1" ht="72" x14ac:dyDescent="0.2">
      <c r="A329" s="49"/>
      <c r="B329" s="50"/>
      <c r="C329" s="49"/>
      <c r="D329" s="21" t="s">
        <v>571</v>
      </c>
      <c r="E329" s="5"/>
      <c r="F329" s="5">
        <f t="shared" si="157"/>
        <v>100000</v>
      </c>
      <c r="G329" s="5">
        <v>100000</v>
      </c>
      <c r="H329" s="5"/>
      <c r="I329" s="5">
        <f t="shared" si="158"/>
        <v>100000</v>
      </c>
      <c r="J329" s="5"/>
      <c r="K329" s="5"/>
      <c r="L329" s="5"/>
      <c r="M329" s="5"/>
      <c r="N329" s="5"/>
      <c r="O329" s="5"/>
      <c r="P329" s="2"/>
      <c r="Q329" s="2">
        <f t="shared" si="155"/>
        <v>100000</v>
      </c>
      <c r="R329" s="2">
        <f t="shared" si="156"/>
        <v>100000</v>
      </c>
    </row>
    <row r="330" spans="1:18" s="13" customFormat="1" ht="12.75" x14ac:dyDescent="0.15">
      <c r="A330" s="42"/>
      <c r="B330" s="85" t="s">
        <v>2</v>
      </c>
      <c r="C330" s="85"/>
      <c r="D330" s="85"/>
      <c r="E330" s="3">
        <f>E13+E62+E108+E119+E154+E160+E187+E277+E208+E219+E233+E262+E291+E174+E199+E250+E288+E242+E230</f>
        <v>2797255736</v>
      </c>
      <c r="F330" s="3">
        <f t="shared" ref="F330:R330" si="159">F13+F62+F108+F119+F154+F160+F187+F277+F208+F219+F233+F262+F291+F174+F199+F250+F288+F242+F230</f>
        <v>670065564.66999996</v>
      </c>
      <c r="G330" s="3">
        <f t="shared" si="159"/>
        <v>670065564.66999996</v>
      </c>
      <c r="H330" s="3">
        <f t="shared" si="159"/>
        <v>0</v>
      </c>
      <c r="I330" s="3">
        <f t="shared" si="159"/>
        <v>3467321300.6700001</v>
      </c>
      <c r="J330" s="3">
        <f t="shared" si="159"/>
        <v>425158200</v>
      </c>
      <c r="K330" s="3">
        <f t="shared" si="159"/>
        <v>138773246</v>
      </c>
      <c r="L330" s="3">
        <f t="shared" si="159"/>
        <v>1000000</v>
      </c>
      <c r="M330" s="3">
        <f t="shared" si="159"/>
        <v>942200</v>
      </c>
      <c r="N330" s="3">
        <f t="shared" si="159"/>
        <v>137831046</v>
      </c>
      <c r="O330" s="3">
        <f t="shared" si="159"/>
        <v>563931446</v>
      </c>
      <c r="P330" s="3">
        <f t="shared" si="159"/>
        <v>3222413936</v>
      </c>
      <c r="Q330" s="3">
        <f t="shared" si="159"/>
        <v>808838810.66999996</v>
      </c>
      <c r="R330" s="3">
        <f t="shared" si="159"/>
        <v>4031252746.6700001</v>
      </c>
    </row>
    <row r="331" spans="1:18" s="7" customFormat="1" x14ac:dyDescent="0.2">
      <c r="A331" s="6"/>
      <c r="B331" s="8"/>
      <c r="C331" s="8"/>
      <c r="D331" s="25"/>
      <c r="E331" s="26"/>
      <c r="F331" s="26"/>
      <c r="G331" s="26"/>
      <c r="H331" s="26"/>
      <c r="I331" s="52"/>
      <c r="J331" s="27"/>
      <c r="K331" s="63"/>
      <c r="L331" s="82" t="s">
        <v>580</v>
      </c>
      <c r="M331" s="82"/>
      <c r="N331" s="82"/>
      <c r="O331" s="63"/>
      <c r="P331" s="44"/>
      <c r="Q331" s="45"/>
      <c r="R331" s="45"/>
    </row>
    <row r="332" spans="1:18" s="7" customFormat="1" x14ac:dyDescent="0.2">
      <c r="A332" s="6"/>
      <c r="B332" s="8"/>
      <c r="C332" s="8"/>
      <c r="D332" s="25"/>
      <c r="E332" s="26"/>
      <c r="F332" s="26"/>
      <c r="G332" s="26"/>
      <c r="H332" s="26"/>
      <c r="I332" s="26"/>
      <c r="J332" s="27"/>
      <c r="K332" s="63"/>
      <c r="L332" s="82"/>
      <c r="M332" s="82"/>
      <c r="N332" s="82"/>
      <c r="O332" s="63"/>
      <c r="P332" s="44"/>
      <c r="Q332" s="13"/>
      <c r="R332" s="45"/>
    </row>
    <row r="333" spans="1:18" s="7" customFormat="1" x14ac:dyDescent="0.2">
      <c r="A333" s="6"/>
      <c r="B333" s="8"/>
      <c r="C333" s="8"/>
      <c r="D333" s="25"/>
      <c r="E333" s="26"/>
      <c r="F333" s="26"/>
      <c r="G333" s="26"/>
      <c r="H333" s="26"/>
      <c r="I333" s="25"/>
      <c r="J333" s="27"/>
      <c r="K333" s="63"/>
      <c r="L333" s="82"/>
      <c r="M333" s="82"/>
      <c r="N333" s="82"/>
      <c r="O333" s="63"/>
      <c r="P333" s="44"/>
      <c r="Q333" s="45"/>
      <c r="R333" s="13"/>
    </row>
    <row r="334" spans="1:18" s="7" customFormat="1" ht="15.75" x14ac:dyDescent="0.2">
      <c r="A334" s="6"/>
      <c r="B334" s="81" t="s">
        <v>7</v>
      </c>
      <c r="C334" s="81"/>
      <c r="D334" s="81"/>
      <c r="E334" s="35"/>
      <c r="F334" s="29"/>
      <c r="G334" s="29"/>
      <c r="H334" s="28"/>
      <c r="I334" s="29"/>
      <c r="J334" s="65"/>
      <c r="K334" s="83"/>
      <c r="L334" s="83"/>
      <c r="M334" s="83"/>
      <c r="N334" s="83"/>
      <c r="O334" s="83"/>
      <c r="P334" s="46"/>
      <c r="Q334" s="13"/>
      <c r="R334" s="13"/>
    </row>
    <row r="335" spans="1:18" s="7" customFormat="1" ht="15.75" x14ac:dyDescent="0.2">
      <c r="A335" s="6"/>
      <c r="B335" s="64"/>
      <c r="C335" s="64"/>
      <c r="D335" s="64"/>
      <c r="E335" s="28"/>
      <c r="F335" s="28">
        <f>E79+E86</f>
        <v>0</v>
      </c>
      <c r="G335" s="29"/>
      <c r="H335" s="28"/>
      <c r="I335" s="29"/>
      <c r="J335" s="65"/>
      <c r="K335" s="83"/>
      <c r="L335" s="83"/>
      <c r="M335" s="83"/>
      <c r="N335" s="83"/>
      <c r="O335" s="83"/>
      <c r="P335" s="46"/>
      <c r="Q335" s="13"/>
      <c r="R335" s="13"/>
    </row>
    <row r="336" spans="1:18" x14ac:dyDescent="0.2">
      <c r="D336" s="30"/>
      <c r="E336" s="31"/>
      <c r="F336" s="31"/>
      <c r="G336" s="31"/>
      <c r="H336" s="31"/>
      <c r="I336" s="30"/>
      <c r="J336" s="27"/>
    </row>
    <row r="337" spans="4:16" x14ac:dyDescent="0.2">
      <c r="D337" s="30"/>
      <c r="E337" s="31"/>
      <c r="F337" s="31"/>
      <c r="G337" s="31"/>
      <c r="H337" s="31"/>
      <c r="I337" s="31"/>
      <c r="J337" s="31"/>
      <c r="K337" s="31"/>
      <c r="L337" s="31"/>
      <c r="M337" s="31"/>
      <c r="N337" s="31"/>
      <c r="O337" s="31"/>
      <c r="P337" s="48"/>
    </row>
    <row r="338" spans="4:16" x14ac:dyDescent="0.2">
      <c r="D338" s="30"/>
      <c r="E338" s="31"/>
      <c r="F338" s="30"/>
      <c r="G338" s="30"/>
      <c r="H338" s="30"/>
      <c r="I338" s="30"/>
      <c r="J338" s="27"/>
    </row>
    <row r="341" spans="4:16" x14ac:dyDescent="0.2">
      <c r="E341" s="32"/>
      <c r="G341" s="32"/>
      <c r="H341" s="32"/>
    </row>
    <row r="342" spans="4:16" x14ac:dyDescent="0.2">
      <c r="G342" s="32"/>
    </row>
    <row r="344" spans="4:16" x14ac:dyDescent="0.2">
      <c r="E344" s="32"/>
    </row>
    <row r="345" spans="4:16" x14ac:dyDescent="0.2">
      <c r="E345" s="32"/>
      <c r="F345" s="32"/>
      <c r="G345" s="32"/>
      <c r="H345" s="32"/>
    </row>
  </sheetData>
  <mergeCells count="36">
    <mergeCell ref="Q11:Q12"/>
    <mergeCell ref="R11:R12"/>
    <mergeCell ref="P9:R10"/>
    <mergeCell ref="A227:A228"/>
    <mergeCell ref="B227:B228"/>
    <mergeCell ref="C227:C228"/>
    <mergeCell ref="J9:O9"/>
    <mergeCell ref="G11:G12"/>
    <mergeCell ref="H11:H12"/>
    <mergeCell ref="M11:M12"/>
    <mergeCell ref="N11:N12"/>
    <mergeCell ref="E10:E12"/>
    <mergeCell ref="J10:J12"/>
    <mergeCell ref="I10:I12"/>
    <mergeCell ref="F10:H10"/>
    <mergeCell ref="L11:L12"/>
    <mergeCell ref="B334:D334"/>
    <mergeCell ref="L331:N335"/>
    <mergeCell ref="K334:K335"/>
    <mergeCell ref="P11:P12"/>
    <mergeCell ref="O334:O335"/>
    <mergeCell ref="B330:D330"/>
    <mergeCell ref="B1:N1"/>
    <mergeCell ref="B2:N2"/>
    <mergeCell ref="O10:O12"/>
    <mergeCell ref="N4:O4"/>
    <mergeCell ref="A6:B6"/>
    <mergeCell ref="A7:B7"/>
    <mergeCell ref="A9:A12"/>
    <mergeCell ref="B9:B12"/>
    <mergeCell ref="D9:D12"/>
    <mergeCell ref="C9:C12"/>
    <mergeCell ref="E9:I9"/>
    <mergeCell ref="K10:N10"/>
    <mergeCell ref="K11:K12"/>
    <mergeCell ref="F11:F12"/>
  </mergeCells>
  <phoneticPr fontId="8" type="noConversion"/>
  <pageMargins left="0" right="0" top="1.3779527559055118" bottom="0.39370078740157483" header="0.51181102362204722" footer="0.51181102362204722"/>
  <pageSetup paperSize="9" scale="55" fitToHeight="0" orientation="landscape" r:id="rId1"/>
  <ignoredErrors>
    <ignoredError sqref="F77:F78 F70 F71:F72"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TDSheet</vt:lpstr>
      <vt:lpstr>TDSheet!Заголовки_для_печати</vt:lpstr>
      <vt:lpstr>TDSheet!Область_печати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dc:creator>
  <cp:lastModifiedBy>Користувач Windows</cp:lastModifiedBy>
  <cp:lastPrinted>2023-07-25T10:20:34Z</cp:lastPrinted>
  <dcterms:created xsi:type="dcterms:W3CDTF">2016-12-02T14:24:23Z</dcterms:created>
  <dcterms:modified xsi:type="dcterms:W3CDTF">2023-07-25T11:40:25Z</dcterms:modified>
</cp:coreProperties>
</file>