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\"/>
    </mc:Choice>
  </mc:AlternateContent>
  <bookViews>
    <workbookView xWindow="0" yWindow="0" windowWidth="28800" windowHeight="12135" tabRatio="833"/>
  </bookViews>
  <sheets>
    <sheet name="Лист1" sheetId="45" r:id="rId1"/>
  </sheets>
  <definedNames>
    <definedName name="_xlnm.Print_Titles" localSheetId="0">Лист1!$8:$10</definedName>
    <definedName name="_xlnm.Print_Area" localSheetId="0">Лист1!$A$1:$K$256</definedName>
  </definedNames>
  <calcPr calcId="152511" fullCalcOnLoad="1"/>
</workbook>
</file>

<file path=xl/calcChain.xml><?xml version="1.0" encoding="utf-8"?>
<calcChain xmlns="http://schemas.openxmlformats.org/spreadsheetml/2006/main">
  <c r="G173" i="45" l="1"/>
  <c r="G186" i="45"/>
  <c r="G17" i="45"/>
  <c r="G15" i="45"/>
  <c r="F17" i="45"/>
  <c r="F15" i="45"/>
  <c r="G141" i="45"/>
  <c r="F141" i="45"/>
  <c r="E141" i="45"/>
  <c r="E129" i="45"/>
  <c r="D24" i="45"/>
  <c r="F24" i="45"/>
  <c r="G24" i="45"/>
  <c r="I24" i="45"/>
  <c r="E24" i="45"/>
  <c r="K27" i="45"/>
  <c r="H27" i="45"/>
  <c r="G91" i="45"/>
  <c r="H91" i="45"/>
  <c r="G95" i="45"/>
  <c r="G92" i="45"/>
  <c r="G85" i="45"/>
  <c r="G61" i="45"/>
  <c r="K101" i="45"/>
  <c r="J101" i="45"/>
  <c r="H101" i="45"/>
  <c r="K143" i="45"/>
  <c r="J143" i="45"/>
  <c r="H143" i="45"/>
  <c r="F123" i="45"/>
  <c r="G123" i="45"/>
  <c r="G114" i="45"/>
  <c r="H114" i="45"/>
  <c r="E123" i="45"/>
  <c r="G14" i="45"/>
  <c r="I14" i="45"/>
  <c r="F14" i="45"/>
  <c r="F12" i="45"/>
  <c r="E14" i="45"/>
  <c r="E12" i="45"/>
  <c r="E17" i="45"/>
  <c r="E15" i="45"/>
  <c r="F31" i="45"/>
  <c r="F29" i="45"/>
  <c r="E31" i="45"/>
  <c r="K31" i="45"/>
  <c r="K33" i="45"/>
  <c r="H33" i="45"/>
  <c r="J33" i="45"/>
  <c r="D29" i="45"/>
  <c r="G29" i="45"/>
  <c r="C29" i="45"/>
  <c r="I29" i="45"/>
  <c r="F129" i="45"/>
  <c r="H132" i="45"/>
  <c r="I132" i="45"/>
  <c r="J132" i="45"/>
  <c r="K132" i="45"/>
  <c r="H133" i="45"/>
  <c r="I133" i="45"/>
  <c r="J133" i="45"/>
  <c r="K133" i="45"/>
  <c r="H134" i="45"/>
  <c r="J134" i="45"/>
  <c r="K134" i="45"/>
  <c r="I131" i="45"/>
  <c r="H131" i="45"/>
  <c r="F57" i="45"/>
  <c r="F54" i="45"/>
  <c r="E57" i="45"/>
  <c r="K57" i="45"/>
  <c r="K58" i="45"/>
  <c r="J58" i="45"/>
  <c r="H57" i="45"/>
  <c r="F203" i="45"/>
  <c r="G203" i="45"/>
  <c r="K203" i="45"/>
  <c r="E203" i="45"/>
  <c r="J203" i="45"/>
  <c r="J214" i="45"/>
  <c r="K214" i="45"/>
  <c r="J213" i="45"/>
  <c r="K213" i="45"/>
  <c r="J212" i="45"/>
  <c r="K212" i="45"/>
  <c r="J211" i="45"/>
  <c r="K211" i="45"/>
  <c r="H182" i="45"/>
  <c r="J182" i="45"/>
  <c r="K182" i="45"/>
  <c r="H172" i="45"/>
  <c r="J172" i="45"/>
  <c r="K172" i="45"/>
  <c r="H170" i="45"/>
  <c r="J170" i="45"/>
  <c r="K170" i="45"/>
  <c r="H175" i="45"/>
  <c r="J175" i="45"/>
  <c r="K175" i="45"/>
  <c r="H176" i="45"/>
  <c r="K176" i="45"/>
  <c r="H177" i="45"/>
  <c r="J177" i="45"/>
  <c r="K177" i="45"/>
  <c r="F114" i="45"/>
  <c r="E114" i="45"/>
  <c r="I111" i="45"/>
  <c r="H106" i="45"/>
  <c r="H104" i="45"/>
  <c r="I104" i="45"/>
  <c r="J104" i="45"/>
  <c r="K104" i="45"/>
  <c r="J102" i="45"/>
  <c r="J99" i="45"/>
  <c r="H99" i="45"/>
  <c r="I98" i="45"/>
  <c r="J78" i="45"/>
  <c r="J73" i="45"/>
  <c r="K72" i="45"/>
  <c r="J67" i="45"/>
  <c r="H67" i="45"/>
  <c r="I66" i="45"/>
  <c r="K62" i="45"/>
  <c r="K63" i="45"/>
  <c r="J63" i="45"/>
  <c r="H62" i="45"/>
  <c r="H63" i="45"/>
  <c r="I60" i="45"/>
  <c r="F184" i="45"/>
  <c r="G184" i="45"/>
  <c r="E184" i="45"/>
  <c r="H183" i="45"/>
  <c r="J183" i="45"/>
  <c r="K183" i="45"/>
  <c r="K168" i="45"/>
  <c r="H168" i="45"/>
  <c r="I168" i="45"/>
  <c r="H166" i="45"/>
  <c r="J166" i="45"/>
  <c r="K166" i="45"/>
  <c r="H155" i="45"/>
  <c r="J155" i="45"/>
  <c r="K155" i="45"/>
  <c r="H156" i="45"/>
  <c r="J156" i="45"/>
  <c r="K156" i="45"/>
  <c r="H157" i="45"/>
  <c r="J157" i="45"/>
  <c r="K157" i="45"/>
  <c r="H158" i="45"/>
  <c r="J158" i="45"/>
  <c r="K158" i="45"/>
  <c r="H159" i="45"/>
  <c r="J159" i="45"/>
  <c r="K159" i="45"/>
  <c r="C141" i="45"/>
  <c r="H139" i="45"/>
  <c r="D141" i="45"/>
  <c r="H161" i="45"/>
  <c r="J161" i="45"/>
  <c r="K161" i="45"/>
  <c r="H162" i="45"/>
  <c r="J162" i="45"/>
  <c r="K162" i="45"/>
  <c r="H163" i="45"/>
  <c r="J163" i="45"/>
  <c r="K163" i="45"/>
  <c r="G39" i="45"/>
  <c r="I39" i="45"/>
  <c r="D37" i="45"/>
  <c r="C37" i="45"/>
  <c r="H40" i="45"/>
  <c r="J40" i="45"/>
  <c r="K40" i="45"/>
  <c r="F39" i="45"/>
  <c r="F37" i="45"/>
  <c r="E39" i="45"/>
  <c r="E37" i="45"/>
  <c r="E52" i="45"/>
  <c r="K52" i="45"/>
  <c r="K34" i="45"/>
  <c r="K35" i="45"/>
  <c r="K36" i="45"/>
  <c r="J36" i="45"/>
  <c r="I34" i="45"/>
  <c r="I35" i="45"/>
  <c r="I36" i="45"/>
  <c r="H34" i="45"/>
  <c r="H35" i="45"/>
  <c r="H36" i="45"/>
  <c r="D43" i="45"/>
  <c r="K48" i="45"/>
  <c r="J48" i="45"/>
  <c r="H48" i="45"/>
  <c r="G137" i="45"/>
  <c r="K137" i="45"/>
  <c r="G129" i="45"/>
  <c r="J140" i="45"/>
  <c r="K140" i="45"/>
  <c r="H135" i="45"/>
  <c r="K135" i="45"/>
  <c r="H136" i="45"/>
  <c r="J136" i="45"/>
  <c r="K136" i="45"/>
  <c r="H138" i="45"/>
  <c r="J138" i="45"/>
  <c r="K138" i="45"/>
  <c r="J139" i="45"/>
  <c r="K139" i="45"/>
  <c r="C192" i="45"/>
  <c r="C184" i="45"/>
  <c r="C180" i="45"/>
  <c r="I180" i="45"/>
  <c r="C129" i="45"/>
  <c r="I117" i="45"/>
  <c r="C107" i="45"/>
  <c r="C87" i="45"/>
  <c r="C54" i="45"/>
  <c r="C50" i="45"/>
  <c r="C15" i="45"/>
  <c r="C12" i="45"/>
  <c r="E50" i="45"/>
  <c r="D54" i="45"/>
  <c r="K80" i="45"/>
  <c r="K79" i="45"/>
  <c r="I79" i="45"/>
  <c r="H79" i="45"/>
  <c r="D123" i="45"/>
  <c r="D114" i="45"/>
  <c r="D107" i="45"/>
  <c r="K118" i="45"/>
  <c r="K119" i="45"/>
  <c r="K120" i="45"/>
  <c r="J118" i="45"/>
  <c r="J120" i="45"/>
  <c r="J121" i="45"/>
  <c r="I52" i="45"/>
  <c r="H117" i="45"/>
  <c r="J117" i="45"/>
  <c r="K117" i="45"/>
  <c r="K28" i="45"/>
  <c r="J28" i="45"/>
  <c r="H28" i="45"/>
  <c r="C24" i="45"/>
  <c r="K47" i="45"/>
  <c r="J47" i="45"/>
  <c r="H47" i="45"/>
  <c r="K191" i="45"/>
  <c r="H42" i="45"/>
  <c r="K42" i="45"/>
  <c r="J42" i="45"/>
  <c r="J70" i="45"/>
  <c r="K65" i="45"/>
  <c r="J65" i="45"/>
  <c r="I65" i="45"/>
  <c r="H65" i="45"/>
  <c r="E61" i="45"/>
  <c r="F61" i="45"/>
  <c r="D61" i="45"/>
  <c r="H95" i="45"/>
  <c r="J97" i="45"/>
  <c r="K160" i="45"/>
  <c r="J160" i="45"/>
  <c r="H160" i="45"/>
  <c r="J144" i="45"/>
  <c r="J148" i="45"/>
  <c r="J149" i="45"/>
  <c r="J150" i="45"/>
  <c r="J151" i="45"/>
  <c r="K151" i="45"/>
  <c r="K150" i="45"/>
  <c r="D129" i="45"/>
  <c r="K18" i="45"/>
  <c r="J18" i="45"/>
  <c r="H18" i="45"/>
  <c r="I187" i="45"/>
  <c r="K210" i="45"/>
  <c r="J210" i="45"/>
  <c r="H210" i="45"/>
  <c r="K209" i="45"/>
  <c r="J209" i="45"/>
  <c r="H209" i="45"/>
  <c r="K208" i="45"/>
  <c r="J208" i="45"/>
  <c r="H208" i="45"/>
  <c r="K207" i="45"/>
  <c r="J207" i="45"/>
  <c r="H207" i="45"/>
  <c r="K206" i="45"/>
  <c r="J206" i="45"/>
  <c r="H206" i="45"/>
  <c r="K205" i="45"/>
  <c r="J205" i="45"/>
  <c r="H205" i="45"/>
  <c r="K204" i="45"/>
  <c r="J204" i="45"/>
  <c r="H204" i="45"/>
  <c r="K201" i="45"/>
  <c r="J201" i="45"/>
  <c r="I201" i="45"/>
  <c r="H201" i="45"/>
  <c r="K200" i="45"/>
  <c r="J200" i="45"/>
  <c r="H200" i="45"/>
  <c r="K199" i="45"/>
  <c r="J199" i="45"/>
  <c r="H199" i="45"/>
  <c r="K197" i="45"/>
  <c r="J197" i="45"/>
  <c r="H197" i="45"/>
  <c r="K196" i="45"/>
  <c r="J196" i="45"/>
  <c r="H196" i="45"/>
  <c r="K194" i="45"/>
  <c r="J194" i="45"/>
  <c r="I194" i="45"/>
  <c r="H194" i="45"/>
  <c r="K193" i="45"/>
  <c r="J193" i="45"/>
  <c r="H193" i="45"/>
  <c r="H191" i="45"/>
  <c r="K190" i="45"/>
  <c r="J190" i="45"/>
  <c r="H190" i="45"/>
  <c r="K189" i="45"/>
  <c r="J189" i="45"/>
  <c r="I189" i="45"/>
  <c r="H189" i="45"/>
  <c r="K188" i="45"/>
  <c r="J188" i="45"/>
  <c r="I188" i="45"/>
  <c r="H188" i="45"/>
  <c r="K186" i="45"/>
  <c r="J186" i="45"/>
  <c r="I186" i="45"/>
  <c r="H186" i="45"/>
  <c r="K185" i="45"/>
  <c r="H185" i="45"/>
  <c r="K181" i="45"/>
  <c r="J181" i="45"/>
  <c r="H181" i="45"/>
  <c r="K180" i="45"/>
  <c r="J180" i="45"/>
  <c r="K179" i="45"/>
  <c r="J179" i="45"/>
  <c r="I179" i="45"/>
  <c r="H179" i="45"/>
  <c r="K178" i="45"/>
  <c r="J178" i="45"/>
  <c r="H178" i="45"/>
  <c r="K174" i="45"/>
  <c r="J174" i="45"/>
  <c r="H174" i="45"/>
  <c r="K173" i="45"/>
  <c r="J173" i="45"/>
  <c r="I173" i="45"/>
  <c r="H173" i="45"/>
  <c r="K171" i="45"/>
  <c r="J171" i="45"/>
  <c r="H171" i="45"/>
  <c r="K169" i="45"/>
  <c r="H169" i="45"/>
  <c r="K167" i="45"/>
  <c r="J167" i="45"/>
  <c r="I167" i="45"/>
  <c r="H167" i="45"/>
  <c r="D192" i="45"/>
  <c r="E192" i="45"/>
  <c r="F192" i="45"/>
  <c r="G192" i="45"/>
  <c r="D15" i="45"/>
  <c r="K148" i="45"/>
  <c r="H142" i="45"/>
  <c r="K142" i="45"/>
  <c r="H144" i="45"/>
  <c r="K144" i="45"/>
  <c r="H149" i="45"/>
  <c r="K149" i="45"/>
  <c r="D12" i="45"/>
  <c r="G12" i="45"/>
  <c r="K105" i="45"/>
  <c r="D92" i="45"/>
  <c r="E92" i="45"/>
  <c r="F92" i="45"/>
  <c r="C92" i="45"/>
  <c r="C203" i="45"/>
  <c r="H203" i="45"/>
  <c r="C198" i="45"/>
  <c r="C195" i="45"/>
  <c r="C124" i="45"/>
  <c r="C61" i="45"/>
  <c r="C43" i="45"/>
  <c r="H66" i="45"/>
  <c r="J110" i="45"/>
  <c r="J106" i="45"/>
  <c r="K106" i="45"/>
  <c r="J76" i="45"/>
  <c r="K76" i="45"/>
  <c r="E87" i="45"/>
  <c r="F87" i="45"/>
  <c r="G87" i="45"/>
  <c r="D87" i="45"/>
  <c r="I102" i="45"/>
  <c r="I100" i="45"/>
  <c r="J105" i="45"/>
  <c r="H105" i="45"/>
  <c r="H21" i="45"/>
  <c r="K97" i="45"/>
  <c r="D50" i="45"/>
  <c r="H121" i="45"/>
  <c r="K121" i="45"/>
  <c r="H122" i="45"/>
  <c r="I122" i="45"/>
  <c r="J122" i="45"/>
  <c r="K122" i="45"/>
  <c r="I116" i="45"/>
  <c r="J116" i="45"/>
  <c r="K116" i="45"/>
  <c r="I118" i="45"/>
  <c r="I119" i="45"/>
  <c r="J21" i="45"/>
  <c r="K100" i="45"/>
  <c r="K16" i="45"/>
  <c r="J100" i="45"/>
  <c r="H100" i="45"/>
  <c r="H102" i="45"/>
  <c r="G43" i="45"/>
  <c r="F43" i="45"/>
  <c r="E43" i="45"/>
  <c r="K112" i="45"/>
  <c r="J112" i="45"/>
  <c r="H112" i="45"/>
  <c r="H97" i="45"/>
  <c r="I96" i="45"/>
  <c r="K96" i="45"/>
  <c r="K94" i="45"/>
  <c r="J94" i="45"/>
  <c r="I94" i="45"/>
  <c r="H94" i="45"/>
  <c r="J96" i="45"/>
  <c r="H96" i="45"/>
  <c r="K102" i="45"/>
  <c r="K99" i="45"/>
  <c r="K98" i="45"/>
  <c r="J98" i="45"/>
  <c r="H98" i="45"/>
  <c r="J90" i="45"/>
  <c r="H89" i="45"/>
  <c r="H90" i="45"/>
  <c r="K86" i="45"/>
  <c r="J86" i="45"/>
  <c r="I86" i="45"/>
  <c r="H86" i="45"/>
  <c r="H85" i="45"/>
  <c r="K84" i="45"/>
  <c r="J84" i="45"/>
  <c r="I84" i="45"/>
  <c r="H84" i="45"/>
  <c r="K83" i="45"/>
  <c r="J83" i="45"/>
  <c r="H83" i="45"/>
  <c r="K82" i="45"/>
  <c r="J82" i="45"/>
  <c r="H82" i="45"/>
  <c r="K81" i="45"/>
  <c r="J81" i="45"/>
  <c r="H81" i="45"/>
  <c r="K78" i="45"/>
  <c r="I78" i="45"/>
  <c r="H78" i="45"/>
  <c r="K77" i="45"/>
  <c r="J77" i="45"/>
  <c r="I77" i="45"/>
  <c r="H77" i="45"/>
  <c r="K75" i="45"/>
  <c r="J75" i="45"/>
  <c r="H75" i="45"/>
  <c r="K74" i="45"/>
  <c r="J74" i="45"/>
  <c r="H74" i="45"/>
  <c r="K73" i="45"/>
  <c r="H73" i="45"/>
  <c r="J72" i="45"/>
  <c r="I72" i="45"/>
  <c r="H72" i="45"/>
  <c r="K71" i="45"/>
  <c r="J71" i="45"/>
  <c r="H71" i="45"/>
  <c r="K70" i="45"/>
  <c r="I70" i="45"/>
  <c r="H70" i="45"/>
  <c r="K69" i="45"/>
  <c r="J69" i="45"/>
  <c r="I69" i="45"/>
  <c r="H69" i="45"/>
  <c r="K68" i="45"/>
  <c r="J68" i="45"/>
  <c r="I68" i="45"/>
  <c r="H68" i="45"/>
  <c r="K67" i="45"/>
  <c r="K66" i="45"/>
  <c r="J66" i="45"/>
  <c r="D203" i="45"/>
  <c r="I113" i="45"/>
  <c r="H113" i="45"/>
  <c r="H26" i="45"/>
  <c r="K131" i="45"/>
  <c r="K113" i="45"/>
  <c r="I64" i="45"/>
  <c r="K20" i="45"/>
  <c r="J20" i="45"/>
  <c r="H20" i="45"/>
  <c r="G195" i="45"/>
  <c r="F195" i="45"/>
  <c r="E195" i="45"/>
  <c r="D195" i="45"/>
  <c r="E198" i="45"/>
  <c r="F198" i="45"/>
  <c r="G198" i="45"/>
  <c r="D198" i="45"/>
  <c r="K154" i="45"/>
  <c r="J154" i="45"/>
  <c r="I154" i="45"/>
  <c r="H154" i="45"/>
  <c r="K153" i="45"/>
  <c r="J153" i="45"/>
  <c r="I153" i="45"/>
  <c r="H153" i="45"/>
  <c r="K152" i="45"/>
  <c r="J152" i="45"/>
  <c r="I152" i="45"/>
  <c r="H152" i="45"/>
  <c r="K127" i="45"/>
  <c r="H127" i="45"/>
  <c r="K126" i="45"/>
  <c r="J126" i="45"/>
  <c r="H126" i="45"/>
  <c r="K125" i="45"/>
  <c r="H125" i="45"/>
  <c r="G124" i="45"/>
  <c r="J124" i="45"/>
  <c r="F124" i="45"/>
  <c r="E124" i="45"/>
  <c r="K124" i="45"/>
  <c r="D124" i="45"/>
  <c r="H119" i="45"/>
  <c r="H118" i="45"/>
  <c r="H116" i="45"/>
  <c r="K115" i="45"/>
  <c r="J115" i="45"/>
  <c r="I115" i="45"/>
  <c r="H115" i="45"/>
  <c r="K111" i="45"/>
  <c r="J111" i="45"/>
  <c r="H111" i="45"/>
  <c r="H110" i="45"/>
  <c r="K109" i="45"/>
  <c r="J109" i="45"/>
  <c r="H109" i="45"/>
  <c r="K103" i="45"/>
  <c r="J103" i="45"/>
  <c r="I103" i="45"/>
  <c r="H103" i="45"/>
  <c r="K90" i="45"/>
  <c r="K89" i="45"/>
  <c r="K88" i="45"/>
  <c r="H88" i="45"/>
  <c r="K64" i="45"/>
  <c r="J64" i="45"/>
  <c r="H64" i="45"/>
  <c r="K60" i="45"/>
  <c r="J60" i="45"/>
  <c r="H60" i="45"/>
  <c r="K59" i="45"/>
  <c r="J59" i="45"/>
  <c r="I59" i="45"/>
  <c r="H59" i="45"/>
  <c r="K56" i="45"/>
  <c r="J56" i="45"/>
  <c r="I56" i="45"/>
  <c r="H56" i="45"/>
  <c r="K53" i="45"/>
  <c r="J53" i="45"/>
  <c r="H53" i="45"/>
  <c r="H52" i="45"/>
  <c r="K51" i="45"/>
  <c r="J51" i="45"/>
  <c r="I51" i="45"/>
  <c r="H51" i="45"/>
  <c r="G50" i="45"/>
  <c r="F50" i="45"/>
  <c r="K49" i="45"/>
  <c r="J49" i="45"/>
  <c r="I49" i="45"/>
  <c r="H49" i="45"/>
  <c r="K46" i="45"/>
  <c r="J46" i="45"/>
  <c r="I46" i="45"/>
  <c r="H46" i="45"/>
  <c r="K45" i="45"/>
  <c r="J45" i="45"/>
  <c r="I45" i="45"/>
  <c r="H45" i="45"/>
  <c r="K41" i="45"/>
  <c r="J41" i="45"/>
  <c r="H41" i="45"/>
  <c r="K32" i="45"/>
  <c r="J32" i="45"/>
  <c r="I32" i="45"/>
  <c r="H32" i="45"/>
  <c r="K22" i="45"/>
  <c r="J22" i="45"/>
  <c r="I22" i="45"/>
  <c r="H22" i="45"/>
  <c r="K21" i="45"/>
  <c r="K19" i="45"/>
  <c r="J19" i="45"/>
  <c r="H19" i="45"/>
  <c r="K14" i="45"/>
  <c r="K26" i="45"/>
  <c r="J131" i="45"/>
  <c r="J113" i="45"/>
  <c r="I26" i="45"/>
  <c r="I17" i="45"/>
  <c r="H31" i="45"/>
  <c r="I31" i="45"/>
  <c r="H123" i="45"/>
  <c r="K110" i="45"/>
  <c r="H187" i="45"/>
  <c r="I123" i="45"/>
  <c r="I57" i="45"/>
  <c r="G54" i="45"/>
  <c r="I54" i="45"/>
  <c r="J191" i="45"/>
  <c r="K187" i="45"/>
  <c r="J187" i="45"/>
  <c r="J52" i="45"/>
  <c r="J168" i="45"/>
  <c r="I50" i="45"/>
  <c r="H137" i="45"/>
  <c r="J31" i="45"/>
  <c r="K123" i="45"/>
  <c r="H43" i="45"/>
  <c r="H12" i="45"/>
  <c r="H180" i="45"/>
  <c r="J114" i="45"/>
  <c r="H195" i="45"/>
  <c r="H17" i="45"/>
  <c r="J87" i="45"/>
  <c r="K192" i="45"/>
  <c r="I192" i="45"/>
  <c r="J123" i="45"/>
  <c r="H141" i="45"/>
  <c r="K50" i="45"/>
  <c r="K114" i="45"/>
  <c r="K12" i="45"/>
  <c r="J24" i="45"/>
  <c r="I43" i="45"/>
  <c r="H198" i="45"/>
  <c r="J50" i="45"/>
  <c r="J95" i="45"/>
  <c r="H192" i="45"/>
  <c r="J129" i="45"/>
  <c r="E107" i="45"/>
  <c r="G107" i="45"/>
  <c r="I107" i="45"/>
  <c r="I141" i="45"/>
  <c r="K195" i="45"/>
  <c r="J184" i="45"/>
  <c r="H29" i="45"/>
  <c r="J39" i="45"/>
  <c r="H54" i="45"/>
  <c r="H124" i="45"/>
  <c r="J198" i="45"/>
  <c r="F107" i="45"/>
  <c r="I92" i="45"/>
  <c r="J92" i="45"/>
  <c r="H92" i="45"/>
  <c r="F128" i="45"/>
  <c r="F164" i="45"/>
  <c r="K87" i="45"/>
  <c r="J141" i="45"/>
  <c r="K92" i="45"/>
  <c r="D202" i="45"/>
  <c r="D215" i="45"/>
  <c r="I114" i="45"/>
  <c r="I129" i="45"/>
  <c r="H14" i="45"/>
  <c r="J57" i="45"/>
  <c r="K95" i="45"/>
  <c r="J43" i="45"/>
  <c r="H87" i="45"/>
  <c r="H15" i="45"/>
  <c r="C202" i="45"/>
  <c r="C215" i="45"/>
  <c r="E29" i="45"/>
  <c r="K29" i="45"/>
  <c r="K24" i="45"/>
  <c r="K141" i="45"/>
  <c r="I95" i="45"/>
  <c r="I91" i="45"/>
  <c r="J12" i="45"/>
  <c r="F202" i="45"/>
  <c r="F215" i="45"/>
  <c r="D128" i="45"/>
  <c r="D164" i="45"/>
  <c r="H50" i="45"/>
  <c r="E202" i="45"/>
  <c r="E215" i="45"/>
  <c r="E54" i="45"/>
  <c r="K54" i="45"/>
  <c r="J15" i="45"/>
  <c r="K15" i="45"/>
  <c r="J107" i="45"/>
  <c r="I61" i="45"/>
  <c r="H61" i="45"/>
  <c r="J61" i="45"/>
  <c r="K61" i="45"/>
  <c r="H184" i="45"/>
  <c r="K39" i="45"/>
  <c r="J91" i="45"/>
  <c r="I85" i="45"/>
  <c r="I184" i="45"/>
  <c r="G202" i="45"/>
  <c r="K202" i="45"/>
  <c r="K107" i="45"/>
  <c r="H39" i="45"/>
  <c r="K198" i="45"/>
  <c r="K129" i="45"/>
  <c r="C128" i="45"/>
  <c r="C164" i="45"/>
  <c r="C216" i="45"/>
  <c r="J137" i="45"/>
  <c r="G37" i="45"/>
  <c r="I12" i="45"/>
  <c r="J17" i="45"/>
  <c r="J85" i="45"/>
  <c r="K43" i="45"/>
  <c r="J14" i="45"/>
  <c r="K17" i="45"/>
  <c r="K184" i="45"/>
  <c r="K91" i="45"/>
  <c r="H24" i="45"/>
  <c r="H129" i="45"/>
  <c r="K85" i="45"/>
  <c r="G128" i="45"/>
  <c r="H107" i="45"/>
  <c r="J29" i="45"/>
  <c r="D216" i="45"/>
  <c r="F216" i="45"/>
  <c r="J54" i="45"/>
  <c r="E128" i="45"/>
  <c r="E164" i="45"/>
  <c r="E216" i="45"/>
  <c r="I128" i="45"/>
  <c r="H128" i="45"/>
  <c r="G164" i="45"/>
  <c r="H37" i="45"/>
  <c r="J37" i="45"/>
  <c r="K37" i="45"/>
  <c r="I37" i="45"/>
  <c r="J128" i="45"/>
  <c r="K128" i="45"/>
  <c r="H164" i="45"/>
  <c r="J164" i="45"/>
  <c r="K164" i="45"/>
  <c r="I164" i="45"/>
  <c r="J202" i="45"/>
  <c r="H202" i="45"/>
  <c r="G215" i="45"/>
  <c r="I202" i="45"/>
  <c r="H215" i="45"/>
  <c r="G216" i="45"/>
  <c r="J215" i="45"/>
  <c r="I215" i="45"/>
  <c r="K215" i="45"/>
  <c r="I216" i="45"/>
  <c r="J216" i="45"/>
  <c r="K216" i="45"/>
  <c r="H216" i="45"/>
</calcChain>
</file>

<file path=xl/sharedStrings.xml><?xml version="1.0" encoding="utf-8"?>
<sst xmlns="http://schemas.openxmlformats.org/spreadsheetml/2006/main" count="346" uniqueCount="267">
  <si>
    <t>Звіт</t>
  </si>
  <si>
    <t>Органи місцевого самоврядування</t>
  </si>
  <si>
    <t>в тому числі:</t>
  </si>
  <si>
    <t>- видатки на  утримання органів місцевого самоврядування</t>
  </si>
  <si>
    <t>Освіта</t>
  </si>
  <si>
    <t>- видатки на  утримання установ освіти</t>
  </si>
  <si>
    <t>- видатки на оздоровлення та відпочинку дітей</t>
  </si>
  <si>
    <t>Охорона здоров'я</t>
  </si>
  <si>
    <t>в.т.ч.</t>
  </si>
  <si>
    <t>видатки на утримання установ охорони здоров'я</t>
  </si>
  <si>
    <t>видатки на соціальний захист</t>
  </si>
  <si>
    <t>видатки на соціальний захист із фонду на виконання звернень депутатів та доручень виборців</t>
  </si>
  <si>
    <t>Житлово-комунальне господарство</t>
  </si>
  <si>
    <t xml:space="preserve"> в тому числі:</t>
  </si>
  <si>
    <t>- видатки на утримання житлово-комунального господарства</t>
  </si>
  <si>
    <t>Культура</t>
  </si>
  <si>
    <t>- видатки на  утримання установ культури</t>
  </si>
  <si>
    <t>- видатки, для проведення заходів пов'язаних з відзначенням державних, релігійних свят</t>
  </si>
  <si>
    <t>Засоби масової інформації</t>
  </si>
  <si>
    <t>Фізична культура і спорт</t>
  </si>
  <si>
    <t>в т.ч.:</t>
  </si>
  <si>
    <t>- спортивні школи</t>
  </si>
  <si>
    <t>Обслуговування внутрішнього боргу</t>
  </si>
  <si>
    <t>Інші видатки</t>
  </si>
  <si>
    <t>- примусове виконання рішень суду</t>
  </si>
  <si>
    <t>- виконання рішень судів, стягнення судових витрат</t>
  </si>
  <si>
    <t>Внутрішнє кредитування</t>
  </si>
  <si>
    <t>- надання пільгового довгострокового кредиту громадянам на будівництво (реконструкцію) та придбання житла</t>
  </si>
  <si>
    <t>- надання  пільгового кредиту  індивідуальним сільським забудовникам</t>
  </si>
  <si>
    <t>Субвенція з обласного бюджету та інших бюджетів</t>
  </si>
  <si>
    <t xml:space="preserve"> - витрати на поховання учасникам бойових дій</t>
  </si>
  <si>
    <t>- пільги на медичне обслуговування громадян, які постраждали внаслідок Чорнобильської катастрофи</t>
  </si>
  <si>
    <t>Всього видатків по загальному фонду</t>
  </si>
  <si>
    <t>Спеціальний фонд</t>
  </si>
  <si>
    <t>Видатки за рахунок власних надходжень бюджетних установ та організацій</t>
  </si>
  <si>
    <t>Разом видатків спеціального фонду з власних надходжень:</t>
  </si>
  <si>
    <t xml:space="preserve"> </t>
  </si>
  <si>
    <t>Субвенції з державного, обласного і інших бюджетів (спеціальний фонд):</t>
  </si>
  <si>
    <t>Разом видатків спеціального фонду</t>
  </si>
  <si>
    <t>Всього видатків загального і спеціального фондів</t>
  </si>
  <si>
    <t>Утримання клубів підлітків за місцем проживання</t>
  </si>
  <si>
    <t xml:space="preserve"> Видатки бюджету загального фонду</t>
  </si>
  <si>
    <t>-спортивні заходи</t>
  </si>
  <si>
    <t>Додаток 2</t>
  </si>
  <si>
    <t>абсолютна +;-</t>
  </si>
  <si>
    <t>відносна %</t>
  </si>
  <si>
    <t>Динаміка виконання до відповідного періоду минулого року</t>
  </si>
  <si>
    <t>10</t>
  </si>
  <si>
    <t>Разом видатки</t>
  </si>
  <si>
    <t>Секретар міської ради</t>
  </si>
  <si>
    <t>Відшкодування комунальних послуг за призовну дільницю</t>
  </si>
  <si>
    <t>від _______________№______</t>
  </si>
  <si>
    <t>Реверсна дотація</t>
  </si>
  <si>
    <t>Освітня субвенція з державного бюджету місцевим бюджетам</t>
  </si>
  <si>
    <t>Субвенції  з державного бюджету</t>
  </si>
  <si>
    <t>11</t>
  </si>
  <si>
    <t>Найменування видатків</t>
  </si>
  <si>
    <t>1000</t>
  </si>
  <si>
    <t>0180</t>
  </si>
  <si>
    <t>Державне управління</t>
  </si>
  <si>
    <t>2000</t>
  </si>
  <si>
    <t>3000</t>
  </si>
  <si>
    <t xml:space="preserve">Соціальний захист та соціальне забезпечення  </t>
  </si>
  <si>
    <t>4000</t>
  </si>
  <si>
    <t>5000</t>
  </si>
  <si>
    <t>6000</t>
  </si>
  <si>
    <t xml:space="preserve">Житлово-комунальне господарство  </t>
  </si>
  <si>
    <t>Внески до статутного капіталу суб’єктів господарювання</t>
  </si>
  <si>
    <t>Видатки не відведені до основних груп</t>
  </si>
  <si>
    <t>Код ТПКВКМБ /ТКВКБМС</t>
  </si>
  <si>
    <t>3090</t>
  </si>
  <si>
    <t>3050</t>
  </si>
  <si>
    <t>8600</t>
  </si>
  <si>
    <t>0100,        1000,     2000,         3000,      4000,    5000,          8600</t>
  </si>
  <si>
    <t>Фонд на виконання звернень депутатів та доручень виборців</t>
  </si>
  <si>
    <t>3242</t>
  </si>
  <si>
    <t>0160</t>
  </si>
  <si>
    <t>7300</t>
  </si>
  <si>
    <t>Будівництво та регіональний розвиток</t>
  </si>
  <si>
    <t>Інші програми та заходи, пов'язані з економічною діяльністю</t>
  </si>
  <si>
    <t>8300</t>
  </si>
  <si>
    <t xml:space="preserve">Охорона навколишнього природного середовища 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</si>
  <si>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</si>
  <si>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</si>
  <si>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7310</t>
  </si>
  <si>
    <t>3140</t>
  </si>
  <si>
    <t>3132</t>
  </si>
  <si>
    <t>8400</t>
  </si>
  <si>
    <t>3033,3035,  3036</t>
  </si>
  <si>
    <t>3210</t>
  </si>
  <si>
    <t>7000</t>
  </si>
  <si>
    <t>Економічна діяльність</t>
  </si>
  <si>
    <t>7130</t>
  </si>
  <si>
    <t>Здійснення  заходів із землеустрою</t>
  </si>
  <si>
    <t>7350</t>
  </si>
  <si>
    <t xml:space="preserve"> Розроблення схем планування та забудови територій (містобудівної документації)</t>
  </si>
  <si>
    <t>7370</t>
  </si>
  <si>
    <t>7610</t>
  </si>
  <si>
    <t>-  Сприяння розвитку малого та середнього підприємництва</t>
  </si>
  <si>
    <t>7422</t>
  </si>
  <si>
    <t xml:space="preserve"> Регулювання цін на послуги місцевого наземного електротранспорту</t>
  </si>
  <si>
    <t>7622</t>
  </si>
  <si>
    <t>Реалізація програм і заходів в галузі туризму та курортів</t>
  </si>
  <si>
    <t>7640</t>
  </si>
  <si>
    <t xml:space="preserve"> 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</si>
  <si>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</si>
  <si>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</si>
  <si>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</si>
  <si>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8110</t>
  </si>
  <si>
    <t xml:space="preserve"> Заходи із запобігання та ліквідації надзвичайних ситуацій та наслідків стихійного лиха</t>
  </si>
  <si>
    <t>8220</t>
  </si>
  <si>
    <t>8130</t>
  </si>
  <si>
    <t>Забезпечення діяльності місцевої пожежної охорони</t>
  </si>
  <si>
    <t>8210</t>
  </si>
  <si>
    <t>Муніципальні формування з охорони громадського порядку</t>
  </si>
  <si>
    <t>9110</t>
  </si>
  <si>
    <t>Інша діяльність у сфері державного управління</t>
  </si>
  <si>
    <t>вт.ч</t>
  </si>
  <si>
    <t xml:space="preserve">Інші видатки( надбавка ветеранам ОУН-УПА, матеріальні допомогидодаткові виплати бійцям--добровольцям, щомісячні виплати дітям до 18 років загиблих на Майдані </t>
  </si>
  <si>
    <t>8420</t>
  </si>
  <si>
    <t xml:space="preserve"> інші заходи у сфері засобів масової інформації</t>
  </si>
  <si>
    <t>КП "Простір Інноваційних Креацій "Палац"</t>
  </si>
  <si>
    <t>фінансова підтримка засобів масової інформації</t>
  </si>
  <si>
    <t>8410</t>
  </si>
  <si>
    <t>Субвенція з державного бюджету на надання державної підтримки особам з особливими освітніми потребами</t>
  </si>
  <si>
    <t>Комплексна програма розвитку міжнародного та транскордоного  співробітництва м.Івано-Франківська на 2018-2022 р.р.</t>
  </si>
  <si>
    <t xml:space="preserve">  Заходи та роботи з мобілізаційної підготовки місцевого значення (Цільова програма фінансування мобілізаційних заходів та оборонної роботи Івано-Франківської міської ради на 2019-2023р.р.)</t>
  </si>
  <si>
    <t>8200</t>
  </si>
  <si>
    <t>Громадський порядок та безпека</t>
  </si>
  <si>
    <t>8820</t>
  </si>
  <si>
    <t>8830</t>
  </si>
  <si>
    <t>8880</t>
  </si>
  <si>
    <t>Пільгові довгострокові кредити молодим сім’ям та одиноким молодим громадян на будівництво/придбання житла та їх повернення</t>
  </si>
  <si>
    <t>Надання пільгових довгострокових кредитів молодим сім’ям та одиноким молодим громадянам на будівництво/придбання житла</t>
  </si>
  <si>
    <t>Повернення пільгових довгострокових кредитів, наданих молодим сім’ям та одиноким молодим громадянам на будівництво/ придбання житла</t>
  </si>
  <si>
    <t>Довгострокові кредити індивідуальним забудовникам житла на селі та їх повернення</t>
  </si>
  <si>
    <t>Надання довгострокових кредитів індивідуальним забудовникам житла на селі</t>
  </si>
  <si>
    <t>Повернення довгострокових кредитів, наданих індивідуальним забудовникам житла на селі</t>
  </si>
  <si>
    <t>Виконання гарантійних зобов'язань за позичальників, що отримали кредити під місцеві гарантії</t>
  </si>
  <si>
    <t>Надання коштів для забезпечення гарантійних зобов'язань за позичальників, що отримали кредити під місцеві гарантії</t>
  </si>
  <si>
    <t>Повернення коштів, наданих для виконання гарантійних зобов'язань за позичальників, що отримали кредити під місцеві гарантії</t>
  </si>
  <si>
    <t>7600</t>
  </si>
  <si>
    <t>2010</t>
  </si>
  <si>
    <t>Компенсація за пільговий проїзд окремих категорій громадян</t>
  </si>
  <si>
    <t>Проєкт "Безпечне майбутнє", в рамках програми транскордонного співробітництва Румунія-Україна 2014-2020</t>
  </si>
  <si>
    <t>8821</t>
  </si>
  <si>
    <t>8831</t>
  </si>
  <si>
    <t xml:space="preserve">про виконання  бюджету Івано-Франківської міської  територіальної громади по видатках </t>
  </si>
  <si>
    <t>Інші заходи, пов'язані з економічною діяльністю</t>
  </si>
  <si>
    <t>Проєкт "Альтернативні терапії в Марамуреші та Івано-Франківську"</t>
  </si>
  <si>
    <t>Проєкт Партнерство Румунія - Україна для пом"якшення зміни клімату"</t>
  </si>
  <si>
    <t>Проект  "Дослідження та збереження єврейської культурної спадщини на прикордонній території"</t>
  </si>
  <si>
    <t>Програма щодо співпраці між професійно-технічними навчальними закладами та промисловими підприємствами і  МСП Івано-Франківської міської територіальної громади</t>
  </si>
  <si>
    <t>Програма легалізації заробітної плати та найманої праці на 2021-2025 роки</t>
  </si>
  <si>
    <t>Програма поліпшення стану безпеки гігієни праці та виробничого середовища на 2020-2023 роки Івано-Франківської міської ОТГ</t>
  </si>
  <si>
    <t>Комплексна  програма  сприяння залученню інвестицій в економіку Івано-Франківської міської територіальної громади  та проєктної діяльності   2021-2025  роки</t>
  </si>
  <si>
    <t>Програма промоції Івано-Франківської міської територіальної громади на  2021-2025  роки</t>
  </si>
  <si>
    <t>Інші заходи за рахунок коштів резервного фонду місцевого бюджету</t>
  </si>
  <si>
    <t xml:space="preserve">Комплексна програма запобігання виникненню надзвичайних ситуації природного і техногенного характеру та підвищення рівня готовності аварійно-рятувальної служби </t>
  </si>
  <si>
    <t xml:space="preserve"> Комплексна цільова соціальна програма розвитку цивільного захисту населення та території міста Івано-Франківська від надзвичайних ситуацій природного і техногенного характеру</t>
  </si>
  <si>
    <t>- видатки на утримання КП "Муніципальна інспекція "Добродій""</t>
  </si>
  <si>
    <t>Програма розвитку місцевого самоврядування та громадянського суспільства в м.Івано-Франківську на 2020-2025 роки</t>
  </si>
  <si>
    <t>Програма "Духовне життя на 2020-2025 роки"</t>
  </si>
  <si>
    <t xml:space="preserve"> Організація та проведення громадських робіт (Програма зайнятості населення Івано-Франківської міської територіальної громади на 2021-2025 роки )</t>
  </si>
  <si>
    <t>- реалізація інших заходів щодо соціально-економічного розвитку територій</t>
  </si>
  <si>
    <t>Комплексна програма профілактики злочинності в місті до 2024 року</t>
  </si>
  <si>
    <t>Інші видатки (Цільова програма Івано-Франківської територіальної громади організації та відзначення в місті  загальнодержавних,  свят територіальної громади,  державних пам'ятних дат, релігійних та історичних подій на 2021-2025 роки)</t>
  </si>
  <si>
    <t>Програма розвитку системи надання адміністративних послуг в м. Івано-Франківську на 2019-2022 роки</t>
  </si>
  <si>
    <t>Програма розвитку електронного урядування у виконавчому комітеті Івано-Франківської міської ради на 2020-2021 роки</t>
  </si>
  <si>
    <t>1080</t>
  </si>
  <si>
    <t xml:space="preserve"> Надання спеціальної освіти мистецькими школами </t>
  </si>
  <si>
    <t>8751</t>
  </si>
  <si>
    <t>Допомога населенню, що постраждало внаслідок надзвичайної ситуації або стихійного лиха,за рахунок коштів резервного фонду місцевого бюджету</t>
  </si>
  <si>
    <t xml:space="preserve">8710 </t>
  </si>
  <si>
    <t>Резервний фонд місцевого бюджету</t>
  </si>
  <si>
    <t xml:space="preserve">Соціальний захист та соціальне забезпечення </t>
  </si>
  <si>
    <t>Утримання структурних підрозділів</t>
  </si>
  <si>
    <t xml:space="preserve">1200         </t>
  </si>
  <si>
    <t>Проєкт "Створення комунікаційної єврорегіональної Платформи "ідеальних" міст для переорієнтації туризму в ІФ області"</t>
  </si>
  <si>
    <t>Проект Розбудова екосистеми іновацій Івано-Франківська</t>
  </si>
  <si>
    <t>Підвищення кваліфікації депутатів місцевих рад та посадових осіб місцевого самоврядування</t>
  </si>
  <si>
    <t>0170</t>
  </si>
  <si>
    <t>7140</t>
  </si>
  <si>
    <t>Інші заходи у сфері сільського господарства</t>
  </si>
  <si>
    <t>до рішення __________міської ради</t>
  </si>
  <si>
    <t>Віктор СИНИШИН</t>
  </si>
  <si>
    <t xml:space="preserve">Затверджено міською радою на 2023 рік </t>
  </si>
  <si>
    <t xml:space="preserve">Затверджено міською радою з урахуванням змін на 2023 рік </t>
  </si>
  <si>
    <t>Відсоток виконання  до затвердженої суми на 2023 рік із врахуванням змін</t>
  </si>
  <si>
    <t>Відхилення до затвердженої суми  на  2023 рік із врахуванням змін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</si>
  <si>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</si>
  <si>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1210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</si>
  <si>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</si>
  <si>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</si>
  <si>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обласного бюджету на придбання матеріалів для проведення ремонтних робіт господарським способом для приміщення ЗДО № 29 " Кобзарик " Івано-Франківської міської ради Івано-Франківської області</t>
  </si>
  <si>
    <t>Субвенція з обласного бюджету для облаштування навчального кабінету в приміщенні укриття для учнів 1-4 класу  ліцею № 23 ім. Романа Гурика  Івано-Франківської міської ради</t>
  </si>
  <si>
    <t>Субвенція з обласного бюджету на поточний ремонт захисної споруди цивільного захисту (найпростіших укриттів) в Братковецькому ліцеї Івано-Франківської міської ради</t>
  </si>
  <si>
    <t>Видатки на утримання установ освіти із фонду на виконання звернень депутатів та доручень виборців</t>
  </si>
  <si>
    <t>Фiзична культура i спорт</t>
  </si>
  <si>
    <t>Субвенція з обласного бюджету на закупівлю та монтаж медичного обладнання для КНП "Центральна міська клінічна лікарня Івано-Франківської міської ради" згідно з переліком, затвердженим МОЗ України</t>
  </si>
  <si>
    <t>Субвенція з обласного бюджету на придбання медичного обладнання для КНП «Івано-Франківська міська лікарня №1»</t>
  </si>
  <si>
    <t>Субвенція з обласного бюджету на капітальний ремонт каналізаційної системи біля будинку № 53 по вул. Д. Галицького в с. Крихівці Івано-Франківської міської ради</t>
  </si>
  <si>
    <t>Субвенція з обласного бюджету на капітальний ремонт території біля багатоквартирних будинків № 50,53 по вул. Д. Галицького в с. Крихівці Івано-Франківської міської ради</t>
  </si>
  <si>
    <t>Субвенція з обласного бюджету на капітальний ремонт території біля багатоквартирного будинку № 55 по вул. Д. Галицького в с. Крихівці Івано-Франківської міської ради</t>
  </si>
  <si>
    <t>Субвенція з обласного бюджету на реконструкцію водопроводу по вулиці Кобилянської від вулиці Богунська до вулиці Тарнавського у місті Івано-Франківську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</si>
  <si>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агресією Російської Федерації»</t>
  </si>
  <si>
    <t>Субвенція з обласного бюджету на поточний ремонт приміщеннь під консультативну-діагностичну поліклініку КНП "Центральна міська клінічна лікарня Івано-Франківської міської ради" по вул. Цилевича 11 в м.Івано-Франківську</t>
  </si>
  <si>
    <t>Субвенція з обласного бюджету по обласному конкурсу проектів та програм розвитку місцевого самоврядування</t>
  </si>
  <si>
    <t>3241</t>
  </si>
  <si>
    <t>Субвенція з обласного бюджету на оплату послуг з благоустрою території вулиці Кобилянської у місті Івано-Франківськ</t>
  </si>
  <si>
    <t>6030</t>
  </si>
  <si>
    <t>Субвенція з обласного бюджету на заходи з благоустрою по вул. Д. Галицького, буд. 50 в с. Крихівці Івано-Франківської міської ради Івано-Франківського району Івано-Франківської області</t>
  </si>
  <si>
    <t xml:space="preserve"> Заходи та роботи з територіальної оборони</t>
  </si>
  <si>
    <t>8240</t>
  </si>
  <si>
    <t>7110</t>
  </si>
  <si>
    <t>Реалізація програм в галузі сільського господарства</t>
  </si>
  <si>
    <t>Програма розвитку КВП "Архітектурно-планувальне бюро-ІФ"</t>
  </si>
  <si>
    <t>Програма сприяння розвитку волонтерства Івано-Франківської територіальної громади на 2023-2025 роки</t>
  </si>
  <si>
    <t>Проект "Нова економіка Івано-Франківська"</t>
  </si>
  <si>
    <t>Співфінансування проекту в рамках програми транскордонного співробітництва Ромунія -Україна 2014-2020  "Назад до наших спільних коренів"</t>
  </si>
  <si>
    <t>видатки на фізичну культуру і спорт із фонду на виконання звернень депутатів та доручень виборців</t>
  </si>
  <si>
    <t>Виконано за   І півріччя 2023 року</t>
  </si>
  <si>
    <t>Затверджено з урахуванням змін на І півріччя 2023 року</t>
  </si>
  <si>
    <t>Виконано за   І півріччя 2022 року</t>
  </si>
  <si>
    <t>за  І півріччя 2023 року</t>
  </si>
  <si>
    <t>3230</t>
  </si>
  <si>
    <t>Видатки пов'язані з наданням підтримки внутрішньо переміщеним та/або евакуйованим особам у зв'язку із введенням воєнного стану</t>
  </si>
  <si>
    <t>Видатки пов'язані з наданням підтримки внутрішньо переміщеним та/або евакуйованим особам у зв'язку із введенням воєнного стану з РЕЗЕРВНОГО фонду</t>
  </si>
  <si>
    <t xml:space="preserve">інші заходи у сфері соціального захисту і соціальногозабезпечення з РЕЗЕРВНОГО фонду </t>
  </si>
  <si>
    <t>видатки на поховання учасників бойових дій та осіб з інвалідністю внаслідок війни</t>
  </si>
  <si>
    <t>9770</t>
  </si>
  <si>
    <t>Інші субвенції</t>
  </si>
  <si>
    <t>Заходи та роботи з територіальної оборони</t>
  </si>
  <si>
    <t>Субвенція з обласного бюджету на поточний ремонт харчоблоку та придбання матеріалів для проведення ремонтних робіт господарським способом  ЗДО № 29 " Кобзарик " Івано-Франківської міської ради Івано-Франківської області</t>
  </si>
  <si>
    <t>Субвенція з обласного бюджету для проведення ремонтних робіт господарським способом ліцею №18  Івано-Франківської міської ради</t>
  </si>
  <si>
    <t>Субвенція з обласного бюджету для облаштування укриття ( придбання меблів )  ліцею № 3   Івано-Франківської міської ради</t>
  </si>
  <si>
    <t>1021</t>
  </si>
  <si>
    <t>1025</t>
  </si>
  <si>
    <t>1091</t>
  </si>
  <si>
    <t>1141</t>
  </si>
  <si>
    <t>- видатки на  утримання установ культури із фонду на виконання звернень депутатів та доручень виборців</t>
  </si>
  <si>
    <t>- видатки на  утримання установ житлово-комунального господарства із фонду на виконання звернень депутатів та доручень виборців</t>
  </si>
  <si>
    <t>Субвенція з обласного бюджету на благоустрій території по вул. Героїв Миколаєва (масив Рінь) с. Угорники Івано-Франківської територіальної громади</t>
  </si>
  <si>
    <t>Субвенція з обласного бюджету на благоустрій вулиці Гаврилюка (від ПК 1+21) в с. Чукалівка Івано-Франківського району Івано-Франківської області</t>
  </si>
  <si>
    <t>6011</t>
  </si>
  <si>
    <t>Субвенція з обласного бюджету на проведення заходів з енергозбереження (встановлення вхідних дверей) в будинку по вул.Софії Галечко: буд. 12, 2 під'їзд в м. Івано-Франківську Івано-Франківської територіальної громади</t>
  </si>
  <si>
    <t>Субвенція з обласного бюджету на проведення заходів з енергозбереження (встановлення вхідних дверей) в будинку по вул.Чорновола: буд. 121, 1 під'їзд в м. Івано-Франківську Івано-Франківської територіальної громади</t>
  </si>
  <si>
    <t>Субвенція з обласного бюджету на проведення заходів з енергозбереження (встановлення вхідних дверей) в будинку по вул.Чорновола: буд. 115 в м. Івано-Франківську Івано-Франківської територіальної громади</t>
  </si>
  <si>
    <t>Субвенція з обласного бюджету на проведення заходів з енергозбереження (встановлення вхідних дверей) в будинку по вул.Чорновола: буд. 119, 1 під"їзд в м. Івано-Франківську Івано-Франківської територіальної громади</t>
  </si>
  <si>
    <t>Субвенція з обласного бюджету на проведення заходів з енергозбереження (встановлення вхідних дверей) в будинку по вул.Карпатської Січі: буд. 4 під"їзд (кв. 1,2,5,6) в м. Івано-Франківську Івано-Франківської територіальної громади</t>
  </si>
  <si>
    <t>Транспорт та транспортна інфраструктура, дорожнє господарство</t>
  </si>
  <si>
    <t>7400</t>
  </si>
  <si>
    <t xml:space="preserve">Культура </t>
  </si>
  <si>
    <t>Субвенція з обласного бюджету на капітальний ремонт спортивного майданчика ліцею №5 Івано-Франківської міської ради</t>
  </si>
  <si>
    <t>7321</t>
  </si>
  <si>
    <t>Субвенція з обласного бюджету на виготовлення проектної документації «Нове будівництво храму релігійної громади (парафії) Благовіщення Пречистої Діви Марії УГКЦ с. Чукалівка Тисменицького району Івано-Франківської області (на виконання заходів регіональної цільової програми «Духовне життя» на 2022-26 роки)</t>
  </si>
  <si>
    <t>5049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</si>
  <si>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</si>
  <si>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Субвенція з обласного бюджету на проведення заходів з енергозбереження (встановлення енергозберігаючих вікон в третьому під’їзді на вул. Чорновола буд. 115 в м. Івано-Франківську Івано-Франківської територіальної громади)</t>
  </si>
  <si>
    <t>Субвенція з обласного бюджету на проведення заходів з енергозбереження (встановлення енергозберігаючих вікон в четвертому під’їзді на вул. Чорновола буд. 115 в м. Івано-Франківську Івано-Франківської територіальної громади)</t>
  </si>
  <si>
    <t>8761</t>
  </si>
  <si>
    <t>Заходи із запобігання та ліквідації наслідків надзвичайної ситуації внаслідок стихійного лиха за рахунок коштів резервного фонду місцевого бюджету</t>
  </si>
  <si>
    <t>видатки на охорону здоровя із фонду на виконання звернень депутатів та доручень виборців</t>
  </si>
  <si>
    <t>Субвенція з обласного бюджету на придбання будівельних матеріалів для будівництва дочірнього Храму Непорочного Зачаття Пресвятої Богородиці УГКЦ в с.Угорники Івано-Франківської ТГ</t>
  </si>
  <si>
    <t>Міська цільова  програма «Партиципаторне бюджетування (бюджет участі)  у Івано-Франківській МТГ»</t>
  </si>
  <si>
    <t>- Міська цільова програма "Партиципаторне бюджетування (бюджет участі) у Івано-Франківській МТГ"</t>
  </si>
  <si>
    <t xml:space="preserve">залишок коштів дотації на надання компенсації центральним органам виконавчої влади та місцевим бюджетам на оплату комунальних послуг, що надаються під час розміщення в умовах воєнного стану тимчасово переміщених осіб,  який утворився станом на 01.01.2023 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</si>
</sst>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81" formatCode="_-* #,##0.00_р_._-;\-* #,##0.00_р_._-;_-* &quot;-&quot;??_р_._-;_-@_-"/>
    <numFmt numFmtId="198" formatCode="#,##0.0"/>
    <numFmt numFmtId="199" formatCode="0.0"/>
  </numFmts>
  <fonts count="28" x14ac:knownFonts="1">
    <font>
      <sz val="10"/>
      <name val="Arial Cyr"/>
      <family val="2"/>
      <charset val="204"/>
    </font>
    <font>
      <sz val="10"/>
      <name val="Arial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Helv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1"/>
    </font>
    <font>
      <b/>
      <sz val="14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1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b/>
      <sz val="14"/>
      <name val="Times New Roman Cyr"/>
      <charset val="204"/>
    </font>
    <font>
      <b/>
      <u/>
      <sz val="14"/>
      <name val="Times New Roman"/>
      <family val="1"/>
      <charset val="1"/>
    </font>
    <font>
      <b/>
      <sz val="16"/>
      <name val="Times New Roman"/>
      <family val="1"/>
      <charset val="1"/>
    </font>
    <font>
      <b/>
      <i/>
      <sz val="14"/>
      <name val="Times New Roman"/>
      <family val="1"/>
      <charset val="1"/>
    </font>
    <font>
      <sz val="16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1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1"/>
    </font>
    <font>
      <sz val="14"/>
      <color theme="1"/>
      <name val="Times New Roman"/>
      <family val="1"/>
      <charset val="1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9" fontId="24" fillId="0" borderId="0" applyFont="0" applyFill="0" applyBorder="0" applyAlignment="0" applyProtection="0"/>
    <xf numFmtId="0" fontId="4" fillId="0" borderId="0"/>
    <xf numFmtId="0" fontId="24" fillId="0" borderId="0"/>
    <xf numFmtId="0" fontId="3" fillId="0" borderId="0"/>
    <xf numFmtId="0" fontId="2" fillId="0" borderId="0"/>
    <xf numFmtId="0" fontId="4" fillId="0" borderId="0"/>
    <xf numFmtId="0" fontId="5" fillId="0" borderId="0"/>
    <xf numFmtId="181" fontId="1" fillId="0" borderId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119">
    <xf numFmtId="0" fontId="0" fillId="0" borderId="0" xfId="0"/>
    <xf numFmtId="198" fontId="7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98" fontId="8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198" fontId="8" fillId="2" borderId="1" xfId="0" applyNumberFormat="1" applyFont="1" applyFill="1" applyBorder="1" applyAlignment="1">
      <alignment horizontal="center" vertical="center"/>
    </xf>
    <xf numFmtId="198" fontId="8" fillId="2" borderId="1" xfId="0" applyNumberFormat="1" applyFont="1" applyFill="1" applyBorder="1" applyAlignment="1">
      <alignment horizontal="center" vertical="center" wrapText="1"/>
    </xf>
    <xf numFmtId="198" fontId="9" fillId="2" borderId="1" xfId="0" applyNumberFormat="1" applyFont="1" applyFill="1" applyBorder="1" applyAlignment="1">
      <alignment horizontal="center" vertical="center" wrapText="1"/>
    </xf>
    <xf numFmtId="198" fontId="6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198" fontId="8" fillId="2" borderId="1" xfId="4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198" fontId="7" fillId="2" borderId="0" xfId="0" applyNumberFormat="1" applyFont="1" applyFill="1" applyBorder="1" applyAlignment="1">
      <alignment horizontal="center" vertical="center" wrapText="1"/>
    </xf>
    <xf numFmtId="198" fontId="6" fillId="2" borderId="0" xfId="0" applyNumberFormat="1" applyFont="1" applyFill="1" applyBorder="1" applyAlignment="1">
      <alignment horizontal="center" vertical="center" wrapText="1"/>
    </xf>
    <xf numFmtId="198" fontId="9" fillId="2" borderId="0" xfId="0" applyNumberFormat="1" applyFont="1" applyFill="1" applyBorder="1" applyAlignment="1">
      <alignment horizontal="center" vertical="center" wrapText="1"/>
    </xf>
    <xf numFmtId="199" fontId="8" fillId="2" borderId="0" xfId="0" applyNumberFormat="1" applyFont="1" applyFill="1" applyAlignment="1">
      <alignment vertical="center"/>
    </xf>
    <xf numFmtId="198" fontId="21" fillId="2" borderId="0" xfId="0" applyNumberFormat="1" applyFont="1" applyFill="1" applyAlignment="1">
      <alignment vertical="center"/>
    </xf>
    <xf numFmtId="199" fontId="22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horizontal="justify" vertical="center"/>
    </xf>
    <xf numFmtId="198" fontId="0" fillId="2" borderId="0" xfId="0" applyNumberFormat="1" applyFont="1" applyFill="1" applyAlignment="1">
      <alignment vertical="center"/>
    </xf>
    <xf numFmtId="0" fontId="0" fillId="2" borderId="0" xfId="0" applyFont="1" applyFill="1" applyAlignment="1">
      <alignment vertical="center"/>
    </xf>
    <xf numFmtId="198" fontId="25" fillId="2" borderId="1" xfId="0" applyNumberFormat="1" applyFont="1" applyFill="1" applyBorder="1" applyAlignment="1">
      <alignment horizontal="center" vertical="center"/>
    </xf>
    <xf numFmtId="198" fontId="25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98" fontId="25" fillId="2" borderId="0" xfId="0" applyNumberFormat="1" applyFont="1" applyFill="1" applyAlignment="1">
      <alignment vertical="center"/>
    </xf>
    <xf numFmtId="181" fontId="1" fillId="2" borderId="0" xfId="8" applyFill="1" applyAlignment="1">
      <alignment vertical="center"/>
    </xf>
    <xf numFmtId="198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98" fontId="6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vertical="center" wrapText="1"/>
    </xf>
    <xf numFmtId="199" fontId="8" fillId="2" borderId="1" xfId="0" applyNumberFormat="1" applyFont="1" applyFill="1" applyBorder="1" applyAlignment="1">
      <alignment horizontal="center" vertical="center" wrapText="1"/>
    </xf>
    <xf numFmtId="199" fontId="2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198" fontId="7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99" fontId="6" fillId="2" borderId="1" xfId="7" applyNumberFormat="1" applyFont="1" applyFill="1" applyBorder="1" applyAlignment="1">
      <alignment horizontal="left" vertical="center" wrapText="1"/>
    </xf>
    <xf numFmtId="49" fontId="6" fillId="2" borderId="1" xfId="5" applyNumberFormat="1" applyFont="1" applyFill="1" applyBorder="1" applyAlignment="1">
      <alignment horizontal="left" vertical="center" wrapText="1"/>
    </xf>
    <xf numFmtId="49" fontId="8" fillId="2" borderId="1" xfId="5" applyNumberFormat="1" applyFont="1" applyFill="1" applyBorder="1" applyAlignment="1">
      <alignment horizontal="left" vertical="center" wrapText="1"/>
    </xf>
    <xf numFmtId="198" fontId="9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6" fillId="2" borderId="1" xfId="6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23" fillId="2" borderId="1" xfId="3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vertical="center" wrapText="1"/>
    </xf>
    <xf numFmtId="49" fontId="8" fillId="2" borderId="1" xfId="5" applyNumberFormat="1" applyFont="1" applyFill="1" applyBorder="1" applyAlignment="1">
      <alignment vertical="center" wrapText="1"/>
    </xf>
    <xf numFmtId="198" fontId="26" fillId="2" borderId="1" xfId="4" applyNumberFormat="1" applyFont="1" applyFill="1" applyBorder="1" applyAlignment="1">
      <alignment horizontal="center" vertical="center"/>
    </xf>
    <xf numFmtId="198" fontId="8" fillId="2" borderId="0" xfId="0" applyNumberFormat="1" applyFont="1" applyFill="1" applyAlignment="1">
      <alignment horizontal="center" vertical="center"/>
    </xf>
    <xf numFmtId="49" fontId="7" fillId="2" borderId="1" xfId="5" applyNumberFormat="1" applyFont="1" applyFill="1" applyBorder="1" applyAlignment="1">
      <alignment vertical="center" wrapText="1"/>
    </xf>
    <xf numFmtId="198" fontId="27" fillId="2" borderId="1" xfId="0" applyNumberFormat="1" applyFont="1" applyFill="1" applyBorder="1" applyAlignment="1">
      <alignment horizontal="center" vertical="center" wrapText="1"/>
    </xf>
    <xf numFmtId="198" fontId="8" fillId="2" borderId="1" xfId="4" applyNumberFormat="1" applyFont="1" applyFill="1" applyBorder="1" applyAlignment="1">
      <alignment horizontal="center" vertical="center" wrapText="1"/>
    </xf>
    <xf numFmtId="198" fontId="26" fillId="2" borderId="1" xfId="4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7" fillId="2" borderId="1" xfId="5" applyNumberFormat="1" applyFont="1" applyFill="1" applyBorder="1" applyAlignment="1">
      <alignment horizontal="center" vertical="center" wrapText="1"/>
    </xf>
    <xf numFmtId="0" fontId="8" fillId="2" borderId="1" xfId="4" applyFont="1" applyFill="1" applyBorder="1" applyAlignment="1">
      <alignment vertical="center" wrapText="1"/>
    </xf>
    <xf numFmtId="198" fontId="6" fillId="2" borderId="1" xfId="4" applyNumberFormat="1" applyFont="1" applyFill="1" applyBorder="1" applyAlignment="1">
      <alignment horizontal="center" vertical="center"/>
    </xf>
    <xf numFmtId="49" fontId="8" fillId="2" borderId="1" xfId="4" applyNumberFormat="1" applyFont="1" applyFill="1" applyBorder="1" applyAlignment="1">
      <alignment vertical="center" wrapText="1"/>
    </xf>
    <xf numFmtId="198" fontId="25" fillId="2" borderId="1" xfId="4" applyNumberFormat="1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left" vertical="center" wrapText="1"/>
    </xf>
    <xf numFmtId="0" fontId="9" fillId="2" borderId="1" xfId="4" applyFont="1" applyFill="1" applyBorder="1" applyAlignment="1">
      <alignment horizontal="left" vertical="center" wrapText="1"/>
    </xf>
    <xf numFmtId="49" fontId="9" fillId="2" borderId="1" xfId="5" applyNumberFormat="1" applyFont="1" applyFill="1" applyBorder="1" applyAlignment="1">
      <alignment horizontal="center" vertical="center" wrapText="1"/>
    </xf>
    <xf numFmtId="198" fontId="14" fillId="2" borderId="1" xfId="0" applyNumberFormat="1" applyFont="1" applyFill="1" applyBorder="1" applyAlignment="1">
      <alignment horizontal="center" vertical="center" wrapText="1"/>
    </xf>
    <xf numFmtId="198" fontId="1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 shrinkToFit="1"/>
    </xf>
    <xf numFmtId="49" fontId="7" fillId="2" borderId="1" xfId="0" applyNumberFormat="1" applyFont="1" applyFill="1" applyBorder="1" applyAlignment="1">
      <alignment vertical="center" wrapText="1" shrinkToFi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 shrinkToFit="1"/>
    </xf>
    <xf numFmtId="198" fontId="6" fillId="2" borderId="1" xfId="0" applyNumberFormat="1" applyFont="1" applyFill="1" applyBorder="1" applyAlignment="1">
      <alignment horizontal="center" vertical="center" wrapText="1" shrinkToFit="1"/>
    </xf>
    <xf numFmtId="198" fontId="6" fillId="2" borderId="1" xfId="0" applyNumberFormat="1" applyFont="1" applyFill="1" applyBorder="1" applyAlignment="1">
      <alignment horizontal="center" vertical="center" shrinkToFit="1"/>
    </xf>
    <xf numFmtId="198" fontId="6" fillId="2" borderId="2" xfId="0" applyNumberFormat="1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horizontal="left" vertical="center" wrapText="1"/>
    </xf>
    <xf numFmtId="0" fontId="20" fillId="2" borderId="0" xfId="0" applyFont="1" applyFill="1" applyAlignment="1">
      <alignment horizontal="justify" vertical="center"/>
    </xf>
    <xf numFmtId="198" fontId="15" fillId="2" borderId="0" xfId="0" applyNumberFormat="1" applyFont="1" applyFill="1" applyAlignment="1">
      <alignment vertical="center"/>
    </xf>
    <xf numFmtId="198" fontId="10" fillId="2" borderId="1" xfId="5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198" fontId="8" fillId="2" borderId="0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98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198" fontId="8" fillId="2" borderId="0" xfId="0" applyNumberFormat="1" applyFont="1" applyFill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</cellXfs>
  <cellStyles count="13">
    <cellStyle name="Відсотковий 2" xfId="1"/>
    <cellStyle name="Звичайний 2" xfId="2"/>
    <cellStyle name="Звичайний 3" xfId="3"/>
    <cellStyle name="Обычный" xfId="0" builtinId="0"/>
    <cellStyle name="Обычный_Довідка про виконання міського бюджету по видатках" xfId="4"/>
    <cellStyle name="Обычный_Лист1" xfId="5"/>
    <cellStyle name="Обычный_місто дод.2" xfId="6"/>
    <cellStyle name="Стиль 1" xfId="7"/>
    <cellStyle name="Финансовый" xfId="8" builtinId="3"/>
    <cellStyle name="Фінансовий 2" xfId="9"/>
    <cellStyle name="Фінансовий 2 2" xfId="10"/>
    <cellStyle name="Фінансовий 3" xfId="11"/>
    <cellStyle name="Фінансовий 4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B80047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FF23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4"/>
  <sheetViews>
    <sheetView showZeros="0" tabSelected="1" zoomScale="80" zoomScaleNormal="80" workbookViewId="0">
      <pane ySplit="10" topLeftCell="A215" activePane="bottomLeft" state="frozen"/>
      <selection pane="bottomLeft" activeCell="G219" sqref="G219"/>
    </sheetView>
  </sheetViews>
  <sheetFormatPr defaultRowHeight="18.75" x14ac:dyDescent="0.2"/>
  <cols>
    <col min="1" max="1" width="15.7109375" style="2" customWidth="1"/>
    <col min="2" max="2" width="38.42578125" style="2" customWidth="1"/>
    <col min="3" max="3" width="14.7109375" style="3" customWidth="1"/>
    <col min="4" max="4" width="15.28515625" style="3" customWidth="1"/>
    <col min="5" max="5" width="16.28515625" style="3" customWidth="1"/>
    <col min="6" max="6" width="15.28515625" style="3" customWidth="1"/>
    <col min="7" max="7" width="15.42578125" style="3" customWidth="1"/>
    <col min="8" max="8" width="15.5703125" style="3" customWidth="1"/>
    <col min="9" max="9" width="11.140625" style="3" customWidth="1"/>
    <col min="10" max="10" width="17.42578125" style="3" customWidth="1"/>
    <col min="11" max="11" width="16.85546875" style="3" customWidth="1"/>
    <col min="12" max="12" width="11.7109375" style="2" bestFit="1" customWidth="1"/>
    <col min="13" max="13" width="11.42578125" style="2" customWidth="1"/>
    <col min="14" max="14" width="13.140625" style="2" customWidth="1"/>
    <col min="15" max="16384" width="9.140625" style="2"/>
  </cols>
  <sheetData>
    <row r="1" spans="1:17" x14ac:dyDescent="0.2">
      <c r="H1" s="117" t="s">
        <v>43</v>
      </c>
      <c r="I1" s="117"/>
      <c r="J1" s="117"/>
      <c r="K1" s="117"/>
    </row>
    <row r="2" spans="1:17" x14ac:dyDescent="0.2">
      <c r="H2" s="117" t="s">
        <v>184</v>
      </c>
      <c r="I2" s="117"/>
      <c r="J2" s="117"/>
      <c r="K2" s="117"/>
    </row>
    <row r="3" spans="1:17" x14ac:dyDescent="0.2">
      <c r="H3" s="117" t="s">
        <v>51</v>
      </c>
      <c r="I3" s="117"/>
      <c r="J3" s="117"/>
      <c r="K3" s="117"/>
    </row>
    <row r="4" spans="1:17" ht="20.25" customHeight="1" x14ac:dyDescent="0.2">
      <c r="A4" s="118" t="s">
        <v>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</row>
    <row r="5" spans="1:17" ht="19.5" customHeight="1" x14ac:dyDescent="0.2">
      <c r="A5" s="118" t="s">
        <v>147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spans="1:17" ht="18" customHeight="1" x14ac:dyDescent="0.2">
      <c r="A6" s="118" t="s">
        <v>224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</row>
    <row r="7" spans="1:17" ht="20.25" customHeight="1" x14ac:dyDescent="0.2">
      <c r="B7" s="113"/>
      <c r="C7" s="113"/>
      <c r="D7" s="113"/>
      <c r="E7" s="113"/>
      <c r="F7" s="113"/>
      <c r="G7" s="113"/>
      <c r="H7" s="113"/>
      <c r="I7" s="113"/>
      <c r="J7" s="113"/>
    </row>
    <row r="8" spans="1:17" ht="76.5" customHeight="1" x14ac:dyDescent="0.2">
      <c r="A8" s="114" t="s">
        <v>69</v>
      </c>
      <c r="B8" s="114" t="s">
        <v>56</v>
      </c>
      <c r="C8" s="115" t="s">
        <v>223</v>
      </c>
      <c r="D8" s="115" t="s">
        <v>186</v>
      </c>
      <c r="E8" s="115" t="s">
        <v>187</v>
      </c>
      <c r="F8" s="115" t="s">
        <v>222</v>
      </c>
      <c r="G8" s="115" t="s">
        <v>221</v>
      </c>
      <c r="H8" s="115" t="s">
        <v>46</v>
      </c>
      <c r="I8" s="115"/>
      <c r="J8" s="107" t="s">
        <v>188</v>
      </c>
      <c r="K8" s="107" t="s">
        <v>189</v>
      </c>
    </row>
    <row r="9" spans="1:17" ht="48" customHeight="1" x14ac:dyDescent="0.2">
      <c r="A9" s="114"/>
      <c r="B9" s="114"/>
      <c r="C9" s="115"/>
      <c r="D9" s="116"/>
      <c r="E9" s="115"/>
      <c r="F9" s="115"/>
      <c r="G9" s="115"/>
      <c r="H9" s="30" t="s">
        <v>44</v>
      </c>
      <c r="I9" s="30" t="s">
        <v>45</v>
      </c>
      <c r="J9" s="107"/>
      <c r="K9" s="107"/>
    </row>
    <row r="10" spans="1:17" s="11" customFormat="1" ht="18.75" customHeight="1" x14ac:dyDescent="0.2">
      <c r="A10" s="31">
        <v>1</v>
      </c>
      <c r="B10" s="31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10" t="s">
        <v>47</v>
      </c>
      <c r="K10" s="10" t="s">
        <v>55</v>
      </c>
    </row>
    <row r="11" spans="1:17" ht="25.5" customHeight="1" x14ac:dyDescent="0.2">
      <c r="A11" s="108" t="s">
        <v>41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</row>
    <row r="12" spans="1:17" s="4" customFormat="1" ht="42.75" customHeight="1" x14ac:dyDescent="0.2">
      <c r="A12" s="32" t="s">
        <v>76</v>
      </c>
      <c r="B12" s="33" t="s">
        <v>1</v>
      </c>
      <c r="C12" s="1">
        <f>C14</f>
        <v>99245.3</v>
      </c>
      <c r="D12" s="1">
        <f>D14</f>
        <v>238757.9</v>
      </c>
      <c r="E12" s="1">
        <f>E14</f>
        <v>240011.6</v>
      </c>
      <c r="F12" s="1">
        <f>F14</f>
        <v>127195.2</v>
      </c>
      <c r="G12" s="1">
        <f>G14</f>
        <v>105735.8</v>
      </c>
      <c r="H12" s="1">
        <f>G12-C12</f>
        <v>6490.5</v>
      </c>
      <c r="I12" s="1">
        <f>((G12/C12)*100)-100</f>
        <v>6.5398562954618598</v>
      </c>
      <c r="J12" s="1">
        <f>G12/E12*100</f>
        <v>44.054454034721658</v>
      </c>
      <c r="K12" s="1">
        <f>G12-E12</f>
        <v>-134275.79999999999</v>
      </c>
    </row>
    <row r="13" spans="1:17" s="12" customFormat="1" ht="21" customHeight="1" x14ac:dyDescent="0.2">
      <c r="A13" s="34"/>
      <c r="B13" s="35" t="s">
        <v>2</v>
      </c>
      <c r="C13" s="36"/>
      <c r="D13" s="8"/>
      <c r="E13" s="8"/>
      <c r="F13" s="8"/>
      <c r="G13" s="36"/>
      <c r="H13" s="8"/>
      <c r="I13" s="8"/>
      <c r="J13" s="8"/>
      <c r="K13" s="1"/>
    </row>
    <row r="14" spans="1:17" ht="42" customHeight="1" x14ac:dyDescent="0.2">
      <c r="A14" s="37"/>
      <c r="B14" s="38" t="s">
        <v>3</v>
      </c>
      <c r="C14" s="36">
        <v>99245.3</v>
      </c>
      <c r="D14" s="6">
        <v>238757.9</v>
      </c>
      <c r="E14" s="6">
        <f>239818.7+192.9</f>
        <v>240011.6</v>
      </c>
      <c r="F14" s="6">
        <f>127002.3+192.9</f>
        <v>127195.2</v>
      </c>
      <c r="G14" s="36">
        <f>105735.8</f>
        <v>105735.8</v>
      </c>
      <c r="H14" s="8">
        <f>G14-C14</f>
        <v>6490.5</v>
      </c>
      <c r="I14" s="8">
        <f>((G14/C14)*100)-100</f>
        <v>6.5398562954618598</v>
      </c>
      <c r="J14" s="8">
        <f>G14/E14*100</f>
        <v>44.054454034721658</v>
      </c>
      <c r="K14" s="8">
        <f t="shared" ref="K14:K24" si="0">G14-E14</f>
        <v>-134275.79999999999</v>
      </c>
    </row>
    <row r="15" spans="1:17" ht="33" customHeight="1" x14ac:dyDescent="0.2">
      <c r="A15" s="32"/>
      <c r="B15" s="39" t="s">
        <v>4</v>
      </c>
      <c r="C15" s="1">
        <f>SUM(C17:C23)</f>
        <v>497748.80000000005</v>
      </c>
      <c r="D15" s="1">
        <f>D17+D19+D20+D21+D22+D18</f>
        <v>1018830</v>
      </c>
      <c r="E15" s="1">
        <f>E17+E19+E20+E21+E22+E18</f>
        <v>1036072.4</v>
      </c>
      <c r="F15" s="1">
        <f>F17+F19+F20+F21+F22+F18</f>
        <v>685641.3</v>
      </c>
      <c r="G15" s="1">
        <f>G17+G19+G20+G21+G22+G18</f>
        <v>522963.20000000001</v>
      </c>
      <c r="H15" s="8">
        <f>G15-C15</f>
        <v>25214.399999999965</v>
      </c>
      <c r="I15" s="8"/>
      <c r="J15" s="1">
        <f>G15/E15*100</f>
        <v>50.475545917447477</v>
      </c>
      <c r="K15" s="1">
        <f t="shared" si="0"/>
        <v>-513109.2</v>
      </c>
    </row>
    <row r="16" spans="1:17" ht="24" customHeight="1" x14ac:dyDescent="0.2">
      <c r="A16" s="37"/>
      <c r="B16" s="40" t="s">
        <v>2</v>
      </c>
      <c r="C16" s="8"/>
      <c r="D16" s="6"/>
      <c r="E16" s="6"/>
      <c r="F16" s="6"/>
      <c r="G16" s="8"/>
      <c r="H16" s="8"/>
      <c r="I16" s="8"/>
      <c r="J16" s="8"/>
      <c r="K16" s="1">
        <f t="shared" si="0"/>
        <v>0</v>
      </c>
      <c r="L16" s="27"/>
      <c r="M16" s="27"/>
      <c r="N16" s="27"/>
      <c r="O16" s="27"/>
      <c r="P16" s="27"/>
      <c r="Q16" s="27"/>
    </row>
    <row r="17" spans="1:17" ht="42" customHeight="1" x14ac:dyDescent="0.2">
      <c r="A17" s="32" t="s">
        <v>57</v>
      </c>
      <c r="B17" s="38" t="s">
        <v>5</v>
      </c>
      <c r="C17" s="5">
        <v>493447.9</v>
      </c>
      <c r="D17" s="6">
        <v>1004930</v>
      </c>
      <c r="E17" s="6">
        <f>1016044.5+878.9</f>
        <v>1016923.4</v>
      </c>
      <c r="F17" s="6">
        <f>671193.4+878.9-0.2</f>
        <v>672072.10000000009</v>
      </c>
      <c r="G17" s="5">
        <f>515377.2+224.5-3.5</f>
        <v>515598.2</v>
      </c>
      <c r="H17" s="8">
        <f t="shared" ref="H17:H24" si="1">G17-C17</f>
        <v>22150.299999999988</v>
      </c>
      <c r="I17" s="8">
        <f>((G17/C17)*100)-100</f>
        <v>4.4888832235378828</v>
      </c>
      <c r="J17" s="8">
        <f t="shared" ref="J17:J28" si="2">G17/E17*100</f>
        <v>50.701773604580247</v>
      </c>
      <c r="K17" s="1">
        <f>G17-E17</f>
        <v>-501325.2</v>
      </c>
      <c r="L17" s="28"/>
      <c r="M17" s="28"/>
      <c r="N17" s="27"/>
      <c r="O17" s="27"/>
      <c r="P17" s="27"/>
      <c r="Q17" s="27"/>
    </row>
    <row r="18" spans="1:17" ht="84" customHeight="1" x14ac:dyDescent="0.2">
      <c r="A18" s="32"/>
      <c r="B18" s="38" t="s">
        <v>197</v>
      </c>
      <c r="C18" s="5"/>
      <c r="D18" s="6"/>
      <c r="E18" s="6">
        <v>534.20000000000005</v>
      </c>
      <c r="F18" s="6">
        <v>534.20000000000005</v>
      </c>
      <c r="G18" s="5">
        <v>529.20000000000005</v>
      </c>
      <c r="H18" s="8">
        <f>G18-C18</f>
        <v>529.20000000000005</v>
      </c>
      <c r="I18" s="8"/>
      <c r="J18" s="8">
        <f>G18/E18*100</f>
        <v>99.064020965930368</v>
      </c>
      <c r="K18" s="1">
        <f>G18-E18</f>
        <v>-5</v>
      </c>
    </row>
    <row r="19" spans="1:17" ht="93.75" x14ac:dyDescent="0.2">
      <c r="A19" s="37"/>
      <c r="B19" s="41" t="s">
        <v>161</v>
      </c>
      <c r="C19" s="42"/>
      <c r="D19" s="42"/>
      <c r="E19" s="42">
        <v>1709.9</v>
      </c>
      <c r="F19" s="42">
        <v>1709.9</v>
      </c>
      <c r="G19" s="42">
        <v>773.6</v>
      </c>
      <c r="H19" s="8">
        <f t="shared" si="1"/>
        <v>773.6</v>
      </c>
      <c r="I19" s="8"/>
      <c r="J19" s="8">
        <f t="shared" si="2"/>
        <v>45.242411836949529</v>
      </c>
      <c r="K19" s="8">
        <f t="shared" si="0"/>
        <v>-936.30000000000007</v>
      </c>
    </row>
    <row r="20" spans="1:17" ht="82.5" customHeight="1" x14ac:dyDescent="0.2">
      <c r="A20" s="37"/>
      <c r="B20" s="38" t="s">
        <v>264</v>
      </c>
      <c r="C20" s="42"/>
      <c r="D20" s="42">
        <v>0</v>
      </c>
      <c r="E20" s="42">
        <v>2796.9</v>
      </c>
      <c r="F20" s="42">
        <v>2796.9</v>
      </c>
      <c r="G20" s="43">
        <v>1151.2</v>
      </c>
      <c r="H20" s="8">
        <f t="shared" si="1"/>
        <v>1151.2</v>
      </c>
      <c r="I20" s="8"/>
      <c r="J20" s="8">
        <f t="shared" si="2"/>
        <v>41.159855554363759</v>
      </c>
      <c r="K20" s="8">
        <f t="shared" si="0"/>
        <v>-1645.7</v>
      </c>
    </row>
    <row r="21" spans="1:17" ht="42" customHeight="1" x14ac:dyDescent="0.2">
      <c r="A21" s="32" t="s">
        <v>85</v>
      </c>
      <c r="B21" s="38" t="s">
        <v>6</v>
      </c>
      <c r="C21" s="5">
        <v>0</v>
      </c>
      <c r="D21" s="6">
        <v>1500</v>
      </c>
      <c r="E21" s="6">
        <v>1500</v>
      </c>
      <c r="F21" s="6">
        <v>1500</v>
      </c>
      <c r="G21" s="5">
        <v>0</v>
      </c>
      <c r="H21" s="8">
        <f t="shared" si="1"/>
        <v>0</v>
      </c>
      <c r="I21" s="8"/>
      <c r="J21" s="8">
        <f t="shared" si="2"/>
        <v>0</v>
      </c>
      <c r="K21" s="8">
        <f t="shared" si="0"/>
        <v>-1500</v>
      </c>
    </row>
    <row r="22" spans="1:17" ht="41.25" customHeight="1" x14ac:dyDescent="0.2">
      <c r="A22" s="32" t="s">
        <v>86</v>
      </c>
      <c r="B22" s="44" t="s">
        <v>40</v>
      </c>
      <c r="C22" s="36">
        <v>4244.8999999999996</v>
      </c>
      <c r="D22" s="8">
        <v>12400</v>
      </c>
      <c r="E22" s="8">
        <v>12608</v>
      </c>
      <c r="F22" s="6">
        <v>7028.2</v>
      </c>
      <c r="G22" s="36">
        <v>4911</v>
      </c>
      <c r="H22" s="8">
        <f t="shared" si="1"/>
        <v>666.10000000000036</v>
      </c>
      <c r="I22" s="8">
        <f>((G22/C22)*100)-100</f>
        <v>15.691771302033032</v>
      </c>
      <c r="J22" s="8">
        <f t="shared" si="2"/>
        <v>38.951459390862944</v>
      </c>
      <c r="K22" s="8">
        <f t="shared" si="0"/>
        <v>-7697</v>
      </c>
    </row>
    <row r="23" spans="1:17" ht="99.75" customHeight="1" x14ac:dyDescent="0.2">
      <c r="A23" s="32" t="s">
        <v>225</v>
      </c>
      <c r="B23" s="44" t="s">
        <v>226</v>
      </c>
      <c r="C23" s="36">
        <v>56</v>
      </c>
      <c r="D23" s="8"/>
      <c r="E23" s="8"/>
      <c r="F23" s="6"/>
      <c r="G23" s="36"/>
      <c r="H23" s="8"/>
      <c r="I23" s="8"/>
      <c r="J23" s="8"/>
      <c r="K23" s="8"/>
    </row>
    <row r="24" spans="1:17" ht="37.5" customHeight="1" x14ac:dyDescent="0.2">
      <c r="A24" s="32" t="s">
        <v>60</v>
      </c>
      <c r="B24" s="45" t="s">
        <v>7</v>
      </c>
      <c r="C24" s="7">
        <f>C26+C28</f>
        <v>30830</v>
      </c>
      <c r="D24" s="7">
        <f>D26+D28+D27</f>
        <v>85080.8</v>
      </c>
      <c r="E24" s="7">
        <f>E26+E28+E27</f>
        <v>90142.9</v>
      </c>
      <c r="F24" s="7">
        <f>F26+F28+F27</f>
        <v>55642.5</v>
      </c>
      <c r="G24" s="7">
        <f>G26+G28+G27</f>
        <v>31719.5</v>
      </c>
      <c r="H24" s="1">
        <f t="shared" si="1"/>
        <v>889.5</v>
      </c>
      <c r="I24" s="1">
        <f>((G24/C24)*100)-100</f>
        <v>2.885176775867663</v>
      </c>
      <c r="J24" s="1">
        <f t="shared" si="2"/>
        <v>35.188018135649067</v>
      </c>
      <c r="K24" s="1">
        <f t="shared" si="0"/>
        <v>-58423.399999999994</v>
      </c>
    </row>
    <row r="25" spans="1:17" x14ac:dyDescent="0.2">
      <c r="A25" s="37"/>
      <c r="B25" s="46" t="s">
        <v>8</v>
      </c>
      <c r="C25" s="7"/>
      <c r="D25" s="7"/>
      <c r="E25" s="7"/>
      <c r="F25" s="7"/>
      <c r="G25" s="7"/>
      <c r="H25" s="8"/>
      <c r="I25" s="8"/>
      <c r="J25" s="1"/>
      <c r="K25" s="8"/>
    </row>
    <row r="26" spans="1:17" ht="44.25" customHeight="1" x14ac:dyDescent="0.2">
      <c r="A26" s="37"/>
      <c r="B26" s="46" t="s">
        <v>9</v>
      </c>
      <c r="C26" s="6">
        <v>30830</v>
      </c>
      <c r="D26" s="6">
        <v>85080.8</v>
      </c>
      <c r="E26" s="6">
        <v>89967.9</v>
      </c>
      <c r="F26" s="6">
        <v>55467.5</v>
      </c>
      <c r="G26" s="6">
        <v>31694.5</v>
      </c>
      <c r="H26" s="8">
        <f>G26-C26</f>
        <v>864.5</v>
      </c>
      <c r="I26" s="8">
        <f>((G26/C26)*100)-100</f>
        <v>2.804086928316579</v>
      </c>
      <c r="J26" s="1"/>
      <c r="K26" s="8">
        <f>G26-E26</f>
        <v>-58273.399999999994</v>
      </c>
    </row>
    <row r="27" spans="1:17" ht="70.5" customHeight="1" x14ac:dyDescent="0.2">
      <c r="A27" s="37"/>
      <c r="B27" s="46" t="s">
        <v>262</v>
      </c>
      <c r="C27" s="6"/>
      <c r="D27" s="6"/>
      <c r="E27" s="6">
        <v>25</v>
      </c>
      <c r="F27" s="6">
        <v>25</v>
      </c>
      <c r="G27" s="6">
        <v>25</v>
      </c>
      <c r="H27" s="8">
        <f>G27-C27</f>
        <v>25</v>
      </c>
      <c r="I27" s="8"/>
      <c r="J27" s="1"/>
      <c r="K27" s="8">
        <f>G27-E27</f>
        <v>0</v>
      </c>
    </row>
    <row r="28" spans="1:17" ht="96" customHeight="1" x14ac:dyDescent="0.2">
      <c r="A28" s="37"/>
      <c r="B28" s="41" t="s">
        <v>161</v>
      </c>
      <c r="C28" s="6"/>
      <c r="D28" s="6"/>
      <c r="E28" s="6">
        <v>150</v>
      </c>
      <c r="F28" s="6">
        <v>150</v>
      </c>
      <c r="G28" s="6"/>
      <c r="H28" s="8">
        <f>G28-C28</f>
        <v>0</v>
      </c>
      <c r="I28" s="8"/>
      <c r="J28" s="1">
        <f t="shared" si="2"/>
        <v>0</v>
      </c>
      <c r="K28" s="8">
        <f>G28-E28</f>
        <v>-150</v>
      </c>
    </row>
    <row r="29" spans="1:17" ht="65.25" customHeight="1" x14ac:dyDescent="0.2">
      <c r="A29" s="32" t="s">
        <v>61</v>
      </c>
      <c r="B29" s="45" t="s">
        <v>175</v>
      </c>
      <c r="C29" s="7">
        <f>SUM(C31:C36)</f>
        <v>47819.799999999996</v>
      </c>
      <c r="D29" s="7">
        <f>SUM(D31:D36)</f>
        <v>134837</v>
      </c>
      <c r="E29" s="7">
        <f>SUM(E31:E36)</f>
        <v>179172.9</v>
      </c>
      <c r="F29" s="7">
        <f>SUM(F31:F36)</f>
        <v>151296.9</v>
      </c>
      <c r="G29" s="7">
        <f>SUM(G31:G36)</f>
        <v>118278.7</v>
      </c>
      <c r="H29" s="1">
        <f>G29-C29</f>
        <v>70458.899999999994</v>
      </c>
      <c r="I29" s="1">
        <f>((G29/C29)*100)-100</f>
        <v>147.34252338989288</v>
      </c>
      <c r="J29" s="1">
        <f>G29/E29*100</f>
        <v>66.013721941208743</v>
      </c>
      <c r="K29" s="1">
        <f>G29-E29</f>
        <v>-60894.2</v>
      </c>
    </row>
    <row r="30" spans="1:17" x14ac:dyDescent="0.2">
      <c r="A30" s="37"/>
      <c r="B30" s="46" t="s">
        <v>8</v>
      </c>
      <c r="C30" s="7"/>
      <c r="D30" s="7"/>
      <c r="E30" s="7"/>
      <c r="F30" s="7"/>
      <c r="G30" s="7"/>
      <c r="H30" s="8"/>
      <c r="I30" s="8"/>
      <c r="J30" s="8"/>
      <c r="K30" s="8"/>
    </row>
    <row r="31" spans="1:17" ht="30.75" customHeight="1" x14ac:dyDescent="0.2">
      <c r="A31" s="37"/>
      <c r="B31" s="46" t="s">
        <v>10</v>
      </c>
      <c r="C31" s="6">
        <v>42469.7</v>
      </c>
      <c r="D31" s="6">
        <v>134337</v>
      </c>
      <c r="E31" s="6">
        <f>174926.5+49.9</f>
        <v>174976.4</v>
      </c>
      <c r="F31" s="6">
        <f>147050.5+49.9</f>
        <v>147100.4</v>
      </c>
      <c r="G31" s="6">
        <v>115107.2</v>
      </c>
      <c r="H31" s="6">
        <f t="shared" ref="H31:H37" si="3">G31-C31</f>
        <v>72637.5</v>
      </c>
      <c r="I31" s="6">
        <f t="shared" ref="I31:I37" si="4">((G31/C31)*100)-100</f>
        <v>171.03370167437021</v>
      </c>
      <c r="J31" s="6">
        <f>G31/E31*100</f>
        <v>65.784414355307348</v>
      </c>
      <c r="K31" s="6">
        <f t="shared" ref="K31:K37" si="5">G31-E31</f>
        <v>-59869.2</v>
      </c>
    </row>
    <row r="32" spans="1:17" ht="64.5" customHeight="1" x14ac:dyDescent="0.2">
      <c r="A32" s="37"/>
      <c r="B32" s="46" t="s">
        <v>11</v>
      </c>
      <c r="C32" s="6">
        <v>1061</v>
      </c>
      <c r="D32" s="6"/>
      <c r="E32" s="6">
        <v>2171.5</v>
      </c>
      <c r="F32" s="6">
        <v>2171.5</v>
      </c>
      <c r="G32" s="6">
        <v>2171.5</v>
      </c>
      <c r="H32" s="8">
        <f t="shared" si="3"/>
        <v>1110.5</v>
      </c>
      <c r="I32" s="8">
        <f t="shared" si="4"/>
        <v>104.66540999057491</v>
      </c>
      <c r="J32" s="8">
        <f>G32/E32*100</f>
        <v>100</v>
      </c>
      <c r="K32" s="8">
        <f t="shared" si="5"/>
        <v>0</v>
      </c>
    </row>
    <row r="33" spans="1:11" ht="92.25" customHeight="1" x14ac:dyDescent="0.2">
      <c r="A33" s="37"/>
      <c r="B33" s="41" t="s">
        <v>161</v>
      </c>
      <c r="C33" s="6"/>
      <c r="D33" s="6"/>
      <c r="E33" s="6">
        <v>25</v>
      </c>
      <c r="F33" s="6">
        <v>25</v>
      </c>
      <c r="G33" s="6"/>
      <c r="H33" s="8">
        <f>G33-C33</f>
        <v>0</v>
      </c>
      <c r="I33" s="8"/>
      <c r="J33" s="8">
        <f>G33/E33*100</f>
        <v>0</v>
      </c>
      <c r="K33" s="8">
        <f t="shared" si="5"/>
        <v>-25</v>
      </c>
    </row>
    <row r="34" spans="1:11" ht="112.5" x14ac:dyDescent="0.2">
      <c r="A34" s="32" t="s">
        <v>225</v>
      </c>
      <c r="B34" s="44" t="s">
        <v>227</v>
      </c>
      <c r="C34" s="6">
        <v>1223.4000000000001</v>
      </c>
      <c r="D34" s="6"/>
      <c r="E34" s="6"/>
      <c r="F34" s="6"/>
      <c r="G34" s="6"/>
      <c r="H34" s="8">
        <f t="shared" si="3"/>
        <v>-1223.4000000000001</v>
      </c>
      <c r="I34" s="8">
        <f t="shared" si="4"/>
        <v>-100</v>
      </c>
      <c r="J34" s="8"/>
      <c r="K34" s="8">
        <f t="shared" si="5"/>
        <v>0</v>
      </c>
    </row>
    <row r="35" spans="1:11" ht="75" x14ac:dyDescent="0.2">
      <c r="A35" s="32" t="s">
        <v>75</v>
      </c>
      <c r="B35" s="44" t="s">
        <v>228</v>
      </c>
      <c r="C35" s="6">
        <v>2833.6</v>
      </c>
      <c r="D35" s="6"/>
      <c r="E35" s="6"/>
      <c r="F35" s="6"/>
      <c r="G35" s="6"/>
      <c r="H35" s="8">
        <f t="shared" si="3"/>
        <v>-2833.6</v>
      </c>
      <c r="I35" s="8">
        <f t="shared" si="4"/>
        <v>-100</v>
      </c>
      <c r="J35" s="8"/>
      <c r="K35" s="8">
        <f t="shared" si="5"/>
        <v>0</v>
      </c>
    </row>
    <row r="36" spans="1:11" ht="56.25" x14ac:dyDescent="0.2">
      <c r="A36" s="32" t="s">
        <v>70</v>
      </c>
      <c r="B36" s="44" t="s">
        <v>229</v>
      </c>
      <c r="C36" s="6">
        <v>232.1</v>
      </c>
      <c r="D36" s="6">
        <v>500</v>
      </c>
      <c r="E36" s="6">
        <v>2000</v>
      </c>
      <c r="F36" s="6">
        <v>2000</v>
      </c>
      <c r="G36" s="6">
        <v>1000</v>
      </c>
      <c r="H36" s="8">
        <f t="shared" si="3"/>
        <v>767.9</v>
      </c>
      <c r="I36" s="8">
        <f t="shared" si="4"/>
        <v>330.84877208099959</v>
      </c>
      <c r="J36" s="8">
        <f>G36/E36*100</f>
        <v>50</v>
      </c>
      <c r="K36" s="8">
        <f t="shared" si="5"/>
        <v>-1000</v>
      </c>
    </row>
    <row r="37" spans="1:11" ht="39.75" customHeight="1" x14ac:dyDescent="0.2">
      <c r="A37" s="47" t="s">
        <v>65</v>
      </c>
      <c r="B37" s="39" t="s">
        <v>12</v>
      </c>
      <c r="C37" s="7">
        <f>SUM(C39:C42)</f>
        <v>104955.1</v>
      </c>
      <c r="D37" s="7">
        <f>SUM(D39:D42)</f>
        <v>465100</v>
      </c>
      <c r="E37" s="7">
        <f>SUM(E39:E42)</f>
        <v>507656.90000000008</v>
      </c>
      <c r="F37" s="7">
        <f>SUM(F39:F42)</f>
        <v>388128.00000000006</v>
      </c>
      <c r="G37" s="7">
        <f>SUM(G39:G42)</f>
        <v>171772.4</v>
      </c>
      <c r="H37" s="1">
        <f t="shared" si="3"/>
        <v>66817.299999999988</v>
      </c>
      <c r="I37" s="1">
        <f t="shared" si="4"/>
        <v>63.662747212855777</v>
      </c>
      <c r="J37" s="1">
        <f>G37/E37*100</f>
        <v>33.83631740256066</v>
      </c>
      <c r="K37" s="1">
        <f t="shared" si="5"/>
        <v>-335884.50000000012</v>
      </c>
    </row>
    <row r="38" spans="1:11" ht="21" customHeight="1" x14ac:dyDescent="0.2">
      <c r="A38" s="37"/>
      <c r="B38" s="40" t="s">
        <v>13</v>
      </c>
      <c r="C38" s="5"/>
      <c r="D38" s="6"/>
      <c r="E38" s="6"/>
      <c r="F38" s="6"/>
      <c r="G38" s="5"/>
      <c r="H38" s="8"/>
      <c r="I38" s="8"/>
      <c r="J38" s="8"/>
      <c r="K38" s="8"/>
    </row>
    <row r="39" spans="1:11" ht="43.5" customHeight="1" x14ac:dyDescent="0.2">
      <c r="A39" s="37"/>
      <c r="B39" s="38" t="s">
        <v>14</v>
      </c>
      <c r="C39" s="5">
        <v>104955.1</v>
      </c>
      <c r="D39" s="6">
        <v>465100</v>
      </c>
      <c r="E39" s="6">
        <f>492509.9+2916.4</f>
        <v>495426.30000000005</v>
      </c>
      <c r="F39" s="6">
        <f>372981+2916.4</f>
        <v>375897.4</v>
      </c>
      <c r="G39" s="5">
        <f>171477.9</f>
        <v>171477.9</v>
      </c>
      <c r="H39" s="8">
        <f>G39-C39</f>
        <v>66522.799999999988</v>
      </c>
      <c r="I39" s="8">
        <f>((G39/C39)*100)-100</f>
        <v>63.382151034108858</v>
      </c>
      <c r="J39" s="8">
        <f>G39/E39*100</f>
        <v>34.612191561085872</v>
      </c>
      <c r="K39" s="8">
        <f>G39-E39</f>
        <v>-323948.40000000002</v>
      </c>
    </row>
    <row r="40" spans="1:11" ht="112.5" x14ac:dyDescent="0.2">
      <c r="A40" s="37"/>
      <c r="B40" s="38" t="s">
        <v>241</v>
      </c>
      <c r="C40" s="5"/>
      <c r="D40" s="6"/>
      <c r="E40" s="6">
        <v>11</v>
      </c>
      <c r="F40" s="6">
        <v>11</v>
      </c>
      <c r="G40" s="5">
        <v>11</v>
      </c>
      <c r="H40" s="8">
        <f>G40-C40</f>
        <v>11</v>
      </c>
      <c r="I40" s="8"/>
      <c r="J40" s="8">
        <f>G40/E40*100</f>
        <v>100</v>
      </c>
      <c r="K40" s="8">
        <f>G40-E40</f>
        <v>0</v>
      </c>
    </row>
    <row r="41" spans="1:11" ht="102" customHeight="1" x14ac:dyDescent="0.2">
      <c r="A41" s="37"/>
      <c r="B41" s="41" t="s">
        <v>161</v>
      </c>
      <c r="C41" s="6"/>
      <c r="D41" s="6"/>
      <c r="E41" s="6">
        <v>3536.9</v>
      </c>
      <c r="F41" s="6">
        <v>3536.9</v>
      </c>
      <c r="G41" s="6">
        <v>184.5</v>
      </c>
      <c r="H41" s="8">
        <f>G41-C41</f>
        <v>184.5</v>
      </c>
      <c r="I41" s="8"/>
      <c r="J41" s="8">
        <f>G41/E41*100</f>
        <v>5.2164324691113686</v>
      </c>
      <c r="K41" s="8">
        <f>G41-E41</f>
        <v>-3352.4</v>
      </c>
    </row>
    <row r="42" spans="1:11" ht="79.5" customHeight="1" x14ac:dyDescent="0.2">
      <c r="A42" s="37"/>
      <c r="B42" s="38" t="s">
        <v>264</v>
      </c>
      <c r="C42" s="6"/>
      <c r="D42" s="6"/>
      <c r="E42" s="6">
        <v>8682.7000000000007</v>
      </c>
      <c r="F42" s="6">
        <v>8682.7000000000007</v>
      </c>
      <c r="G42" s="6">
        <v>99</v>
      </c>
      <c r="H42" s="8">
        <f>G42-C42</f>
        <v>99</v>
      </c>
      <c r="I42" s="8"/>
      <c r="J42" s="8">
        <f>G42/E42*100</f>
        <v>1.1401983254056918</v>
      </c>
      <c r="K42" s="8">
        <f>G42-E42</f>
        <v>-8583.7000000000007</v>
      </c>
    </row>
    <row r="43" spans="1:11" ht="27.75" customHeight="1" x14ac:dyDescent="0.2">
      <c r="A43" s="32" t="s">
        <v>63</v>
      </c>
      <c r="B43" s="45" t="s">
        <v>15</v>
      </c>
      <c r="C43" s="7">
        <f>SUM(C45:C49)</f>
        <v>66956.100000000006</v>
      </c>
      <c r="D43" s="7">
        <f>SUM(D45:D49)</f>
        <v>139500</v>
      </c>
      <c r="E43" s="7">
        <f>SUM(E45:E49)</f>
        <v>140621.5</v>
      </c>
      <c r="F43" s="7">
        <f>SUM(F45:F49)</f>
        <v>89819.700000000012</v>
      </c>
      <c r="G43" s="7">
        <f>SUM(G45:G49)</f>
        <v>69013</v>
      </c>
      <c r="H43" s="1">
        <f>G43-C43</f>
        <v>2056.8999999999942</v>
      </c>
      <c r="I43" s="1">
        <f>((G43/C43)*100)-100</f>
        <v>3.0720128561848554</v>
      </c>
      <c r="J43" s="1">
        <f>G43/E43*100</f>
        <v>49.077132586411039</v>
      </c>
      <c r="K43" s="1">
        <f>G43-E43</f>
        <v>-71608.5</v>
      </c>
    </row>
    <row r="44" spans="1:11" ht="24" customHeight="1" x14ac:dyDescent="0.2">
      <c r="A44" s="37"/>
      <c r="B44" s="46" t="s">
        <v>2</v>
      </c>
      <c r="C44" s="5"/>
      <c r="D44" s="6"/>
      <c r="E44" s="6"/>
      <c r="F44" s="6"/>
      <c r="G44" s="5"/>
      <c r="H44" s="8"/>
      <c r="I44" s="8"/>
      <c r="J44" s="8"/>
      <c r="K44" s="8"/>
    </row>
    <row r="45" spans="1:11" ht="44.25" customHeight="1" x14ac:dyDescent="0.2">
      <c r="A45" s="37"/>
      <c r="B45" s="38" t="s">
        <v>16</v>
      </c>
      <c r="C45" s="5">
        <v>27147.3</v>
      </c>
      <c r="D45" s="6">
        <v>58200</v>
      </c>
      <c r="E45" s="6">
        <v>58899.9</v>
      </c>
      <c r="F45" s="6">
        <v>35396.199999999997</v>
      </c>
      <c r="G45" s="5">
        <v>27902.3</v>
      </c>
      <c r="H45" s="8">
        <f t="shared" ref="H45:H54" si="6">G45-C45</f>
        <v>755</v>
      </c>
      <c r="I45" s="8">
        <f>((G45/C45)*100)-100</f>
        <v>2.7811237213277309</v>
      </c>
      <c r="J45" s="8">
        <f t="shared" ref="J45:J54" si="7">G45/E45*100</f>
        <v>47.372406404764696</v>
      </c>
      <c r="K45" s="8">
        <f t="shared" ref="K45:K54" si="8">G45-E45</f>
        <v>-30997.600000000002</v>
      </c>
    </row>
    <row r="46" spans="1:11" ht="75" x14ac:dyDescent="0.2">
      <c r="A46" s="37"/>
      <c r="B46" s="38" t="s">
        <v>17</v>
      </c>
      <c r="C46" s="6">
        <v>668.3</v>
      </c>
      <c r="D46" s="6">
        <v>6500</v>
      </c>
      <c r="E46" s="6">
        <v>6320</v>
      </c>
      <c r="F46" s="6">
        <v>3790</v>
      </c>
      <c r="G46" s="6">
        <v>1925.5</v>
      </c>
      <c r="H46" s="8">
        <f t="shared" si="6"/>
        <v>1257.2</v>
      </c>
      <c r="I46" s="8">
        <f>((G46/C46)*100)-100</f>
        <v>188.11910818494687</v>
      </c>
      <c r="J46" s="8">
        <f t="shared" si="7"/>
        <v>30.466772151898734</v>
      </c>
      <c r="K46" s="8">
        <f t="shared" si="8"/>
        <v>-4394.5</v>
      </c>
    </row>
    <row r="47" spans="1:11" ht="96" customHeight="1" x14ac:dyDescent="0.2">
      <c r="A47" s="37"/>
      <c r="B47" s="41" t="s">
        <v>161</v>
      </c>
      <c r="C47" s="6"/>
      <c r="D47" s="6"/>
      <c r="E47" s="6">
        <v>348.8</v>
      </c>
      <c r="F47" s="6">
        <v>348.8</v>
      </c>
      <c r="G47" s="6">
        <v>299.7</v>
      </c>
      <c r="H47" s="8">
        <f t="shared" si="6"/>
        <v>299.7</v>
      </c>
      <c r="I47" s="8"/>
      <c r="J47" s="8">
        <f t="shared" si="7"/>
        <v>85.923165137614674</v>
      </c>
      <c r="K47" s="8">
        <f t="shared" si="8"/>
        <v>-49.100000000000023</v>
      </c>
    </row>
    <row r="48" spans="1:11" ht="73.5" customHeight="1" x14ac:dyDescent="0.2">
      <c r="A48" s="37"/>
      <c r="B48" s="38" t="s">
        <v>240</v>
      </c>
      <c r="C48" s="6"/>
      <c r="D48" s="6"/>
      <c r="E48" s="6">
        <v>102.8</v>
      </c>
      <c r="F48" s="6">
        <v>102.8</v>
      </c>
      <c r="G48" s="6">
        <v>102.8</v>
      </c>
      <c r="H48" s="8">
        <f t="shared" si="6"/>
        <v>102.8</v>
      </c>
      <c r="I48" s="8"/>
      <c r="J48" s="8">
        <f t="shared" si="7"/>
        <v>100</v>
      </c>
      <c r="K48" s="8">
        <f t="shared" si="8"/>
        <v>0</v>
      </c>
    </row>
    <row r="49" spans="1:11" ht="48.75" customHeight="1" x14ac:dyDescent="0.2">
      <c r="A49" s="37" t="s">
        <v>169</v>
      </c>
      <c r="B49" s="38" t="s">
        <v>170</v>
      </c>
      <c r="C49" s="6">
        <v>39140.5</v>
      </c>
      <c r="D49" s="6">
        <v>74800</v>
      </c>
      <c r="E49" s="6">
        <v>74950</v>
      </c>
      <c r="F49" s="6">
        <v>50181.9</v>
      </c>
      <c r="G49" s="6">
        <v>38782.699999999997</v>
      </c>
      <c r="H49" s="8">
        <f t="shared" si="6"/>
        <v>-357.80000000000291</v>
      </c>
      <c r="I49" s="8">
        <f>((G49/C49)*100)-100</f>
        <v>-0.9141426399765038</v>
      </c>
      <c r="J49" s="8">
        <f t="shared" si="7"/>
        <v>51.744763175450295</v>
      </c>
      <c r="K49" s="8">
        <f t="shared" si="8"/>
        <v>-36167.300000000003</v>
      </c>
    </row>
    <row r="50" spans="1:11" ht="44.25" customHeight="1" x14ac:dyDescent="0.2">
      <c r="A50" s="32" t="s">
        <v>87</v>
      </c>
      <c r="B50" s="45" t="s">
        <v>18</v>
      </c>
      <c r="C50" s="7">
        <f>SUM(C51:C53)</f>
        <v>7967.1</v>
      </c>
      <c r="D50" s="7">
        <f>D51+D52+D53</f>
        <v>14000</v>
      </c>
      <c r="E50" s="7">
        <f>E51+E52+E53</f>
        <v>17227.8</v>
      </c>
      <c r="F50" s="7">
        <f>F51+F52+F53</f>
        <v>11429.8</v>
      </c>
      <c r="G50" s="7">
        <f>G51+G52+G53</f>
        <v>9991.1</v>
      </c>
      <c r="H50" s="1">
        <f t="shared" si="6"/>
        <v>2024</v>
      </c>
      <c r="I50" s="1">
        <f>((G50/C50)*100)-100</f>
        <v>25.404475907168234</v>
      </c>
      <c r="J50" s="1">
        <f t="shared" si="7"/>
        <v>57.994056118599012</v>
      </c>
      <c r="K50" s="1">
        <f t="shared" si="8"/>
        <v>-7236.6999999999989</v>
      </c>
    </row>
    <row r="51" spans="1:11" ht="44.45" customHeight="1" x14ac:dyDescent="0.2">
      <c r="A51" s="32" t="s">
        <v>123</v>
      </c>
      <c r="B51" s="46" t="s">
        <v>122</v>
      </c>
      <c r="C51" s="5">
        <v>4852.7</v>
      </c>
      <c r="D51" s="6">
        <v>10800</v>
      </c>
      <c r="E51" s="6">
        <v>10200</v>
      </c>
      <c r="F51" s="6">
        <v>6000</v>
      </c>
      <c r="G51" s="5">
        <v>4714.7</v>
      </c>
      <c r="H51" s="8">
        <f t="shared" si="6"/>
        <v>-138</v>
      </c>
      <c r="I51" s="8">
        <f>((G51/C51)*100)-100</f>
        <v>-2.8437776907700822</v>
      </c>
      <c r="J51" s="8">
        <f t="shared" si="7"/>
        <v>46.22254901960784</v>
      </c>
      <c r="K51" s="8">
        <f t="shared" si="8"/>
        <v>-5485.3</v>
      </c>
    </row>
    <row r="52" spans="1:11" ht="49.9" customHeight="1" x14ac:dyDescent="0.2">
      <c r="A52" s="32" t="s">
        <v>119</v>
      </c>
      <c r="B52" s="46" t="s">
        <v>120</v>
      </c>
      <c r="C52" s="5">
        <v>1227.3</v>
      </c>
      <c r="D52" s="6">
        <v>3200</v>
      </c>
      <c r="E52" s="6">
        <f>3200+35.4+35.4</f>
        <v>3270.8</v>
      </c>
      <c r="F52" s="6">
        <v>1672.8</v>
      </c>
      <c r="G52" s="5">
        <v>1559.4</v>
      </c>
      <c r="H52" s="8">
        <f t="shared" si="6"/>
        <v>332.10000000000014</v>
      </c>
      <c r="I52" s="8">
        <f>((G52/C52)*100)-100</f>
        <v>27.059398680029332</v>
      </c>
      <c r="J52" s="8">
        <f t="shared" si="7"/>
        <v>47.676409441115325</v>
      </c>
      <c r="K52" s="8">
        <f t="shared" si="8"/>
        <v>-1711.4</v>
      </c>
    </row>
    <row r="53" spans="1:11" ht="107.25" customHeight="1" x14ac:dyDescent="0.2">
      <c r="A53" s="32" t="s">
        <v>119</v>
      </c>
      <c r="B53" s="41" t="s">
        <v>161</v>
      </c>
      <c r="C53" s="5">
        <v>1887.1</v>
      </c>
      <c r="D53" s="6"/>
      <c r="E53" s="6">
        <v>3757</v>
      </c>
      <c r="F53" s="6">
        <v>3757</v>
      </c>
      <c r="G53" s="5">
        <v>3717</v>
      </c>
      <c r="H53" s="8">
        <f t="shared" si="6"/>
        <v>1829.9</v>
      </c>
      <c r="I53" s="8"/>
      <c r="J53" s="8">
        <f t="shared" si="7"/>
        <v>98.935320734628689</v>
      </c>
      <c r="K53" s="8">
        <f t="shared" si="8"/>
        <v>-40</v>
      </c>
    </row>
    <row r="54" spans="1:11" ht="39" customHeight="1" x14ac:dyDescent="0.2">
      <c r="A54" s="32" t="s">
        <v>64</v>
      </c>
      <c r="B54" s="45" t="s">
        <v>19</v>
      </c>
      <c r="C54" s="7">
        <f>C56+C57</f>
        <v>34009.300000000003</v>
      </c>
      <c r="D54" s="7">
        <f>D56+D57+D58</f>
        <v>85486</v>
      </c>
      <c r="E54" s="7">
        <f>E56+E57+E58</f>
        <v>97343</v>
      </c>
      <c r="F54" s="7">
        <f>F56+F57+F58</f>
        <v>64857</v>
      </c>
      <c r="G54" s="7">
        <f>G56+G57+G58</f>
        <v>53202.400000000001</v>
      </c>
      <c r="H54" s="8">
        <f t="shared" si="6"/>
        <v>19193.099999999999</v>
      </c>
      <c r="I54" s="8">
        <f>((G54/C54)*100)-100</f>
        <v>56.434857524265396</v>
      </c>
      <c r="J54" s="8">
        <f t="shared" si="7"/>
        <v>54.654571977440604</v>
      </c>
      <c r="K54" s="8">
        <f t="shared" si="8"/>
        <v>-44140.6</v>
      </c>
    </row>
    <row r="55" spans="1:11" x14ac:dyDescent="0.2">
      <c r="A55" s="37"/>
      <c r="B55" s="46" t="s">
        <v>20</v>
      </c>
      <c r="C55" s="5"/>
      <c r="D55" s="6"/>
      <c r="E55" s="6"/>
      <c r="F55" s="6"/>
      <c r="G55" s="5"/>
      <c r="H55" s="8"/>
      <c r="I55" s="8"/>
      <c r="J55" s="8"/>
      <c r="K55" s="8"/>
    </row>
    <row r="56" spans="1:11" x14ac:dyDescent="0.2">
      <c r="A56" s="37"/>
      <c r="B56" s="48" t="s">
        <v>21</v>
      </c>
      <c r="C56" s="5">
        <v>18679.099999999999</v>
      </c>
      <c r="D56" s="6">
        <v>43000</v>
      </c>
      <c r="E56" s="6">
        <v>43379</v>
      </c>
      <c r="F56" s="6">
        <v>27385.200000000001</v>
      </c>
      <c r="G56" s="5">
        <v>22084.2</v>
      </c>
      <c r="H56" s="8">
        <f t="shared" ref="H56:H65" si="9">G56-C56</f>
        <v>3405.1000000000022</v>
      </c>
      <c r="I56" s="8">
        <f>((G56/C56)*100)-100</f>
        <v>18.229465017051155</v>
      </c>
      <c r="J56" s="8">
        <f t="shared" ref="J56:J61" si="10">G56/E56*100</f>
        <v>50.909887272643452</v>
      </c>
      <c r="K56" s="8">
        <f>G56-E56</f>
        <v>-21294.799999999999</v>
      </c>
    </row>
    <row r="57" spans="1:11" x14ac:dyDescent="0.2">
      <c r="A57" s="37"/>
      <c r="B57" s="48" t="s">
        <v>42</v>
      </c>
      <c r="C57" s="5">
        <v>15330.2</v>
      </c>
      <c r="D57" s="6">
        <v>42486</v>
      </c>
      <c r="E57" s="6">
        <f>53906+50</f>
        <v>53956</v>
      </c>
      <c r="F57" s="6">
        <f>37413.8+50</f>
        <v>37463.800000000003</v>
      </c>
      <c r="G57" s="5">
        <v>31110.2</v>
      </c>
      <c r="H57" s="8">
        <f>G57-C57</f>
        <v>15780</v>
      </c>
      <c r="I57" s="8">
        <f>((G57/C57)*100)-100</f>
        <v>102.93407783329639</v>
      </c>
      <c r="J57" s="8">
        <f t="shared" si="10"/>
        <v>57.658462450885906</v>
      </c>
      <c r="K57" s="8">
        <f>G57-E57</f>
        <v>-22845.8</v>
      </c>
    </row>
    <row r="58" spans="1:11" ht="75" x14ac:dyDescent="0.2">
      <c r="A58" s="37"/>
      <c r="B58" s="46" t="s">
        <v>220</v>
      </c>
      <c r="C58" s="5"/>
      <c r="D58" s="6"/>
      <c r="E58" s="6">
        <v>8</v>
      </c>
      <c r="F58" s="6">
        <v>8</v>
      </c>
      <c r="G58" s="5">
        <v>8</v>
      </c>
      <c r="H58" s="8"/>
      <c r="I58" s="8"/>
      <c r="J58" s="8">
        <f t="shared" si="10"/>
        <v>100</v>
      </c>
      <c r="K58" s="8">
        <f>G58-E58</f>
        <v>0</v>
      </c>
    </row>
    <row r="59" spans="1:11" ht="56.25" x14ac:dyDescent="0.2">
      <c r="A59" s="32" t="s">
        <v>88</v>
      </c>
      <c r="B59" s="49" t="s">
        <v>143</v>
      </c>
      <c r="C59" s="1">
        <v>24277.5</v>
      </c>
      <c r="D59" s="1">
        <v>74400</v>
      </c>
      <c r="E59" s="1">
        <v>74400</v>
      </c>
      <c r="F59" s="1">
        <v>37225</v>
      </c>
      <c r="G59" s="1">
        <v>28927</v>
      </c>
      <c r="H59" s="8">
        <f t="shared" si="9"/>
        <v>4649.5</v>
      </c>
      <c r="I59" s="8">
        <f>((G59/C59)*100)-100</f>
        <v>19.15147770569456</v>
      </c>
      <c r="J59" s="8">
        <f t="shared" si="10"/>
        <v>38.880376344086024</v>
      </c>
      <c r="K59" s="8">
        <f t="shared" ref="K59:K65" si="11">G59-E59</f>
        <v>-45473</v>
      </c>
    </row>
    <row r="60" spans="1:11" ht="122.25" customHeight="1" x14ac:dyDescent="0.2">
      <c r="A60" s="32" t="s">
        <v>89</v>
      </c>
      <c r="B60" s="50" t="s">
        <v>163</v>
      </c>
      <c r="C60" s="51">
        <v>21.2</v>
      </c>
      <c r="D60" s="1">
        <v>200</v>
      </c>
      <c r="E60" s="1">
        <v>400</v>
      </c>
      <c r="F60" s="1">
        <v>360</v>
      </c>
      <c r="G60" s="51">
        <v>157</v>
      </c>
      <c r="H60" s="8">
        <f t="shared" si="9"/>
        <v>135.80000000000001</v>
      </c>
      <c r="I60" s="8">
        <f>((G60/C60)*100)-100</f>
        <v>640.56603773584914</v>
      </c>
      <c r="J60" s="8">
        <f t="shared" si="10"/>
        <v>39.25</v>
      </c>
      <c r="K60" s="8">
        <f t="shared" si="11"/>
        <v>-243</v>
      </c>
    </row>
    <row r="61" spans="1:11" s="4" customFormat="1" ht="38.25" customHeight="1" x14ac:dyDescent="0.2">
      <c r="A61" s="32" t="s">
        <v>90</v>
      </c>
      <c r="B61" s="49" t="s">
        <v>91</v>
      </c>
      <c r="C61" s="1">
        <f>SUM(C64:C86)</f>
        <v>85833.999999999985</v>
      </c>
      <c r="D61" s="1">
        <f>SUM(D63:D86)</f>
        <v>204290</v>
      </c>
      <c r="E61" s="1">
        <f>SUM(E63:E86)</f>
        <v>195435.3</v>
      </c>
      <c r="F61" s="1">
        <f>SUM(F63:F86)</f>
        <v>99187.3</v>
      </c>
      <c r="G61" s="1">
        <f>SUM(G63:G86)</f>
        <v>80833.3</v>
      </c>
      <c r="H61" s="1">
        <f t="shared" si="9"/>
        <v>-5000.6999999999825</v>
      </c>
      <c r="I61" s="1">
        <f>((G61/C61)*100)-100</f>
        <v>-5.8260130018407494</v>
      </c>
      <c r="J61" s="1">
        <f t="shared" si="10"/>
        <v>41.360644673710432</v>
      </c>
      <c r="K61" s="1">
        <f t="shared" si="11"/>
        <v>-114601.99999999999</v>
      </c>
    </row>
    <row r="62" spans="1:11" x14ac:dyDescent="0.2">
      <c r="A62" s="37"/>
      <c r="B62" s="46" t="s">
        <v>20</v>
      </c>
      <c r="C62" s="5"/>
      <c r="D62" s="6"/>
      <c r="E62" s="6"/>
      <c r="F62" s="6"/>
      <c r="G62" s="5"/>
      <c r="H62" s="1">
        <f t="shared" si="9"/>
        <v>0</v>
      </c>
      <c r="I62" s="1"/>
      <c r="J62" s="1"/>
      <c r="K62" s="1">
        <f t="shared" si="11"/>
        <v>0</v>
      </c>
    </row>
    <row r="63" spans="1:11" ht="37.5" x14ac:dyDescent="0.2">
      <c r="A63" s="32" t="s">
        <v>214</v>
      </c>
      <c r="B63" s="46" t="s">
        <v>215</v>
      </c>
      <c r="C63" s="5"/>
      <c r="D63" s="6">
        <v>2500</v>
      </c>
      <c r="E63" s="6">
        <v>2500</v>
      </c>
      <c r="F63" s="6">
        <v>509</v>
      </c>
      <c r="G63" s="5">
        <v>114</v>
      </c>
      <c r="H63" s="1">
        <f t="shared" si="9"/>
        <v>114</v>
      </c>
      <c r="I63" s="1"/>
      <c r="J63" s="1">
        <f>G63/E63*100</f>
        <v>4.5600000000000005</v>
      </c>
      <c r="K63" s="1">
        <f t="shared" si="11"/>
        <v>-2386</v>
      </c>
    </row>
    <row r="64" spans="1:11" ht="36" customHeight="1" x14ac:dyDescent="0.2">
      <c r="A64" s="32" t="s">
        <v>92</v>
      </c>
      <c r="B64" s="48" t="s">
        <v>93</v>
      </c>
      <c r="C64" s="5">
        <v>49.5</v>
      </c>
      <c r="D64" s="6">
        <v>500</v>
      </c>
      <c r="E64" s="6">
        <v>500</v>
      </c>
      <c r="F64" s="6">
        <v>490</v>
      </c>
      <c r="G64" s="5">
        <v>423.9</v>
      </c>
      <c r="H64" s="8">
        <f t="shared" si="9"/>
        <v>374.4</v>
      </c>
      <c r="I64" s="8">
        <f>((G64/C64)*100)-100</f>
        <v>756.36363636363626</v>
      </c>
      <c r="J64" s="8">
        <f>G64/E64*100</f>
        <v>84.78</v>
      </c>
      <c r="K64" s="8">
        <f t="shared" si="11"/>
        <v>-76.100000000000023</v>
      </c>
    </row>
    <row r="65" spans="1:11" ht="36" customHeight="1" x14ac:dyDescent="0.2">
      <c r="A65" s="32" t="s">
        <v>182</v>
      </c>
      <c r="B65" s="48" t="s">
        <v>183</v>
      </c>
      <c r="C65" s="5">
        <v>3714</v>
      </c>
      <c r="D65" s="6">
        <v>6500</v>
      </c>
      <c r="E65" s="6">
        <v>6500</v>
      </c>
      <c r="F65" s="6">
        <v>3025</v>
      </c>
      <c r="G65" s="5">
        <v>2535.8000000000002</v>
      </c>
      <c r="H65" s="8">
        <f t="shared" si="9"/>
        <v>-1178.1999999999998</v>
      </c>
      <c r="I65" s="8">
        <f>((G65/C65)*100)-100</f>
        <v>-31.723209477652119</v>
      </c>
      <c r="J65" s="8">
        <f>G65/E65*100</f>
        <v>39.012307692307694</v>
      </c>
      <c r="K65" s="8">
        <f t="shared" si="11"/>
        <v>-3964.2</v>
      </c>
    </row>
    <row r="66" spans="1:11" ht="64.5" customHeight="1" x14ac:dyDescent="0.2">
      <c r="A66" s="32" t="s">
        <v>94</v>
      </c>
      <c r="B66" s="48" t="s">
        <v>95</v>
      </c>
      <c r="C66" s="5">
        <v>512.6</v>
      </c>
      <c r="D66" s="6">
        <v>4000</v>
      </c>
      <c r="E66" s="6">
        <v>4000</v>
      </c>
      <c r="F66" s="6">
        <v>2700</v>
      </c>
      <c r="G66" s="5">
        <v>1666.4</v>
      </c>
      <c r="H66" s="8">
        <f t="shared" ref="H66:H86" si="12">G66-C66</f>
        <v>1153.8000000000002</v>
      </c>
      <c r="I66" s="8">
        <f>((G66/C66)*100)-100</f>
        <v>225.08778774873196</v>
      </c>
      <c r="J66" s="8">
        <f t="shared" ref="J66:J86" si="13">G66/E66*100</f>
        <v>41.660000000000004</v>
      </c>
      <c r="K66" s="8">
        <f t="shared" ref="K66:K86" si="14">G66-E66</f>
        <v>-2333.6</v>
      </c>
    </row>
    <row r="67" spans="1:11" ht="75" customHeight="1" x14ac:dyDescent="0.2">
      <c r="A67" s="32" t="s">
        <v>96</v>
      </c>
      <c r="B67" s="48" t="s">
        <v>164</v>
      </c>
      <c r="C67" s="5"/>
      <c r="D67" s="6">
        <v>1000</v>
      </c>
      <c r="E67" s="6">
        <v>1000</v>
      </c>
      <c r="F67" s="6">
        <v>414</v>
      </c>
      <c r="G67" s="5">
        <v>145</v>
      </c>
      <c r="H67" s="8">
        <f t="shared" si="12"/>
        <v>145</v>
      </c>
      <c r="I67" s="8"/>
      <c r="J67" s="8">
        <f t="shared" si="13"/>
        <v>14.499999999999998</v>
      </c>
      <c r="K67" s="8">
        <f t="shared" si="14"/>
        <v>-855</v>
      </c>
    </row>
    <row r="68" spans="1:11" ht="64.900000000000006" customHeight="1" x14ac:dyDescent="0.2">
      <c r="A68" s="32" t="s">
        <v>99</v>
      </c>
      <c r="B68" s="48" t="s">
        <v>100</v>
      </c>
      <c r="C68" s="6">
        <v>80823</v>
      </c>
      <c r="D68" s="6">
        <v>170000</v>
      </c>
      <c r="E68" s="6">
        <v>170000</v>
      </c>
      <c r="F68" s="6">
        <v>85000</v>
      </c>
      <c r="G68" s="6">
        <v>73458.7</v>
      </c>
      <c r="H68" s="8">
        <f t="shared" si="12"/>
        <v>-7364.3000000000029</v>
      </c>
      <c r="I68" s="8">
        <f t="shared" ref="I68:I86" si="15">((G68/C68)*100)-100</f>
        <v>-9.1116390136471068</v>
      </c>
      <c r="J68" s="8">
        <f t="shared" si="13"/>
        <v>43.210999999999999</v>
      </c>
      <c r="K68" s="8">
        <f t="shared" si="14"/>
        <v>-96541.3</v>
      </c>
    </row>
    <row r="69" spans="1:11" ht="42" customHeight="1" x14ac:dyDescent="0.2">
      <c r="A69" s="32" t="s">
        <v>97</v>
      </c>
      <c r="B69" s="48" t="s">
        <v>98</v>
      </c>
      <c r="C69" s="5">
        <v>13.9</v>
      </c>
      <c r="D69" s="6">
        <v>400</v>
      </c>
      <c r="E69" s="6">
        <v>1100</v>
      </c>
      <c r="F69" s="6">
        <v>970</v>
      </c>
      <c r="G69" s="5">
        <v>510.4</v>
      </c>
      <c r="H69" s="8">
        <f t="shared" si="12"/>
        <v>496.5</v>
      </c>
      <c r="I69" s="8">
        <f t="shared" si="15"/>
        <v>3571.9424460431655</v>
      </c>
      <c r="J69" s="8">
        <f t="shared" si="13"/>
        <v>46.4</v>
      </c>
      <c r="K69" s="8">
        <f t="shared" si="14"/>
        <v>-589.6</v>
      </c>
    </row>
    <row r="70" spans="1:11" ht="55.15" customHeight="1" x14ac:dyDescent="0.2">
      <c r="A70" s="32" t="s">
        <v>101</v>
      </c>
      <c r="B70" s="48" t="s">
        <v>102</v>
      </c>
      <c r="C70" s="5">
        <v>15</v>
      </c>
      <c r="D70" s="6">
        <v>700</v>
      </c>
      <c r="E70" s="6">
        <v>650</v>
      </c>
      <c r="F70" s="6">
        <v>360</v>
      </c>
      <c r="G70" s="5"/>
      <c r="H70" s="8">
        <f t="shared" si="12"/>
        <v>-15</v>
      </c>
      <c r="I70" s="8">
        <f t="shared" si="15"/>
        <v>-100</v>
      </c>
      <c r="J70" s="8">
        <f t="shared" si="13"/>
        <v>0</v>
      </c>
      <c r="K70" s="8">
        <f t="shared" si="14"/>
        <v>-650</v>
      </c>
    </row>
    <row r="71" spans="1:11" ht="34.5" customHeight="1" x14ac:dyDescent="0.2">
      <c r="A71" s="32" t="s">
        <v>103</v>
      </c>
      <c r="B71" s="48" t="s">
        <v>104</v>
      </c>
      <c r="C71" s="5"/>
      <c r="D71" s="6">
        <v>1700</v>
      </c>
      <c r="E71" s="6">
        <v>1000</v>
      </c>
      <c r="F71" s="6">
        <v>990</v>
      </c>
      <c r="G71" s="5">
        <v>55</v>
      </c>
      <c r="H71" s="8">
        <f t="shared" si="12"/>
        <v>55</v>
      </c>
      <c r="I71" s="8"/>
      <c r="J71" s="8">
        <f t="shared" si="13"/>
        <v>5.5</v>
      </c>
      <c r="K71" s="8">
        <f t="shared" si="14"/>
        <v>-945</v>
      </c>
    </row>
    <row r="72" spans="1:11" ht="55.15" customHeight="1" x14ac:dyDescent="0.2">
      <c r="A72" s="32" t="s">
        <v>105</v>
      </c>
      <c r="B72" s="48" t="s">
        <v>106</v>
      </c>
      <c r="C72" s="5">
        <v>100</v>
      </c>
      <c r="D72" s="6">
        <v>650</v>
      </c>
      <c r="E72" s="6">
        <v>1387.5</v>
      </c>
      <c r="F72" s="6">
        <v>1387.5</v>
      </c>
      <c r="G72" s="5">
        <v>1387.5</v>
      </c>
      <c r="H72" s="8">
        <f t="shared" si="12"/>
        <v>1287.5</v>
      </c>
      <c r="I72" s="8">
        <f t="shared" si="15"/>
        <v>1287.5</v>
      </c>
      <c r="J72" s="8">
        <f t="shared" si="13"/>
        <v>100</v>
      </c>
      <c r="K72" s="8">
        <f t="shared" si="14"/>
        <v>0</v>
      </c>
    </row>
    <row r="73" spans="1:11" ht="91.5" customHeight="1" x14ac:dyDescent="0.2">
      <c r="A73" s="34" t="s">
        <v>107</v>
      </c>
      <c r="B73" s="48" t="s">
        <v>218</v>
      </c>
      <c r="C73" s="5"/>
      <c r="D73" s="6">
        <v>1200</v>
      </c>
      <c r="E73" s="6">
        <v>1200</v>
      </c>
      <c r="F73" s="6">
        <v>600</v>
      </c>
      <c r="G73" s="5"/>
      <c r="H73" s="8">
        <f t="shared" si="12"/>
        <v>0</v>
      </c>
      <c r="I73" s="8"/>
      <c r="J73" s="8">
        <f t="shared" si="13"/>
        <v>0</v>
      </c>
      <c r="K73" s="8">
        <f t="shared" si="14"/>
        <v>-1200</v>
      </c>
    </row>
    <row r="74" spans="1:11" ht="60.75" customHeight="1" x14ac:dyDescent="0.2">
      <c r="A74" s="34" t="s">
        <v>107</v>
      </c>
      <c r="B74" s="48" t="s">
        <v>149</v>
      </c>
      <c r="C74" s="5"/>
      <c r="D74" s="6">
        <v>2800</v>
      </c>
      <c r="E74" s="6">
        <v>2800</v>
      </c>
      <c r="F74" s="6">
        <v>1100</v>
      </c>
      <c r="G74" s="5">
        <v>27</v>
      </c>
      <c r="H74" s="8">
        <f t="shared" si="12"/>
        <v>27</v>
      </c>
      <c r="I74" s="8"/>
      <c r="J74" s="8">
        <f t="shared" si="13"/>
        <v>0.96428571428571419</v>
      </c>
      <c r="K74" s="8">
        <f t="shared" si="14"/>
        <v>-2773</v>
      </c>
    </row>
    <row r="75" spans="1:11" ht="101.25" customHeight="1" x14ac:dyDescent="0.2">
      <c r="A75" s="34" t="s">
        <v>107</v>
      </c>
      <c r="B75" s="48" t="s">
        <v>144</v>
      </c>
      <c r="C75" s="5"/>
      <c r="D75" s="6">
        <v>7080</v>
      </c>
      <c r="E75" s="6">
        <v>171</v>
      </c>
      <c r="F75" s="6">
        <v>80</v>
      </c>
      <c r="G75" s="5">
        <v>38.6</v>
      </c>
      <c r="H75" s="8">
        <f t="shared" si="12"/>
        <v>38.6</v>
      </c>
      <c r="I75" s="8"/>
      <c r="J75" s="8">
        <f t="shared" si="13"/>
        <v>22.573099415204677</v>
      </c>
      <c r="K75" s="8">
        <f t="shared" si="14"/>
        <v>-132.4</v>
      </c>
    </row>
    <row r="76" spans="1:11" ht="46.5" customHeight="1" x14ac:dyDescent="0.2">
      <c r="A76" s="52" t="s">
        <v>107</v>
      </c>
      <c r="B76" s="53" t="s">
        <v>179</v>
      </c>
      <c r="C76" s="5"/>
      <c r="D76" s="6">
        <v>100</v>
      </c>
      <c r="E76" s="6">
        <v>100</v>
      </c>
      <c r="F76" s="6">
        <v>70</v>
      </c>
      <c r="G76" s="5"/>
      <c r="H76" s="8"/>
      <c r="I76" s="8"/>
      <c r="J76" s="8">
        <f t="shared" si="13"/>
        <v>0</v>
      </c>
      <c r="K76" s="8">
        <f t="shared" si="14"/>
        <v>-100</v>
      </c>
    </row>
    <row r="77" spans="1:11" ht="61.5" customHeight="1" x14ac:dyDescent="0.2">
      <c r="A77" s="52" t="s">
        <v>107</v>
      </c>
      <c r="B77" s="54" t="s">
        <v>150</v>
      </c>
      <c r="C77" s="5">
        <v>58.9</v>
      </c>
      <c r="D77" s="6">
        <v>200</v>
      </c>
      <c r="E77" s="6">
        <v>16.8</v>
      </c>
      <c r="F77" s="6">
        <v>16.8</v>
      </c>
      <c r="G77" s="5"/>
      <c r="H77" s="8">
        <f t="shared" si="12"/>
        <v>-58.9</v>
      </c>
      <c r="I77" s="8">
        <f t="shared" si="15"/>
        <v>-100</v>
      </c>
      <c r="J77" s="8">
        <f t="shared" si="13"/>
        <v>0</v>
      </c>
      <c r="K77" s="8">
        <f t="shared" si="14"/>
        <v>-16.8</v>
      </c>
    </row>
    <row r="78" spans="1:11" ht="86.25" customHeight="1" x14ac:dyDescent="0.2">
      <c r="A78" s="52" t="s">
        <v>107</v>
      </c>
      <c r="B78" s="54" t="s">
        <v>151</v>
      </c>
      <c r="C78" s="5">
        <v>48.2</v>
      </c>
      <c r="D78" s="6">
        <v>200</v>
      </c>
      <c r="E78" s="6">
        <v>50</v>
      </c>
      <c r="F78" s="6">
        <v>50</v>
      </c>
      <c r="G78" s="5"/>
      <c r="H78" s="8">
        <f t="shared" si="12"/>
        <v>-48.2</v>
      </c>
      <c r="I78" s="8">
        <f t="shared" si="15"/>
        <v>-100</v>
      </c>
      <c r="J78" s="8">
        <f t="shared" si="13"/>
        <v>0</v>
      </c>
      <c r="K78" s="8">
        <f t="shared" si="14"/>
        <v>-50</v>
      </c>
    </row>
    <row r="79" spans="1:11" ht="121.5" customHeight="1" x14ac:dyDescent="0.2">
      <c r="A79" s="52" t="s">
        <v>107</v>
      </c>
      <c r="B79" s="53" t="s">
        <v>178</v>
      </c>
      <c r="C79" s="5">
        <v>219.9</v>
      </c>
      <c r="D79" s="6">
        <v>100</v>
      </c>
      <c r="E79" s="6"/>
      <c r="F79" s="6"/>
      <c r="G79" s="5"/>
      <c r="H79" s="8">
        <f t="shared" si="12"/>
        <v>-219.9</v>
      </c>
      <c r="I79" s="8">
        <f t="shared" si="15"/>
        <v>-100</v>
      </c>
      <c r="J79" s="8"/>
      <c r="K79" s="8">
        <f t="shared" si="14"/>
        <v>0</v>
      </c>
    </row>
    <row r="80" spans="1:11" ht="121.5" customHeight="1" x14ac:dyDescent="0.2">
      <c r="A80" s="52"/>
      <c r="B80" s="53" t="s">
        <v>219</v>
      </c>
      <c r="C80" s="5"/>
      <c r="D80" s="6">
        <v>2200</v>
      </c>
      <c r="E80" s="6"/>
      <c r="F80" s="6"/>
      <c r="G80" s="5"/>
      <c r="H80" s="8"/>
      <c r="I80" s="8"/>
      <c r="J80" s="8"/>
      <c r="K80" s="8">
        <f t="shared" si="14"/>
        <v>0</v>
      </c>
    </row>
    <row r="81" spans="1:11" ht="127.5" customHeight="1" x14ac:dyDescent="0.2">
      <c r="A81" s="34" t="s">
        <v>107</v>
      </c>
      <c r="B81" s="48" t="s">
        <v>152</v>
      </c>
      <c r="C81" s="5"/>
      <c r="D81" s="6">
        <v>75</v>
      </c>
      <c r="E81" s="6">
        <v>75</v>
      </c>
      <c r="F81" s="6">
        <v>40</v>
      </c>
      <c r="G81" s="5"/>
      <c r="H81" s="8">
        <f t="shared" si="12"/>
        <v>0</v>
      </c>
      <c r="I81" s="8"/>
      <c r="J81" s="8">
        <f t="shared" si="13"/>
        <v>0</v>
      </c>
      <c r="K81" s="8">
        <f t="shared" si="14"/>
        <v>-75</v>
      </c>
    </row>
    <row r="82" spans="1:11" ht="60" customHeight="1" x14ac:dyDescent="0.2">
      <c r="A82" s="34" t="s">
        <v>107</v>
      </c>
      <c r="B82" s="55" t="s">
        <v>153</v>
      </c>
      <c r="C82" s="5"/>
      <c r="D82" s="6">
        <v>100</v>
      </c>
      <c r="E82" s="6">
        <v>100</v>
      </c>
      <c r="F82" s="6">
        <v>60</v>
      </c>
      <c r="G82" s="5"/>
      <c r="H82" s="8">
        <f t="shared" si="12"/>
        <v>0</v>
      </c>
      <c r="I82" s="8"/>
      <c r="J82" s="8">
        <f t="shared" si="13"/>
        <v>0</v>
      </c>
      <c r="K82" s="8">
        <f t="shared" si="14"/>
        <v>-100</v>
      </c>
    </row>
    <row r="83" spans="1:11" ht="101.25" customHeight="1" x14ac:dyDescent="0.2">
      <c r="A83" s="34" t="s">
        <v>107</v>
      </c>
      <c r="B83" s="55" t="s">
        <v>154</v>
      </c>
      <c r="C83" s="5"/>
      <c r="D83" s="6">
        <v>85</v>
      </c>
      <c r="E83" s="6">
        <v>85</v>
      </c>
      <c r="F83" s="6">
        <v>40</v>
      </c>
      <c r="G83" s="5"/>
      <c r="H83" s="8">
        <f t="shared" si="12"/>
        <v>0</v>
      </c>
      <c r="I83" s="8"/>
      <c r="J83" s="8">
        <f t="shared" si="13"/>
        <v>0</v>
      </c>
      <c r="K83" s="8">
        <f t="shared" si="14"/>
        <v>-85</v>
      </c>
    </row>
    <row r="84" spans="1:11" ht="123" customHeight="1" x14ac:dyDescent="0.2">
      <c r="A84" s="34" t="s">
        <v>107</v>
      </c>
      <c r="B84" s="56" t="s">
        <v>155</v>
      </c>
      <c r="C84" s="5">
        <v>17.5</v>
      </c>
      <c r="D84" s="6">
        <v>700</v>
      </c>
      <c r="E84" s="6">
        <v>700</v>
      </c>
      <c r="F84" s="6">
        <v>410</v>
      </c>
      <c r="G84" s="5">
        <v>156.1</v>
      </c>
      <c r="H84" s="8">
        <f t="shared" si="12"/>
        <v>138.6</v>
      </c>
      <c r="I84" s="8">
        <f t="shared" si="15"/>
        <v>792</v>
      </c>
      <c r="J84" s="8">
        <f t="shared" si="13"/>
        <v>22.3</v>
      </c>
      <c r="K84" s="8">
        <f t="shared" si="14"/>
        <v>-543.9</v>
      </c>
    </row>
    <row r="85" spans="1:11" ht="93.75" x14ac:dyDescent="0.2">
      <c r="A85" s="34" t="s">
        <v>107</v>
      </c>
      <c r="B85" s="57" t="s">
        <v>125</v>
      </c>
      <c r="C85" s="5">
        <v>208.5</v>
      </c>
      <c r="D85" s="6">
        <v>1000</v>
      </c>
      <c r="E85" s="6">
        <v>1000</v>
      </c>
      <c r="F85" s="6">
        <v>595</v>
      </c>
      <c r="G85" s="5">
        <f>129.4-34.5</f>
        <v>94.9</v>
      </c>
      <c r="H85" s="8">
        <f t="shared" si="12"/>
        <v>-113.6</v>
      </c>
      <c r="I85" s="8">
        <f t="shared" si="15"/>
        <v>-54.484412470023983</v>
      </c>
      <c r="J85" s="8">
        <f t="shared" si="13"/>
        <v>9.490000000000002</v>
      </c>
      <c r="K85" s="8">
        <f t="shared" si="14"/>
        <v>-905.1</v>
      </c>
    </row>
    <row r="86" spans="1:11" ht="77.25" customHeight="1" x14ac:dyDescent="0.2">
      <c r="A86" s="34" t="s">
        <v>107</v>
      </c>
      <c r="B86" s="44" t="s">
        <v>156</v>
      </c>
      <c r="C86" s="5">
        <v>53</v>
      </c>
      <c r="D86" s="6">
        <v>500</v>
      </c>
      <c r="E86" s="6">
        <v>500</v>
      </c>
      <c r="F86" s="6">
        <v>280</v>
      </c>
      <c r="G86" s="5">
        <v>220</v>
      </c>
      <c r="H86" s="8">
        <f t="shared" si="12"/>
        <v>167</v>
      </c>
      <c r="I86" s="8">
        <f t="shared" si="15"/>
        <v>315.09433962264148</v>
      </c>
      <c r="J86" s="8">
        <f t="shared" si="13"/>
        <v>44</v>
      </c>
      <c r="K86" s="8">
        <f t="shared" si="14"/>
        <v>-280</v>
      </c>
    </row>
    <row r="87" spans="1:11" ht="75" x14ac:dyDescent="0.2">
      <c r="A87" s="47" t="s">
        <v>108</v>
      </c>
      <c r="B87" s="50" t="s">
        <v>109</v>
      </c>
      <c r="C87" s="58">
        <f>C89+C90</f>
        <v>18.399999999999999</v>
      </c>
      <c r="D87" s="58">
        <f>D89+D90</f>
        <v>390</v>
      </c>
      <c r="E87" s="58">
        <f>E89+E90</f>
        <v>90</v>
      </c>
      <c r="F87" s="58">
        <f>F89+F90</f>
        <v>54</v>
      </c>
      <c r="G87" s="58">
        <f>G89+G90</f>
        <v>0</v>
      </c>
      <c r="H87" s="8">
        <f t="shared" ref="H87:H92" si="16">G87-C87</f>
        <v>-18.399999999999999</v>
      </c>
      <c r="I87" s="8"/>
      <c r="J87" s="8">
        <f>G87/E87*100</f>
        <v>0</v>
      </c>
      <c r="K87" s="8">
        <f t="shared" ref="K87:K92" si="17">G87-E87</f>
        <v>-90</v>
      </c>
    </row>
    <row r="88" spans="1:11" ht="25.15" customHeight="1" x14ac:dyDescent="0.2">
      <c r="A88" s="47"/>
      <c r="B88" s="59" t="s">
        <v>117</v>
      </c>
      <c r="C88" s="58"/>
      <c r="D88" s="7"/>
      <c r="E88" s="7"/>
      <c r="F88" s="7"/>
      <c r="G88" s="58"/>
      <c r="H88" s="8">
        <f t="shared" si="16"/>
        <v>0</v>
      </c>
      <c r="I88" s="8"/>
      <c r="J88" s="8"/>
      <c r="K88" s="8">
        <f t="shared" si="17"/>
        <v>0</v>
      </c>
    </row>
    <row r="89" spans="1:11" ht="128.25" customHeight="1" x14ac:dyDescent="0.2">
      <c r="A89" s="34"/>
      <c r="B89" s="48" t="s">
        <v>158</v>
      </c>
      <c r="C89" s="5">
        <v>18.399999999999999</v>
      </c>
      <c r="D89" s="6">
        <v>300</v>
      </c>
      <c r="E89" s="6"/>
      <c r="F89" s="6"/>
      <c r="G89" s="5"/>
      <c r="H89" s="8">
        <f t="shared" si="16"/>
        <v>-18.399999999999999</v>
      </c>
      <c r="I89" s="8"/>
      <c r="J89" s="8"/>
      <c r="K89" s="8">
        <f t="shared" si="17"/>
        <v>0</v>
      </c>
    </row>
    <row r="90" spans="1:11" ht="142.5" customHeight="1" x14ac:dyDescent="0.2">
      <c r="A90" s="34"/>
      <c r="B90" s="48" t="s">
        <v>159</v>
      </c>
      <c r="C90" s="5"/>
      <c r="D90" s="6">
        <v>90</v>
      </c>
      <c r="E90" s="6">
        <v>90</v>
      </c>
      <c r="F90" s="6">
        <v>54</v>
      </c>
      <c r="G90" s="5"/>
      <c r="H90" s="8">
        <f t="shared" si="16"/>
        <v>0</v>
      </c>
      <c r="I90" s="8"/>
      <c r="J90" s="8">
        <f>G90/E90*100</f>
        <v>0</v>
      </c>
      <c r="K90" s="8">
        <f t="shared" si="17"/>
        <v>-90</v>
      </c>
    </row>
    <row r="91" spans="1:11" ht="49.5" customHeight="1" x14ac:dyDescent="0.2">
      <c r="A91" s="60" t="s">
        <v>111</v>
      </c>
      <c r="B91" s="61" t="s">
        <v>112</v>
      </c>
      <c r="C91" s="51">
        <v>3027.4</v>
      </c>
      <c r="D91" s="51">
        <v>6200</v>
      </c>
      <c r="E91" s="51">
        <v>6200</v>
      </c>
      <c r="F91" s="51">
        <v>3220</v>
      </c>
      <c r="G91" s="51">
        <f>2863.5-4.5</f>
        <v>2859</v>
      </c>
      <c r="H91" s="1">
        <f t="shared" si="16"/>
        <v>-168.40000000000009</v>
      </c>
      <c r="I91" s="1">
        <f>((G91/C91)*100)-100</f>
        <v>-5.5625289026887828</v>
      </c>
      <c r="J91" s="1">
        <f>G91/E91*100</f>
        <v>46.112903225806448</v>
      </c>
      <c r="K91" s="1">
        <f t="shared" si="17"/>
        <v>-3341</v>
      </c>
    </row>
    <row r="92" spans="1:11" ht="57" customHeight="1" x14ac:dyDescent="0.2">
      <c r="A92" s="60" t="s">
        <v>113</v>
      </c>
      <c r="B92" s="45" t="s">
        <v>114</v>
      </c>
      <c r="C92" s="7">
        <f>C94+C95</f>
        <v>16925.400000000001</v>
      </c>
      <c r="D92" s="7">
        <f>D94+D95</f>
        <v>35400</v>
      </c>
      <c r="E92" s="7">
        <f>E94+E95</f>
        <v>35400</v>
      </c>
      <c r="F92" s="7">
        <f>F94+F95</f>
        <v>17700</v>
      </c>
      <c r="G92" s="7">
        <f>G94+G95</f>
        <v>13682.400000000001</v>
      </c>
      <c r="H92" s="8">
        <f t="shared" si="16"/>
        <v>-3243</v>
      </c>
      <c r="I92" s="8">
        <f>((G92/C92)*100)-100</f>
        <v>-19.160551597008052</v>
      </c>
      <c r="J92" s="8">
        <f>G92/E92*100</f>
        <v>38.650847457627123</v>
      </c>
      <c r="K92" s="8">
        <f t="shared" si="17"/>
        <v>-21717.599999999999</v>
      </c>
    </row>
    <row r="93" spans="1:11" ht="18" customHeight="1" x14ac:dyDescent="0.2">
      <c r="A93" s="60"/>
      <c r="B93" s="45" t="s">
        <v>20</v>
      </c>
      <c r="C93" s="58"/>
      <c r="D93" s="7"/>
      <c r="E93" s="7"/>
      <c r="F93" s="7"/>
      <c r="G93" s="58"/>
      <c r="H93" s="8"/>
      <c r="I93" s="8"/>
      <c r="J93" s="8"/>
      <c r="K93" s="8"/>
    </row>
    <row r="94" spans="1:11" ht="68.25" customHeight="1" x14ac:dyDescent="0.2">
      <c r="A94" s="60"/>
      <c r="B94" s="48" t="s">
        <v>165</v>
      </c>
      <c r="C94" s="6">
        <v>176.4</v>
      </c>
      <c r="D94" s="6">
        <v>400</v>
      </c>
      <c r="E94" s="6">
        <v>400</v>
      </c>
      <c r="F94" s="6">
        <v>200</v>
      </c>
      <c r="G94" s="6">
        <v>196</v>
      </c>
      <c r="H94" s="8">
        <f t="shared" ref="H94:H102" si="18">G94-C94</f>
        <v>19.599999999999994</v>
      </c>
      <c r="I94" s="8">
        <f t="shared" ref="I94:I102" si="19">((G94/C94)*100)-100</f>
        <v>11.111111111111114</v>
      </c>
      <c r="J94" s="8">
        <f t="shared" ref="J94:J107" si="20">G94/E94*100</f>
        <v>49</v>
      </c>
      <c r="K94" s="8">
        <f t="shared" ref="K94:K106" si="21">G94-E94</f>
        <v>-204</v>
      </c>
    </row>
    <row r="95" spans="1:11" ht="63" customHeight="1" x14ac:dyDescent="0.2">
      <c r="A95" s="62"/>
      <c r="B95" s="44" t="s">
        <v>160</v>
      </c>
      <c r="C95" s="5">
        <v>16749</v>
      </c>
      <c r="D95" s="5">
        <v>35000</v>
      </c>
      <c r="E95" s="5">
        <v>35000</v>
      </c>
      <c r="F95" s="5">
        <v>17500</v>
      </c>
      <c r="G95" s="5">
        <f>15773.6-2287.2</f>
        <v>13486.400000000001</v>
      </c>
      <c r="H95" s="8">
        <f t="shared" si="18"/>
        <v>-3262.5999999999985</v>
      </c>
      <c r="I95" s="8">
        <f t="shared" si="19"/>
        <v>-19.479371902800153</v>
      </c>
      <c r="J95" s="8">
        <f t="shared" si="20"/>
        <v>38.53257142857143</v>
      </c>
      <c r="K95" s="8">
        <f t="shared" si="21"/>
        <v>-21513.599999999999</v>
      </c>
    </row>
    <row r="96" spans="1:11" ht="167.25" customHeight="1" x14ac:dyDescent="0.2">
      <c r="A96" s="32" t="s">
        <v>110</v>
      </c>
      <c r="B96" s="63" t="s">
        <v>126</v>
      </c>
      <c r="C96" s="7">
        <v>4533.6000000000004</v>
      </c>
      <c r="D96" s="7">
        <v>20000</v>
      </c>
      <c r="E96" s="7">
        <v>1486.2</v>
      </c>
      <c r="F96" s="7">
        <v>1486.2</v>
      </c>
      <c r="G96" s="7">
        <v>973</v>
      </c>
      <c r="H96" s="8">
        <f t="shared" si="18"/>
        <v>-3560.6000000000004</v>
      </c>
      <c r="I96" s="8">
        <f t="shared" si="19"/>
        <v>-78.53802717487207</v>
      </c>
      <c r="J96" s="8">
        <f t="shared" si="20"/>
        <v>65.468981294576764</v>
      </c>
      <c r="K96" s="8">
        <f t="shared" si="21"/>
        <v>-513.20000000000005</v>
      </c>
    </row>
    <row r="97" spans="1:11" s="15" customFormat="1" ht="48.75" customHeight="1" x14ac:dyDescent="0.2">
      <c r="A97" s="60" t="s">
        <v>213</v>
      </c>
      <c r="B97" s="45" t="s">
        <v>212</v>
      </c>
      <c r="C97" s="7"/>
      <c r="D97" s="7">
        <v>21700</v>
      </c>
      <c r="E97" s="7">
        <v>11163.6</v>
      </c>
      <c r="F97" s="7">
        <v>9350.2000000000007</v>
      </c>
      <c r="G97" s="7">
        <v>2724.3</v>
      </c>
      <c r="H97" s="1">
        <f t="shared" si="18"/>
        <v>2724.3</v>
      </c>
      <c r="I97" s="8"/>
      <c r="J97" s="8">
        <f t="shared" si="20"/>
        <v>24.403418252176717</v>
      </c>
      <c r="K97" s="8">
        <f t="shared" si="21"/>
        <v>-8439.2999999999993</v>
      </c>
    </row>
    <row r="98" spans="1:11" ht="40.5" customHeight="1" x14ac:dyDescent="0.2">
      <c r="A98" s="32" t="s">
        <v>72</v>
      </c>
      <c r="B98" s="64" t="s">
        <v>22</v>
      </c>
      <c r="C98" s="7">
        <v>236.3</v>
      </c>
      <c r="D98" s="7">
        <v>15000</v>
      </c>
      <c r="E98" s="7">
        <v>15000</v>
      </c>
      <c r="F98" s="7">
        <v>8000</v>
      </c>
      <c r="G98" s="7">
        <v>6056.7</v>
      </c>
      <c r="H98" s="1">
        <f t="shared" si="18"/>
        <v>5820.4</v>
      </c>
      <c r="I98" s="8">
        <f t="shared" si="19"/>
        <v>2463.1400761743544</v>
      </c>
      <c r="J98" s="1">
        <f t="shared" si="20"/>
        <v>40.378</v>
      </c>
      <c r="K98" s="1">
        <f t="shared" si="21"/>
        <v>-8943.2999999999993</v>
      </c>
    </row>
    <row r="99" spans="1:11" ht="54.75" customHeight="1" x14ac:dyDescent="0.2">
      <c r="A99" s="47" t="s">
        <v>173</v>
      </c>
      <c r="B99" s="64" t="s">
        <v>174</v>
      </c>
      <c r="C99" s="58"/>
      <c r="D99" s="7">
        <v>15000</v>
      </c>
      <c r="E99" s="7">
        <v>14690.3</v>
      </c>
      <c r="F99" s="7">
        <v>7890</v>
      </c>
      <c r="G99" s="58"/>
      <c r="H99" s="1">
        <f t="shared" si="18"/>
        <v>0</v>
      </c>
      <c r="I99" s="8"/>
      <c r="J99" s="1">
        <f t="shared" si="20"/>
        <v>0</v>
      </c>
      <c r="K99" s="1">
        <f t="shared" si="21"/>
        <v>-14690.3</v>
      </c>
    </row>
    <row r="100" spans="1:11" ht="114.75" customHeight="1" x14ac:dyDescent="0.2">
      <c r="A100" s="47" t="s">
        <v>171</v>
      </c>
      <c r="B100" s="64" t="s">
        <v>172</v>
      </c>
      <c r="C100" s="7">
        <v>151</v>
      </c>
      <c r="D100" s="7"/>
      <c r="E100" s="7">
        <v>110</v>
      </c>
      <c r="F100" s="7">
        <v>110</v>
      </c>
      <c r="G100" s="7">
        <v>75</v>
      </c>
      <c r="H100" s="1">
        <f t="shared" si="18"/>
        <v>-76</v>
      </c>
      <c r="I100" s="8">
        <f t="shared" si="19"/>
        <v>-50.331125827814574</v>
      </c>
      <c r="J100" s="1">
        <f t="shared" si="20"/>
        <v>68.181818181818173</v>
      </c>
      <c r="K100" s="1">
        <f t="shared" si="21"/>
        <v>-35</v>
      </c>
    </row>
    <row r="101" spans="1:11" ht="114.75" customHeight="1" x14ac:dyDescent="0.2">
      <c r="A101" s="47" t="s">
        <v>260</v>
      </c>
      <c r="B101" s="64" t="s">
        <v>261</v>
      </c>
      <c r="C101" s="7"/>
      <c r="D101" s="7"/>
      <c r="E101" s="7">
        <v>49.7</v>
      </c>
      <c r="F101" s="7">
        <v>49.7</v>
      </c>
      <c r="G101" s="7">
        <v>49.7</v>
      </c>
      <c r="H101" s="1">
        <f t="shared" si="18"/>
        <v>49.7</v>
      </c>
      <c r="I101" s="8"/>
      <c r="J101" s="1">
        <f t="shared" si="20"/>
        <v>100</v>
      </c>
      <c r="K101" s="1">
        <f t="shared" si="21"/>
        <v>0</v>
      </c>
    </row>
    <row r="102" spans="1:11" ht="74.25" customHeight="1" x14ac:dyDescent="0.2">
      <c r="A102" s="47" t="s">
        <v>260</v>
      </c>
      <c r="B102" s="64" t="s">
        <v>157</v>
      </c>
      <c r="C102" s="58">
        <v>2837.1</v>
      </c>
      <c r="D102" s="7"/>
      <c r="E102" s="7">
        <v>150</v>
      </c>
      <c r="F102" s="7">
        <v>150</v>
      </c>
      <c r="G102" s="58">
        <v>149.9</v>
      </c>
      <c r="H102" s="1">
        <f t="shared" si="18"/>
        <v>-2687.2</v>
      </c>
      <c r="I102" s="8">
        <f t="shared" si="19"/>
        <v>-94.716435797116773</v>
      </c>
      <c r="J102" s="1">
        <f t="shared" si="20"/>
        <v>99.933333333333337</v>
      </c>
      <c r="K102" s="1">
        <f t="shared" si="21"/>
        <v>-9.9999999999994316E-2</v>
      </c>
    </row>
    <row r="103" spans="1:11" ht="24" customHeight="1" x14ac:dyDescent="0.2">
      <c r="A103" s="47" t="s">
        <v>115</v>
      </c>
      <c r="B103" s="65" t="s">
        <v>52</v>
      </c>
      <c r="C103" s="7">
        <v>9962.7000000000007</v>
      </c>
      <c r="D103" s="7">
        <v>123992.3</v>
      </c>
      <c r="E103" s="7">
        <v>123992.3</v>
      </c>
      <c r="F103" s="7">
        <v>61996.2</v>
      </c>
      <c r="G103" s="7">
        <v>61996.2</v>
      </c>
      <c r="H103" s="8">
        <f>G103-C103</f>
        <v>52033.5</v>
      </c>
      <c r="I103" s="8">
        <f>((G103/C103)*100)-100</f>
        <v>522.28311602276483</v>
      </c>
      <c r="J103" s="8">
        <f t="shared" si="20"/>
        <v>50.000040325084704</v>
      </c>
      <c r="K103" s="8">
        <f t="shared" si="21"/>
        <v>-61996.100000000006</v>
      </c>
    </row>
    <row r="104" spans="1:11" ht="24" customHeight="1" x14ac:dyDescent="0.2">
      <c r="A104" s="47" t="s">
        <v>230</v>
      </c>
      <c r="B104" s="65" t="s">
        <v>231</v>
      </c>
      <c r="C104" s="7">
        <v>1000</v>
      </c>
      <c r="D104" s="7"/>
      <c r="E104" s="7">
        <v>1500</v>
      </c>
      <c r="F104" s="7">
        <v>1500</v>
      </c>
      <c r="G104" s="7">
        <v>1000</v>
      </c>
      <c r="H104" s="8">
        <f>G104-C104</f>
        <v>0</v>
      </c>
      <c r="I104" s="8">
        <f>((G104/C104)*100)-100</f>
        <v>0</v>
      </c>
      <c r="J104" s="8">
        <f t="shared" si="20"/>
        <v>66.666666666666657</v>
      </c>
      <c r="K104" s="8">
        <f t="shared" si="21"/>
        <v>-500</v>
      </c>
    </row>
    <row r="105" spans="1:11" ht="112.5" x14ac:dyDescent="0.2">
      <c r="A105" s="47" t="s">
        <v>192</v>
      </c>
      <c r="B105" s="65" t="s">
        <v>193</v>
      </c>
      <c r="C105" s="58">
        <v>250</v>
      </c>
      <c r="D105" s="7"/>
      <c r="E105" s="7">
        <v>11216.6</v>
      </c>
      <c r="F105" s="7">
        <v>11216.6</v>
      </c>
      <c r="G105" s="7">
        <v>11216.6</v>
      </c>
      <c r="H105" s="8">
        <f>G105-C105</f>
        <v>10966.6</v>
      </c>
      <c r="I105" s="8"/>
      <c r="J105" s="8">
        <f t="shared" si="20"/>
        <v>100</v>
      </c>
      <c r="K105" s="8">
        <f t="shared" si="21"/>
        <v>0</v>
      </c>
    </row>
    <row r="106" spans="1:11" ht="80.25" customHeight="1" x14ac:dyDescent="0.2">
      <c r="A106" s="47" t="s">
        <v>181</v>
      </c>
      <c r="B106" s="65" t="s">
        <v>180</v>
      </c>
      <c r="C106" s="58">
        <v>124.8</v>
      </c>
      <c r="D106" s="7">
        <v>396</v>
      </c>
      <c r="E106" s="7">
        <v>396</v>
      </c>
      <c r="F106" s="7">
        <v>198</v>
      </c>
      <c r="G106" s="58">
        <v>126.5</v>
      </c>
      <c r="H106" s="8">
        <f>G106-C106</f>
        <v>1.7000000000000028</v>
      </c>
      <c r="I106" s="8"/>
      <c r="J106" s="8">
        <f t="shared" si="20"/>
        <v>31.944444444444443</v>
      </c>
      <c r="K106" s="8">
        <f t="shared" si="21"/>
        <v>-269.5</v>
      </c>
    </row>
    <row r="107" spans="1:11" ht="38.450000000000003" customHeight="1" x14ac:dyDescent="0.2">
      <c r="A107" s="47" t="s">
        <v>58</v>
      </c>
      <c r="B107" s="64" t="s">
        <v>116</v>
      </c>
      <c r="C107" s="7">
        <f>SUM(C109:C123)</f>
        <v>11307.900000000001</v>
      </c>
      <c r="D107" s="7">
        <f>SUM(D109:D123)</f>
        <v>96320</v>
      </c>
      <c r="E107" s="7">
        <f>SUM(E109:E123)</f>
        <v>58924</v>
      </c>
      <c r="F107" s="7">
        <f>SUM(F109:F123)</f>
        <v>33440.9</v>
      </c>
      <c r="G107" s="7">
        <f>G109+G110+G111+G112+G113+G114+G115+G116+G117+G118+G119+G120+G121+G122+G123</f>
        <v>21749.1</v>
      </c>
      <c r="H107" s="8">
        <f>G107-C107</f>
        <v>10441.199999999997</v>
      </c>
      <c r="I107" s="8">
        <f>((G107/C107)*100)-100</f>
        <v>92.33544689995486</v>
      </c>
      <c r="J107" s="8">
        <f t="shared" si="20"/>
        <v>36.910426990699882</v>
      </c>
      <c r="K107" s="8">
        <f>G107-E107</f>
        <v>-37174.9</v>
      </c>
    </row>
    <row r="108" spans="1:11" ht="22.5" customHeight="1" x14ac:dyDescent="0.2">
      <c r="A108" s="37"/>
      <c r="B108" s="48" t="s">
        <v>2</v>
      </c>
      <c r="C108" s="6"/>
      <c r="D108" s="6"/>
      <c r="E108" s="6"/>
      <c r="F108" s="6"/>
      <c r="G108" s="6"/>
      <c r="H108" s="8"/>
      <c r="I108" s="8"/>
      <c r="J108" s="8"/>
      <c r="K108" s="8"/>
    </row>
    <row r="109" spans="1:11" ht="44.25" customHeight="1" x14ac:dyDescent="0.2">
      <c r="A109" s="34"/>
      <c r="B109" s="48" t="s">
        <v>74</v>
      </c>
      <c r="C109" s="5"/>
      <c r="D109" s="6">
        <v>7210</v>
      </c>
      <c r="E109" s="6">
        <v>4334.6000000000004</v>
      </c>
      <c r="F109" s="6"/>
      <c r="G109" s="5"/>
      <c r="H109" s="8">
        <f t="shared" ref="H109:H114" si="22">G109-C109</f>
        <v>0</v>
      </c>
      <c r="I109" s="8"/>
      <c r="J109" s="8">
        <f t="shared" ref="J109:J114" si="23">G109/E109*100</f>
        <v>0</v>
      </c>
      <c r="K109" s="8">
        <f t="shared" ref="K109:K114" si="24">G109-E109</f>
        <v>-4334.6000000000004</v>
      </c>
    </row>
    <row r="110" spans="1:11" ht="102" customHeight="1" x14ac:dyDescent="0.2">
      <c r="A110" s="34"/>
      <c r="B110" s="41" t="s">
        <v>161</v>
      </c>
      <c r="C110" s="5">
        <v>0</v>
      </c>
      <c r="D110" s="6">
        <v>12000</v>
      </c>
      <c r="E110" s="6">
        <v>2772.2</v>
      </c>
      <c r="F110" s="6">
        <v>0</v>
      </c>
      <c r="G110" s="5">
        <v>0</v>
      </c>
      <c r="H110" s="8">
        <f t="shared" si="22"/>
        <v>0</v>
      </c>
      <c r="I110" s="8"/>
      <c r="J110" s="8">
        <f t="shared" si="23"/>
        <v>0</v>
      </c>
      <c r="K110" s="8">
        <f t="shared" si="24"/>
        <v>-2772.2</v>
      </c>
    </row>
    <row r="111" spans="1:11" ht="48.75" customHeight="1" x14ac:dyDescent="0.2">
      <c r="A111" s="34"/>
      <c r="B111" s="44" t="s">
        <v>162</v>
      </c>
      <c r="C111" s="5">
        <v>98</v>
      </c>
      <c r="D111" s="6">
        <v>250</v>
      </c>
      <c r="E111" s="6">
        <v>250</v>
      </c>
      <c r="F111" s="6">
        <v>99.9</v>
      </c>
      <c r="G111" s="5">
        <v>99.9</v>
      </c>
      <c r="H111" s="8">
        <f t="shared" si="22"/>
        <v>1.9000000000000057</v>
      </c>
      <c r="I111" s="8">
        <f>((G111/C111)*100)-100</f>
        <v>1.9387755102040956</v>
      </c>
      <c r="J111" s="8">
        <f t="shared" si="23"/>
        <v>39.96</v>
      </c>
      <c r="K111" s="8">
        <f t="shared" si="24"/>
        <v>-150.1</v>
      </c>
    </row>
    <row r="112" spans="1:11" ht="83.25" customHeight="1" x14ac:dyDescent="0.2">
      <c r="A112" s="34"/>
      <c r="B112" s="38" t="s">
        <v>264</v>
      </c>
      <c r="C112" s="5">
        <v>0</v>
      </c>
      <c r="D112" s="6">
        <v>30000</v>
      </c>
      <c r="E112" s="6">
        <v>1745.1</v>
      </c>
      <c r="F112" s="6">
        <v>0</v>
      </c>
      <c r="G112" s="5">
        <v>0</v>
      </c>
      <c r="H112" s="8">
        <f t="shared" si="22"/>
        <v>0</v>
      </c>
      <c r="I112" s="8"/>
      <c r="J112" s="8">
        <f t="shared" si="23"/>
        <v>0</v>
      </c>
      <c r="K112" s="8">
        <f t="shared" si="24"/>
        <v>-1745.1</v>
      </c>
    </row>
    <row r="113" spans="1:11" ht="40.5" customHeight="1" x14ac:dyDescent="0.2">
      <c r="A113" s="34"/>
      <c r="B113" s="48" t="s">
        <v>25</v>
      </c>
      <c r="C113" s="5">
        <v>93.7</v>
      </c>
      <c r="D113" s="6">
        <v>1000</v>
      </c>
      <c r="E113" s="6">
        <v>1000</v>
      </c>
      <c r="F113" s="6">
        <v>540</v>
      </c>
      <c r="G113" s="5">
        <v>280.10000000000002</v>
      </c>
      <c r="H113" s="8">
        <f t="shared" si="22"/>
        <v>186.40000000000003</v>
      </c>
      <c r="I113" s="8">
        <f t="shared" ref="I113:I119" si="25">((G113/C113)*100)-100</f>
        <v>198.93276414087512</v>
      </c>
      <c r="J113" s="8">
        <f t="shared" si="23"/>
        <v>28.01</v>
      </c>
      <c r="K113" s="8">
        <f t="shared" si="24"/>
        <v>-719.9</v>
      </c>
    </row>
    <row r="114" spans="1:11" ht="40.5" customHeight="1" x14ac:dyDescent="0.2">
      <c r="A114" s="34"/>
      <c r="B114" s="48" t="s">
        <v>24</v>
      </c>
      <c r="C114" s="5">
        <v>151.6</v>
      </c>
      <c r="D114" s="6">
        <f>4800+7000+100</f>
        <v>11900</v>
      </c>
      <c r="E114" s="6">
        <f>4800+11481.8+2962.9</f>
        <v>19244.7</v>
      </c>
      <c r="F114" s="6">
        <f>3605.9+9081.8+2962.9</f>
        <v>15650.599999999999</v>
      </c>
      <c r="G114" s="6">
        <f>10+3923.7+3605.2</f>
        <v>7538.9</v>
      </c>
      <c r="H114" s="8">
        <f t="shared" si="22"/>
        <v>7387.2999999999993</v>
      </c>
      <c r="I114" s="8">
        <f t="shared" si="25"/>
        <v>4872.8891820580475</v>
      </c>
      <c r="J114" s="8">
        <f t="shared" si="23"/>
        <v>39.17390242508327</v>
      </c>
      <c r="K114" s="8">
        <f t="shared" si="24"/>
        <v>-11705.800000000001</v>
      </c>
    </row>
    <row r="115" spans="1:11" ht="181.5" customHeight="1" x14ac:dyDescent="0.2">
      <c r="A115" s="34"/>
      <c r="B115" s="48" t="s">
        <v>166</v>
      </c>
      <c r="C115" s="5">
        <v>178</v>
      </c>
      <c r="D115" s="6">
        <v>1000</v>
      </c>
      <c r="E115" s="6">
        <v>1000</v>
      </c>
      <c r="F115" s="6">
        <v>1000</v>
      </c>
      <c r="G115" s="5">
        <v>956</v>
      </c>
      <c r="H115" s="8">
        <f>G115-C115</f>
        <v>778</v>
      </c>
      <c r="I115" s="8">
        <f t="shared" si="25"/>
        <v>437.07865168539331</v>
      </c>
      <c r="J115" s="8">
        <f>G115/E115*100</f>
        <v>95.6</v>
      </c>
      <c r="K115" s="8">
        <f>G115-E115</f>
        <v>-44</v>
      </c>
    </row>
    <row r="116" spans="1:11" ht="46.5" customHeight="1" x14ac:dyDescent="0.2">
      <c r="A116" s="34"/>
      <c r="B116" s="48" t="s">
        <v>121</v>
      </c>
      <c r="C116" s="5">
        <v>2832</v>
      </c>
      <c r="D116" s="6">
        <v>5900</v>
      </c>
      <c r="E116" s="6">
        <v>5900</v>
      </c>
      <c r="F116" s="6">
        <v>3004.2</v>
      </c>
      <c r="G116" s="5">
        <v>2629.4</v>
      </c>
      <c r="H116" s="8">
        <f>G116-C116</f>
        <v>-202.59999999999991</v>
      </c>
      <c r="I116" s="8">
        <f t="shared" si="25"/>
        <v>-7.1539548022598893</v>
      </c>
      <c r="J116" s="8">
        <f t="shared" ref="J116:J123" si="26">G116/E116*100</f>
        <v>44.566101694915254</v>
      </c>
      <c r="K116" s="8">
        <f t="shared" ref="K116:K123" si="27">G116-E116</f>
        <v>-3270.6</v>
      </c>
    </row>
    <row r="117" spans="1:11" ht="71.25" customHeight="1" x14ac:dyDescent="0.2">
      <c r="A117" s="34"/>
      <c r="B117" s="48" t="s">
        <v>216</v>
      </c>
      <c r="C117" s="5">
        <v>647.20000000000005</v>
      </c>
      <c r="D117" s="6">
        <v>5000</v>
      </c>
      <c r="E117" s="6">
        <v>5000</v>
      </c>
      <c r="F117" s="6">
        <v>2450</v>
      </c>
      <c r="G117" s="5">
        <v>2197.4</v>
      </c>
      <c r="H117" s="8">
        <f>G117-C117</f>
        <v>1550.2</v>
      </c>
      <c r="I117" s="8">
        <f t="shared" si="25"/>
        <v>239.52410383189118</v>
      </c>
      <c r="J117" s="8">
        <f t="shared" si="26"/>
        <v>43.948</v>
      </c>
      <c r="K117" s="8">
        <f t="shared" si="27"/>
        <v>-2802.6</v>
      </c>
    </row>
    <row r="118" spans="1:11" ht="45" customHeight="1" x14ac:dyDescent="0.2">
      <c r="A118" s="34"/>
      <c r="B118" s="48" t="s">
        <v>50</v>
      </c>
      <c r="C118" s="5">
        <v>2.2000000000000002</v>
      </c>
      <c r="D118" s="6">
        <v>100</v>
      </c>
      <c r="E118" s="6">
        <v>100</v>
      </c>
      <c r="F118" s="6">
        <v>49</v>
      </c>
      <c r="G118" s="5"/>
      <c r="H118" s="8">
        <f>G118-C118</f>
        <v>-2.2000000000000002</v>
      </c>
      <c r="I118" s="8">
        <f t="shared" si="25"/>
        <v>-100</v>
      </c>
      <c r="J118" s="8">
        <f t="shared" si="26"/>
        <v>0</v>
      </c>
      <c r="K118" s="8">
        <f t="shared" si="27"/>
        <v>-100</v>
      </c>
    </row>
    <row r="119" spans="1:11" ht="78.75" customHeight="1" x14ac:dyDescent="0.2">
      <c r="A119" s="34"/>
      <c r="B119" s="67" t="s">
        <v>167</v>
      </c>
      <c r="C119" s="5">
        <v>20.9</v>
      </c>
      <c r="D119" s="6"/>
      <c r="E119" s="6"/>
      <c r="F119" s="6"/>
      <c r="G119" s="5"/>
      <c r="H119" s="8">
        <f>G119-C119</f>
        <v>-20.9</v>
      </c>
      <c r="I119" s="8">
        <f t="shared" si="25"/>
        <v>-100</v>
      </c>
      <c r="J119" s="8"/>
      <c r="K119" s="8">
        <f t="shared" si="27"/>
        <v>0</v>
      </c>
    </row>
    <row r="120" spans="1:11" ht="78.75" customHeight="1" x14ac:dyDescent="0.2">
      <c r="A120" s="34"/>
      <c r="B120" s="68" t="s">
        <v>217</v>
      </c>
      <c r="C120" s="5"/>
      <c r="D120" s="6">
        <v>1000</v>
      </c>
      <c r="E120" s="6">
        <v>1000</v>
      </c>
      <c r="F120" s="6">
        <v>558</v>
      </c>
      <c r="G120" s="5"/>
      <c r="H120" s="8"/>
      <c r="I120" s="8"/>
      <c r="J120" s="8">
        <f t="shared" si="26"/>
        <v>0</v>
      </c>
      <c r="K120" s="8">
        <f t="shared" si="27"/>
        <v>-1000</v>
      </c>
    </row>
    <row r="121" spans="1:11" ht="92.25" customHeight="1" x14ac:dyDescent="0.2">
      <c r="A121" s="34"/>
      <c r="B121" s="66" t="s">
        <v>168</v>
      </c>
      <c r="C121" s="6"/>
      <c r="D121" s="6">
        <v>500</v>
      </c>
      <c r="E121" s="6">
        <v>10</v>
      </c>
      <c r="F121" s="6">
        <v>10</v>
      </c>
      <c r="G121" s="6"/>
      <c r="H121" s="8">
        <f t="shared" ref="H121:H128" si="28">G121-C121</f>
        <v>0</v>
      </c>
      <c r="I121" s="8"/>
      <c r="J121" s="8">
        <f t="shared" si="26"/>
        <v>0</v>
      </c>
      <c r="K121" s="8">
        <f t="shared" si="27"/>
        <v>-10</v>
      </c>
    </row>
    <row r="122" spans="1:11" ht="37.5" x14ac:dyDescent="0.2">
      <c r="A122" s="34"/>
      <c r="B122" s="35" t="s">
        <v>176</v>
      </c>
      <c r="C122" s="5">
        <v>4161.6000000000004</v>
      </c>
      <c r="D122" s="6">
        <v>12724</v>
      </c>
      <c r="E122" s="6">
        <v>12462</v>
      </c>
      <c r="F122" s="6">
        <v>7080.7</v>
      </c>
      <c r="G122" s="5">
        <v>6135.6</v>
      </c>
      <c r="H122" s="8">
        <f t="shared" si="28"/>
        <v>1974</v>
      </c>
      <c r="I122" s="8">
        <f>((G122/C122)*100)-100</f>
        <v>47.433679354094579</v>
      </c>
      <c r="J122" s="8">
        <f t="shared" si="26"/>
        <v>49.234472797303809</v>
      </c>
      <c r="K122" s="8">
        <f t="shared" si="27"/>
        <v>-6326.4</v>
      </c>
    </row>
    <row r="123" spans="1:11" ht="24.75" customHeight="1" x14ac:dyDescent="0.2">
      <c r="A123" s="34"/>
      <c r="B123" s="48" t="s">
        <v>23</v>
      </c>
      <c r="C123" s="5">
        <v>3122.7</v>
      </c>
      <c r="D123" s="26">
        <f>1176+60+6500</f>
        <v>7736</v>
      </c>
      <c r="E123" s="26">
        <f>2650.5+60+1395-0.1</f>
        <v>4105.3999999999996</v>
      </c>
      <c r="F123" s="26">
        <f>2564.5+20+90+324</f>
        <v>2998.5</v>
      </c>
      <c r="G123" s="25">
        <f>1911.7+0.1</f>
        <v>1911.8</v>
      </c>
      <c r="H123" s="8">
        <f t="shared" si="28"/>
        <v>-1210.8999999999999</v>
      </c>
      <c r="I123" s="8">
        <f>((G123/C123)*100)-100</f>
        <v>-38.777340122330031</v>
      </c>
      <c r="J123" s="8">
        <f t="shared" si="26"/>
        <v>46.567934914990019</v>
      </c>
      <c r="K123" s="8">
        <f t="shared" si="27"/>
        <v>-2193.5999999999995</v>
      </c>
    </row>
    <row r="124" spans="1:11" ht="27.75" customHeight="1" x14ac:dyDescent="0.2">
      <c r="A124" s="47"/>
      <c r="B124" s="45" t="s">
        <v>26</v>
      </c>
      <c r="C124" s="7">
        <f>C126+C127</f>
        <v>0</v>
      </c>
      <c r="D124" s="7">
        <f>D126+D127</f>
        <v>1120</v>
      </c>
      <c r="E124" s="7">
        <f>E126+E127</f>
        <v>1120</v>
      </c>
      <c r="F124" s="7">
        <f>F126+F127</f>
        <v>1120</v>
      </c>
      <c r="G124" s="7">
        <f>G126+G127</f>
        <v>0</v>
      </c>
      <c r="H124" s="8">
        <f t="shared" si="28"/>
        <v>0</v>
      </c>
      <c r="I124" s="8"/>
      <c r="J124" s="8">
        <f>G124/E124*100</f>
        <v>0</v>
      </c>
      <c r="K124" s="8">
        <f t="shared" ref="K124:K129" si="29">G124-E124</f>
        <v>-1120</v>
      </c>
    </row>
    <row r="125" spans="1:11" x14ac:dyDescent="0.2">
      <c r="A125" s="37"/>
      <c r="B125" s="46" t="s">
        <v>2</v>
      </c>
      <c r="C125" s="5"/>
      <c r="D125" s="6"/>
      <c r="E125" s="6"/>
      <c r="F125" s="6"/>
      <c r="G125" s="5"/>
      <c r="H125" s="8">
        <f t="shared" si="28"/>
        <v>0</v>
      </c>
      <c r="I125" s="8"/>
      <c r="J125" s="8"/>
      <c r="K125" s="8">
        <f t="shared" si="29"/>
        <v>0</v>
      </c>
    </row>
    <row r="126" spans="1:11" ht="100.5" customHeight="1" x14ac:dyDescent="0.2">
      <c r="A126" s="32" t="s">
        <v>145</v>
      </c>
      <c r="B126" s="48" t="s">
        <v>27</v>
      </c>
      <c r="C126" s="5"/>
      <c r="D126" s="6">
        <v>1050</v>
      </c>
      <c r="E126" s="6">
        <v>1050</v>
      </c>
      <c r="F126" s="6">
        <v>1050</v>
      </c>
      <c r="G126" s="5"/>
      <c r="H126" s="8">
        <f t="shared" si="28"/>
        <v>0</v>
      </c>
      <c r="I126" s="8"/>
      <c r="J126" s="8">
        <f>G126/E126*100</f>
        <v>0</v>
      </c>
      <c r="K126" s="8">
        <f t="shared" si="29"/>
        <v>-1050</v>
      </c>
    </row>
    <row r="127" spans="1:11" ht="60" customHeight="1" x14ac:dyDescent="0.2">
      <c r="A127" s="32" t="s">
        <v>146</v>
      </c>
      <c r="B127" s="48" t="s">
        <v>28</v>
      </c>
      <c r="C127" s="8"/>
      <c r="D127" s="6">
        <v>70</v>
      </c>
      <c r="E127" s="6">
        <v>70</v>
      </c>
      <c r="F127" s="6">
        <v>70</v>
      </c>
      <c r="G127" s="8"/>
      <c r="H127" s="8">
        <f t="shared" si="28"/>
        <v>0</v>
      </c>
      <c r="I127" s="8"/>
      <c r="J127" s="8"/>
      <c r="K127" s="8">
        <f t="shared" si="29"/>
        <v>-70</v>
      </c>
    </row>
    <row r="128" spans="1:11" ht="60.75" customHeight="1" x14ac:dyDescent="0.2">
      <c r="A128" s="109" t="s">
        <v>48</v>
      </c>
      <c r="B128" s="109"/>
      <c r="C128" s="1">
        <f>C12+C15+C24+C29+C37+C43+C50+C54+C61+C87+C91+C92+C96+C98+C100+C102+C103+C104+C105+C106+C107+C124+C60+C59</f>
        <v>1050038.8000000003</v>
      </c>
      <c r="D128" s="1">
        <f>D12+D15+D24+D29+D37+D43+D50+D54+D59+D60+D61+D87+D91+D92+D96+D97+D98+D99+D102+D103+D105+D106+D107+D124+D100</f>
        <v>2796000</v>
      </c>
      <c r="E128" s="1">
        <f>E12+E15+E24+E29+E37+E43+E50+E54+E59+E60+E61+E87+E91+E92+E96+E97+E98+E99+E102+E103+E105+E106+E107+E124+E100+E104+E101</f>
        <v>2859973</v>
      </c>
      <c r="F128" s="1">
        <f>F12+F15+F24+F29+F37+F43+F50+F54+F59+F60+F61+F87+F91+F92+F96+F97+F98+F99+F102+F103+F105+F106+F107+F124+F100+F101++F104</f>
        <v>1868264.5</v>
      </c>
      <c r="G128" s="1">
        <f>G12+G15+G24+G29+G37+G43+G50+G54+G59+G60+G61+G87+G91+G92+G96+G97+G98+G99+G102+G103+G105+G106+G107+G124+G100+G104+G101</f>
        <v>1315251.7999999998</v>
      </c>
      <c r="H128" s="1">
        <f t="shared" si="28"/>
        <v>265212.99999999953</v>
      </c>
      <c r="I128" s="1">
        <f>((G128/C128)*100)-100</f>
        <v>25.257447629554221</v>
      </c>
      <c r="J128" s="1">
        <f>G128/E128*100</f>
        <v>45.98825932972094</v>
      </c>
      <c r="K128" s="1">
        <f t="shared" si="29"/>
        <v>-1544721.2000000002</v>
      </c>
    </row>
    <row r="129" spans="1:11" ht="49.5" customHeight="1" x14ac:dyDescent="0.2">
      <c r="A129" s="34"/>
      <c r="B129" s="69" t="s">
        <v>54</v>
      </c>
      <c r="C129" s="7">
        <f>C131+C132+C133+C135</f>
        <v>341091.7</v>
      </c>
      <c r="D129" s="7">
        <f>D131+D132+D133+D136</f>
        <v>0</v>
      </c>
      <c r="E129" s="7">
        <f>E131+E132+E133+E136+E137+E138+E139+E140+E134</f>
        <v>599929.49999999988</v>
      </c>
      <c r="F129" s="7">
        <f>F131+F132+F133+F136+F137+F138+F139+F140+F134</f>
        <v>366149.80000000005</v>
      </c>
      <c r="G129" s="7">
        <f>G131+G132+G133+G136+G137+G138+G139+G140+G134</f>
        <v>344807.3</v>
      </c>
      <c r="H129" s="1">
        <f>G129-C129</f>
        <v>3715.5999999999767</v>
      </c>
      <c r="I129" s="1">
        <f>((G129/C129)*100)-100</f>
        <v>1.0893258323201565</v>
      </c>
      <c r="J129" s="1">
        <f>G129/E129*100</f>
        <v>57.474636603134208</v>
      </c>
      <c r="K129" s="1">
        <f t="shared" si="29"/>
        <v>-255122.1999999999</v>
      </c>
    </row>
    <row r="130" spans="1:11" x14ac:dyDescent="0.2">
      <c r="A130" s="37"/>
      <c r="B130" s="46" t="s">
        <v>20</v>
      </c>
      <c r="C130" s="14"/>
      <c r="D130" s="14"/>
      <c r="E130" s="14"/>
      <c r="F130" s="14"/>
      <c r="G130" s="14"/>
      <c r="H130" s="8"/>
      <c r="I130" s="8"/>
      <c r="J130" s="8"/>
      <c r="K130" s="8"/>
    </row>
    <row r="131" spans="1:11" ht="56.25" customHeight="1" x14ac:dyDescent="0.2">
      <c r="A131" s="32" t="s">
        <v>57</v>
      </c>
      <c r="B131" s="70" t="s">
        <v>53</v>
      </c>
      <c r="C131" s="14">
        <v>339040.2</v>
      </c>
      <c r="D131" s="14"/>
      <c r="E131" s="14">
        <v>572111.80000000005</v>
      </c>
      <c r="F131" s="14">
        <v>351907</v>
      </c>
      <c r="G131" s="71">
        <v>331297.7</v>
      </c>
      <c r="H131" s="8">
        <f>G131-C131</f>
        <v>-7742.5</v>
      </c>
      <c r="I131" s="8">
        <f>((G131/C131)*100)-100</f>
        <v>-2.2836524990251945</v>
      </c>
      <c r="J131" s="8">
        <f>G131/E131*100</f>
        <v>57.907859967230181</v>
      </c>
      <c r="K131" s="8">
        <f>G131-E131</f>
        <v>-240814.10000000003</v>
      </c>
    </row>
    <row r="132" spans="1:11" ht="79.900000000000006" customHeight="1" x14ac:dyDescent="0.2">
      <c r="A132" s="32" t="s">
        <v>177</v>
      </c>
      <c r="B132" s="70" t="s">
        <v>124</v>
      </c>
      <c r="C132" s="72">
        <v>1277.3</v>
      </c>
      <c r="D132" s="14"/>
      <c r="E132" s="14">
        <v>2776.1</v>
      </c>
      <c r="F132" s="14">
        <v>1305</v>
      </c>
      <c r="G132" s="71">
        <v>1255.9000000000001</v>
      </c>
      <c r="H132" s="8">
        <f>G132-C132</f>
        <v>-21.399999999999864</v>
      </c>
      <c r="I132" s="8">
        <f>((G132/C132)*100)-100</f>
        <v>-1.6754090659985792</v>
      </c>
      <c r="J132" s="8">
        <f>G132/E132*100</f>
        <v>45.239724793775444</v>
      </c>
      <c r="K132" s="8">
        <f>G132-E132</f>
        <v>-1520.1999999999998</v>
      </c>
    </row>
    <row r="133" spans="1:11" ht="158.25" customHeight="1" x14ac:dyDescent="0.2">
      <c r="A133" s="32" t="s">
        <v>191</v>
      </c>
      <c r="B133" s="70" t="s">
        <v>190</v>
      </c>
      <c r="C133" s="14">
        <v>119</v>
      </c>
      <c r="D133" s="14"/>
      <c r="E133" s="14">
        <v>478.2</v>
      </c>
      <c r="F133" s="14">
        <v>478.2</v>
      </c>
      <c r="G133" s="71">
        <v>447.1</v>
      </c>
      <c r="H133" s="8">
        <f>G133-C133</f>
        <v>328.1</v>
      </c>
      <c r="I133" s="8">
        <f>((G133/C133)*100)-100</f>
        <v>275.71428571428572</v>
      </c>
      <c r="J133" s="8">
        <f>G133/E133*100</f>
        <v>93.496445002091178</v>
      </c>
      <c r="K133" s="8">
        <f>G133-E133</f>
        <v>-31.099999999999966</v>
      </c>
    </row>
    <row r="134" spans="1:11" ht="115.5" customHeight="1" x14ac:dyDescent="0.2">
      <c r="A134" s="32" t="s">
        <v>256</v>
      </c>
      <c r="B134" s="70" t="s">
        <v>257</v>
      </c>
      <c r="C134" s="14"/>
      <c r="D134" s="14"/>
      <c r="E134" s="14">
        <v>98.1</v>
      </c>
      <c r="F134" s="14">
        <v>39.200000000000003</v>
      </c>
      <c r="G134" s="71">
        <v>19.600000000000001</v>
      </c>
      <c r="H134" s="8">
        <f>G134-C134</f>
        <v>19.600000000000001</v>
      </c>
      <c r="I134" s="8"/>
      <c r="J134" s="8">
        <f>G134/E134*100</f>
        <v>19.979612640163104</v>
      </c>
      <c r="K134" s="8">
        <f>G134-E134</f>
        <v>-78.5</v>
      </c>
    </row>
    <row r="135" spans="1:11" ht="37.5" x14ac:dyDescent="0.2">
      <c r="A135" s="32" t="s">
        <v>213</v>
      </c>
      <c r="B135" s="73" t="s">
        <v>232</v>
      </c>
      <c r="C135" s="14">
        <v>655.20000000000005</v>
      </c>
      <c r="D135" s="14"/>
      <c r="E135" s="14"/>
      <c r="F135" s="14"/>
      <c r="G135" s="71"/>
      <c r="H135" s="8">
        <f>G135-C136</f>
        <v>0</v>
      </c>
      <c r="I135" s="74"/>
      <c r="J135" s="8"/>
      <c r="K135" s="8">
        <f t="shared" ref="K135:K140" si="30">G135-E135</f>
        <v>0</v>
      </c>
    </row>
    <row r="136" spans="1:11" ht="198.75" customHeight="1" x14ac:dyDescent="0.2">
      <c r="A136" s="32" t="s">
        <v>58</v>
      </c>
      <c r="B136" s="35" t="s">
        <v>205</v>
      </c>
      <c r="C136" s="75"/>
      <c r="D136" s="75"/>
      <c r="E136" s="75">
        <v>10037.4</v>
      </c>
      <c r="F136" s="75">
        <v>0</v>
      </c>
      <c r="G136" s="76"/>
      <c r="H136" s="8">
        <f>G136-C137</f>
        <v>0</v>
      </c>
      <c r="I136" s="74"/>
      <c r="J136" s="8">
        <f t="shared" ref="J136:J141" si="31">G136/E136*100</f>
        <v>0</v>
      </c>
      <c r="K136" s="8">
        <f t="shared" si="30"/>
        <v>-10037.4</v>
      </c>
    </row>
    <row r="137" spans="1:11" ht="207" customHeight="1" x14ac:dyDescent="0.2">
      <c r="A137" s="32" t="s">
        <v>236</v>
      </c>
      <c r="B137" s="35" t="s">
        <v>205</v>
      </c>
      <c r="C137" s="75"/>
      <c r="D137" s="75"/>
      <c r="E137" s="75">
        <v>13573.2</v>
      </c>
      <c r="F137" s="75">
        <v>11565.7</v>
      </c>
      <c r="G137" s="76">
        <f>3648.4+7917.2-511.4-1.2</f>
        <v>11053</v>
      </c>
      <c r="H137" s="8">
        <f>G137-C138</f>
        <v>11053</v>
      </c>
      <c r="I137" s="74"/>
      <c r="J137" s="8">
        <f t="shared" si="31"/>
        <v>81.432528806766271</v>
      </c>
      <c r="K137" s="8">
        <f t="shared" si="30"/>
        <v>-2520.2000000000007</v>
      </c>
    </row>
    <row r="138" spans="1:11" ht="210" customHeight="1" x14ac:dyDescent="0.2">
      <c r="A138" s="32" t="s">
        <v>237</v>
      </c>
      <c r="B138" s="35" t="s">
        <v>205</v>
      </c>
      <c r="C138" s="75"/>
      <c r="D138" s="75"/>
      <c r="E138" s="75">
        <v>171.9</v>
      </c>
      <c r="F138" s="75">
        <v>171.9</v>
      </c>
      <c r="G138" s="76">
        <v>171.9</v>
      </c>
      <c r="H138" s="8">
        <f>G138-C139</f>
        <v>171.9</v>
      </c>
      <c r="I138" s="74"/>
      <c r="J138" s="8">
        <f t="shared" si="31"/>
        <v>100</v>
      </c>
      <c r="K138" s="8">
        <f t="shared" si="30"/>
        <v>0</v>
      </c>
    </row>
    <row r="139" spans="1:11" ht="204.75" customHeight="1" x14ac:dyDescent="0.2">
      <c r="A139" s="32" t="s">
        <v>238</v>
      </c>
      <c r="B139" s="35" t="s">
        <v>205</v>
      </c>
      <c r="C139" s="75"/>
      <c r="D139" s="75"/>
      <c r="E139" s="75">
        <v>308.10000000000002</v>
      </c>
      <c r="F139" s="75">
        <v>308.10000000000002</v>
      </c>
      <c r="G139" s="76">
        <v>308.10000000000002</v>
      </c>
      <c r="H139" s="8">
        <f>G139-C141</f>
        <v>-31.899999999999977</v>
      </c>
      <c r="I139" s="74"/>
      <c r="J139" s="8">
        <f t="shared" si="31"/>
        <v>100</v>
      </c>
      <c r="K139" s="8">
        <f t="shared" si="30"/>
        <v>0</v>
      </c>
    </row>
    <row r="140" spans="1:11" ht="206.25" x14ac:dyDescent="0.2">
      <c r="A140" s="32" t="s">
        <v>239</v>
      </c>
      <c r="B140" s="35" t="s">
        <v>266</v>
      </c>
      <c r="C140" s="75"/>
      <c r="D140" s="75"/>
      <c r="E140" s="75">
        <v>374.7</v>
      </c>
      <c r="F140" s="75">
        <v>374.7</v>
      </c>
      <c r="G140" s="75">
        <v>254</v>
      </c>
      <c r="H140" s="8"/>
      <c r="I140" s="74"/>
      <c r="J140" s="8">
        <f t="shared" si="31"/>
        <v>67.787563384040567</v>
      </c>
      <c r="K140" s="8">
        <f t="shared" si="30"/>
        <v>-120.69999999999999</v>
      </c>
    </row>
    <row r="141" spans="1:11" ht="50.25" customHeight="1" x14ac:dyDescent="0.2">
      <c r="A141" s="37"/>
      <c r="B141" s="69" t="s">
        <v>29</v>
      </c>
      <c r="C141" s="7">
        <f>C152+C153+C154+C149+C148+C144+C160+C163+C150+C151+C145+C146+C147+C161+C162</f>
        <v>340</v>
      </c>
      <c r="D141" s="7">
        <f>D152+D153+D154+D149+D148+D144+D160+D163+D150+D151+D145+D146+D147+D161+D162</f>
        <v>875.69999999999993</v>
      </c>
      <c r="E141" s="7">
        <f>E143+E152+E153+E154+E149+E148+E144+E160+E163+E150+E151+E145+E146+E147+E161+E162+E155+E156+E158+E159+E157</f>
        <v>7275.7</v>
      </c>
      <c r="F141" s="7">
        <f>F143+F152+F153+F154+F149+F148+F144+F160+F163+F150+F151+F145+F146+F147+F161+F162+F155+F156+F158+F159+F157</f>
        <v>6848</v>
      </c>
      <c r="G141" s="7">
        <f>G143+G152+G153+G154+G149+G148+G144+G160+G163+G150+G151+G145+G146+G147+G161+G162+G155+G156+G158+G159+G157</f>
        <v>3029.2</v>
      </c>
      <c r="H141" s="1">
        <f>G141-C141</f>
        <v>2689.2</v>
      </c>
      <c r="I141" s="1">
        <f>((G141/C141)*100)-100</f>
        <v>790.94117647058818</v>
      </c>
      <c r="J141" s="1">
        <f t="shared" si="31"/>
        <v>41.634481905521113</v>
      </c>
      <c r="K141" s="1">
        <f>G141-E141</f>
        <v>-4246.5</v>
      </c>
    </row>
    <row r="142" spans="1:11" x14ac:dyDescent="0.2">
      <c r="A142" s="77"/>
      <c r="B142" s="46" t="s">
        <v>20</v>
      </c>
      <c r="C142" s="5"/>
      <c r="D142" s="6"/>
      <c r="E142" s="6"/>
      <c r="F142" s="6"/>
      <c r="G142" s="5"/>
      <c r="H142" s="1">
        <f>G142-C142</f>
        <v>0</v>
      </c>
      <c r="I142" s="1"/>
      <c r="J142" s="1"/>
      <c r="K142" s="1">
        <f t="shared" ref="K142:K151" si="32">G142-E142</f>
        <v>0</v>
      </c>
    </row>
    <row r="143" spans="1:11" ht="140.25" customHeight="1" x14ac:dyDescent="0.2">
      <c r="A143" s="78" t="s">
        <v>58</v>
      </c>
      <c r="B143" s="46" t="s">
        <v>263</v>
      </c>
      <c r="C143" s="5"/>
      <c r="D143" s="6"/>
      <c r="E143" s="6">
        <v>30</v>
      </c>
      <c r="F143" s="6">
        <v>30</v>
      </c>
      <c r="G143" s="5"/>
      <c r="H143" s="8">
        <f>G143-C143</f>
        <v>0</v>
      </c>
      <c r="I143" s="1"/>
      <c r="J143" s="8">
        <f t="shared" ref="J143:J164" si="33">G143/E143*100</f>
        <v>0</v>
      </c>
      <c r="K143" s="1">
        <f t="shared" si="32"/>
        <v>-30</v>
      </c>
    </row>
    <row r="144" spans="1:11" ht="152.25" customHeight="1" x14ac:dyDescent="0.2">
      <c r="A144" s="79">
        <v>1010</v>
      </c>
      <c r="B144" s="46" t="s">
        <v>194</v>
      </c>
      <c r="C144" s="5"/>
      <c r="D144" s="6"/>
      <c r="E144" s="6">
        <v>60</v>
      </c>
      <c r="F144" s="6">
        <v>60</v>
      </c>
      <c r="G144" s="5">
        <v>60</v>
      </c>
      <c r="H144" s="8">
        <f>G144-C144</f>
        <v>60</v>
      </c>
      <c r="I144" s="1"/>
      <c r="J144" s="8">
        <f t="shared" si="33"/>
        <v>100</v>
      </c>
      <c r="K144" s="1">
        <f t="shared" si="32"/>
        <v>0</v>
      </c>
    </row>
    <row r="145" spans="1:11" ht="161.25" customHeight="1" x14ac:dyDescent="0.2">
      <c r="A145" s="79">
        <v>1010</v>
      </c>
      <c r="B145" s="46" t="s">
        <v>233</v>
      </c>
      <c r="C145" s="5"/>
      <c r="D145" s="6"/>
      <c r="E145" s="6">
        <v>82</v>
      </c>
      <c r="F145" s="6">
        <v>82</v>
      </c>
      <c r="G145" s="5"/>
      <c r="H145" s="1"/>
      <c r="I145" s="1"/>
      <c r="J145" s="8"/>
      <c r="K145" s="1"/>
    </row>
    <row r="146" spans="1:11" ht="93.75" x14ac:dyDescent="0.2">
      <c r="A146" s="79">
        <v>1021</v>
      </c>
      <c r="B146" s="40" t="s">
        <v>235</v>
      </c>
      <c r="C146" s="5"/>
      <c r="D146" s="6"/>
      <c r="E146" s="6">
        <v>160</v>
      </c>
      <c r="F146" s="6">
        <v>160</v>
      </c>
      <c r="G146" s="5"/>
      <c r="H146" s="1"/>
      <c r="I146" s="1"/>
      <c r="J146" s="8"/>
      <c r="K146" s="1"/>
    </row>
    <row r="147" spans="1:11" ht="102" customHeight="1" x14ac:dyDescent="0.2">
      <c r="A147" s="79">
        <v>1021</v>
      </c>
      <c r="B147" s="40" t="s">
        <v>234</v>
      </c>
      <c r="C147" s="5"/>
      <c r="D147" s="6"/>
      <c r="E147" s="6">
        <v>50</v>
      </c>
      <c r="F147" s="6">
        <v>50</v>
      </c>
      <c r="G147" s="5">
        <v>50</v>
      </c>
      <c r="H147" s="1"/>
      <c r="I147" s="1"/>
      <c r="J147" s="8"/>
      <c r="K147" s="1"/>
    </row>
    <row r="148" spans="1:11" ht="119.25" customHeight="1" x14ac:dyDescent="0.2">
      <c r="A148" s="79">
        <v>1021</v>
      </c>
      <c r="B148" s="40" t="s">
        <v>195</v>
      </c>
      <c r="C148" s="5"/>
      <c r="D148" s="6"/>
      <c r="E148" s="6">
        <v>49.5</v>
      </c>
      <c r="F148" s="6">
        <v>49.5</v>
      </c>
      <c r="G148" s="5">
        <v>49.5</v>
      </c>
      <c r="H148" s="1"/>
      <c r="I148" s="1"/>
      <c r="J148" s="8">
        <f t="shared" si="33"/>
        <v>100</v>
      </c>
      <c r="K148" s="1">
        <f t="shared" si="32"/>
        <v>0</v>
      </c>
    </row>
    <row r="149" spans="1:11" ht="121.5" customHeight="1" x14ac:dyDescent="0.2">
      <c r="A149" s="79">
        <v>1021</v>
      </c>
      <c r="B149" s="40" t="s">
        <v>196</v>
      </c>
      <c r="C149" s="5"/>
      <c r="D149" s="6"/>
      <c r="E149" s="6">
        <v>370</v>
      </c>
      <c r="F149" s="6">
        <v>370</v>
      </c>
      <c r="G149" s="5"/>
      <c r="H149" s="1">
        <f>G149-C149</f>
        <v>0</v>
      </c>
      <c r="I149" s="1"/>
      <c r="J149" s="8">
        <f t="shared" si="33"/>
        <v>0</v>
      </c>
      <c r="K149" s="1">
        <f t="shared" si="32"/>
        <v>-370</v>
      </c>
    </row>
    <row r="150" spans="1:11" ht="168.75" x14ac:dyDescent="0.2">
      <c r="A150" s="79">
        <v>2010</v>
      </c>
      <c r="B150" s="40" t="s">
        <v>206</v>
      </c>
      <c r="C150" s="5"/>
      <c r="D150" s="6"/>
      <c r="E150" s="6">
        <v>900</v>
      </c>
      <c r="F150" s="6">
        <v>900</v>
      </c>
      <c r="G150" s="5"/>
      <c r="H150" s="1"/>
      <c r="I150" s="1"/>
      <c r="J150" s="8">
        <f t="shared" si="33"/>
        <v>0</v>
      </c>
      <c r="K150" s="1">
        <f t="shared" si="32"/>
        <v>-900</v>
      </c>
    </row>
    <row r="151" spans="1:11" ht="87" customHeight="1" x14ac:dyDescent="0.2">
      <c r="A151" s="37" t="s">
        <v>208</v>
      </c>
      <c r="B151" s="40" t="s">
        <v>207</v>
      </c>
      <c r="C151" s="5"/>
      <c r="D151" s="6"/>
      <c r="E151" s="6">
        <v>500</v>
      </c>
      <c r="F151" s="6">
        <v>500</v>
      </c>
      <c r="G151" s="5"/>
      <c r="H151" s="1"/>
      <c r="I151" s="1"/>
      <c r="J151" s="8">
        <f t="shared" si="33"/>
        <v>0</v>
      </c>
      <c r="K151" s="1">
        <f t="shared" si="32"/>
        <v>-500</v>
      </c>
    </row>
    <row r="152" spans="1:11" s="12" customFormat="1" ht="131.25" x14ac:dyDescent="0.2">
      <c r="A152" s="37" t="s">
        <v>75</v>
      </c>
      <c r="B152" s="46" t="s">
        <v>118</v>
      </c>
      <c r="C152" s="36">
        <v>258.7</v>
      </c>
      <c r="D152" s="8">
        <v>422.1</v>
      </c>
      <c r="E152" s="8">
        <v>610.1</v>
      </c>
      <c r="F152" s="8">
        <v>417.1</v>
      </c>
      <c r="G152" s="36">
        <v>304.89999999999998</v>
      </c>
      <c r="H152" s="8">
        <f t="shared" ref="H152:H164" si="34">G152-C152</f>
        <v>46.199999999999989</v>
      </c>
      <c r="I152" s="8">
        <f>((G152/C152)*100)-100</f>
        <v>17.858523386161579</v>
      </c>
      <c r="J152" s="8">
        <f t="shared" si="33"/>
        <v>49.975413866579245</v>
      </c>
      <c r="K152" s="8">
        <f t="shared" ref="K152:K164" si="35">G152-E152</f>
        <v>-305.20000000000005</v>
      </c>
    </row>
    <row r="153" spans="1:11" ht="37.5" x14ac:dyDescent="0.2">
      <c r="A153" s="80" t="s">
        <v>70</v>
      </c>
      <c r="B153" s="81" t="s">
        <v>30</v>
      </c>
      <c r="C153" s="14">
        <v>15.7</v>
      </c>
      <c r="D153" s="14">
        <v>150.19999999999999</v>
      </c>
      <c r="E153" s="14">
        <v>130.19999999999999</v>
      </c>
      <c r="F153" s="14">
        <v>52.2</v>
      </c>
      <c r="G153" s="82">
        <v>39</v>
      </c>
      <c r="H153" s="8">
        <f t="shared" si="34"/>
        <v>23.3</v>
      </c>
      <c r="I153" s="8">
        <f>((G153/C153)*100)-100</f>
        <v>148.4076433121019</v>
      </c>
      <c r="J153" s="8">
        <f t="shared" si="33"/>
        <v>29.953917050691249</v>
      </c>
      <c r="K153" s="8">
        <f t="shared" si="35"/>
        <v>-91.199999999999989</v>
      </c>
    </row>
    <row r="154" spans="1:11" ht="84.75" customHeight="1" x14ac:dyDescent="0.2">
      <c r="A154" s="80" t="s">
        <v>71</v>
      </c>
      <c r="B154" s="83" t="s">
        <v>31</v>
      </c>
      <c r="C154" s="14">
        <v>65.599999999999994</v>
      </c>
      <c r="D154" s="14">
        <v>303.39999999999998</v>
      </c>
      <c r="E154" s="14">
        <v>303.39999999999998</v>
      </c>
      <c r="F154" s="14">
        <v>146.69999999999999</v>
      </c>
      <c r="G154" s="14">
        <v>146.69999999999999</v>
      </c>
      <c r="H154" s="8">
        <f t="shared" si="34"/>
        <v>81.099999999999994</v>
      </c>
      <c r="I154" s="8">
        <f>((G154/C154)*100)-100</f>
        <v>123.6280487804878</v>
      </c>
      <c r="J154" s="8">
        <f t="shared" si="33"/>
        <v>48.352010547132494</v>
      </c>
      <c r="K154" s="8">
        <f t="shared" si="35"/>
        <v>-156.69999999999999</v>
      </c>
    </row>
    <row r="155" spans="1:11" ht="168.75" x14ac:dyDescent="0.2">
      <c r="A155" s="80" t="s">
        <v>244</v>
      </c>
      <c r="B155" s="83" t="s">
        <v>245</v>
      </c>
      <c r="C155" s="14"/>
      <c r="D155" s="14"/>
      <c r="E155" s="14">
        <v>49</v>
      </c>
      <c r="F155" s="14">
        <v>49</v>
      </c>
      <c r="G155" s="14"/>
      <c r="H155" s="6">
        <f t="shared" si="34"/>
        <v>0</v>
      </c>
      <c r="I155" s="6"/>
      <c r="J155" s="6">
        <f>G155/E155*100</f>
        <v>0</v>
      </c>
      <c r="K155" s="6">
        <f t="shared" si="35"/>
        <v>-49</v>
      </c>
    </row>
    <row r="156" spans="1:11" ht="168.75" x14ac:dyDescent="0.2">
      <c r="A156" s="80" t="s">
        <v>244</v>
      </c>
      <c r="B156" s="83" t="s">
        <v>246</v>
      </c>
      <c r="C156" s="14"/>
      <c r="D156" s="14"/>
      <c r="E156" s="14">
        <v>49</v>
      </c>
      <c r="F156" s="14">
        <v>49</v>
      </c>
      <c r="G156" s="14"/>
      <c r="H156" s="6">
        <f t="shared" si="34"/>
        <v>0</v>
      </c>
      <c r="I156" s="6"/>
      <c r="J156" s="6">
        <f>G156/E156*100</f>
        <v>0</v>
      </c>
      <c r="K156" s="6">
        <f t="shared" si="35"/>
        <v>-49</v>
      </c>
    </row>
    <row r="157" spans="1:11" ht="168.75" x14ac:dyDescent="0.2">
      <c r="A157" s="80" t="s">
        <v>244</v>
      </c>
      <c r="B157" s="83" t="s">
        <v>247</v>
      </c>
      <c r="C157" s="14"/>
      <c r="D157" s="14"/>
      <c r="E157" s="14">
        <v>49</v>
      </c>
      <c r="F157" s="14">
        <v>49</v>
      </c>
      <c r="G157" s="14"/>
      <c r="H157" s="6">
        <f t="shared" si="34"/>
        <v>0</v>
      </c>
      <c r="I157" s="6"/>
      <c r="J157" s="6">
        <f>G157/E157*100</f>
        <v>0</v>
      </c>
      <c r="K157" s="6">
        <f t="shared" si="35"/>
        <v>-49</v>
      </c>
    </row>
    <row r="158" spans="1:11" ht="168.75" x14ac:dyDescent="0.2">
      <c r="A158" s="80" t="s">
        <v>244</v>
      </c>
      <c r="B158" s="83" t="s">
        <v>248</v>
      </c>
      <c r="C158" s="14"/>
      <c r="D158" s="14"/>
      <c r="E158" s="14">
        <v>49</v>
      </c>
      <c r="F158" s="14">
        <v>49</v>
      </c>
      <c r="G158" s="14"/>
      <c r="H158" s="6">
        <f t="shared" si="34"/>
        <v>0</v>
      </c>
      <c r="I158" s="6"/>
      <c r="J158" s="6">
        <f>G158/E158*100</f>
        <v>0</v>
      </c>
      <c r="K158" s="6">
        <f t="shared" si="35"/>
        <v>-49</v>
      </c>
    </row>
    <row r="159" spans="1:11" ht="168.75" x14ac:dyDescent="0.2">
      <c r="A159" s="80" t="s">
        <v>244</v>
      </c>
      <c r="B159" s="83" t="s">
        <v>249</v>
      </c>
      <c r="C159" s="14"/>
      <c r="D159" s="14"/>
      <c r="E159" s="14">
        <v>49</v>
      </c>
      <c r="F159" s="14">
        <v>49</v>
      </c>
      <c r="G159" s="14"/>
      <c r="H159" s="6">
        <f t="shared" si="34"/>
        <v>0</v>
      </c>
      <c r="I159" s="6"/>
      <c r="J159" s="6">
        <f>G159/E159*100</f>
        <v>0</v>
      </c>
      <c r="K159" s="6">
        <f t="shared" si="35"/>
        <v>-49</v>
      </c>
    </row>
    <row r="160" spans="1:11" ht="84.75" customHeight="1" x14ac:dyDescent="0.2">
      <c r="A160" s="80" t="s">
        <v>210</v>
      </c>
      <c r="B160" s="83" t="s">
        <v>209</v>
      </c>
      <c r="C160" s="14"/>
      <c r="D160" s="14"/>
      <c r="E160" s="14">
        <v>3605.5</v>
      </c>
      <c r="F160" s="14">
        <v>3605.5</v>
      </c>
      <c r="G160" s="14">
        <v>2379.1</v>
      </c>
      <c r="H160" s="6">
        <f t="shared" si="34"/>
        <v>2379.1</v>
      </c>
      <c r="I160" s="6"/>
      <c r="J160" s="6">
        <f t="shared" si="33"/>
        <v>65.985300235750927</v>
      </c>
      <c r="K160" s="6">
        <f t="shared" si="35"/>
        <v>-1226.4000000000001</v>
      </c>
    </row>
    <row r="161" spans="1:11" ht="112.5" x14ac:dyDescent="0.2">
      <c r="A161" s="80" t="s">
        <v>210</v>
      </c>
      <c r="B161" s="83" t="s">
        <v>242</v>
      </c>
      <c r="C161" s="14"/>
      <c r="D161" s="14"/>
      <c r="E161" s="14">
        <v>20</v>
      </c>
      <c r="F161" s="14">
        <v>20</v>
      </c>
      <c r="G161" s="14"/>
      <c r="H161" s="6">
        <f t="shared" si="34"/>
        <v>0</v>
      </c>
      <c r="I161" s="6"/>
      <c r="J161" s="6">
        <f>G161/E161*100</f>
        <v>0</v>
      </c>
      <c r="K161" s="6">
        <f t="shared" si="35"/>
        <v>-20</v>
      </c>
    </row>
    <row r="162" spans="1:11" ht="112.5" x14ac:dyDescent="0.2">
      <c r="A162" s="80" t="s">
        <v>210</v>
      </c>
      <c r="B162" s="83" t="s">
        <v>243</v>
      </c>
      <c r="C162" s="14"/>
      <c r="D162" s="14"/>
      <c r="E162" s="14">
        <v>110</v>
      </c>
      <c r="F162" s="14">
        <v>110</v>
      </c>
      <c r="G162" s="14"/>
      <c r="H162" s="6">
        <f t="shared" si="34"/>
        <v>0</v>
      </c>
      <c r="I162" s="6"/>
      <c r="J162" s="6">
        <f>G162/E162*100</f>
        <v>0</v>
      </c>
      <c r="K162" s="6">
        <f t="shared" si="35"/>
        <v>-110</v>
      </c>
    </row>
    <row r="163" spans="1:11" ht="146.25" customHeight="1" x14ac:dyDescent="0.2">
      <c r="A163" s="80" t="s">
        <v>210</v>
      </c>
      <c r="B163" s="83" t="s">
        <v>211</v>
      </c>
      <c r="C163" s="14"/>
      <c r="D163" s="14"/>
      <c r="E163" s="14">
        <v>50</v>
      </c>
      <c r="F163" s="14">
        <v>50</v>
      </c>
      <c r="G163" s="84"/>
      <c r="H163" s="6">
        <f t="shared" si="34"/>
        <v>0</v>
      </c>
      <c r="I163" s="6"/>
      <c r="J163" s="6">
        <f>G163/E163*100</f>
        <v>0</v>
      </c>
      <c r="K163" s="6">
        <f t="shared" si="35"/>
        <v>-50</v>
      </c>
    </row>
    <row r="164" spans="1:11" ht="42.75" customHeight="1" x14ac:dyDescent="0.2">
      <c r="A164" s="110" t="s">
        <v>32</v>
      </c>
      <c r="B164" s="110"/>
      <c r="C164" s="7">
        <f>C128+C129+C141</f>
        <v>1391470.5000000002</v>
      </c>
      <c r="D164" s="7">
        <f>D128+D129+D141</f>
        <v>2796875.7</v>
      </c>
      <c r="E164" s="7">
        <f>E128+E129+E141</f>
        <v>3467178.2</v>
      </c>
      <c r="F164" s="7">
        <f>F128+F129+F141</f>
        <v>2241262.2999999998</v>
      </c>
      <c r="G164" s="7">
        <f>G128+G129+G141</f>
        <v>1663088.2999999998</v>
      </c>
      <c r="H164" s="8">
        <f t="shared" si="34"/>
        <v>271617.79999999958</v>
      </c>
      <c r="I164" s="8">
        <f>((G164/C164)*100)-100</f>
        <v>19.520198236326209</v>
      </c>
      <c r="J164" s="8">
        <f t="shared" si="33"/>
        <v>47.966623117323472</v>
      </c>
      <c r="K164" s="8">
        <f t="shared" si="35"/>
        <v>-1804089.9000000004</v>
      </c>
    </row>
    <row r="165" spans="1:11" ht="20.25" x14ac:dyDescent="0.2">
      <c r="A165" s="111" t="s">
        <v>33</v>
      </c>
      <c r="B165" s="111"/>
      <c r="C165" s="111"/>
      <c r="D165" s="111"/>
      <c r="E165" s="111"/>
      <c r="F165" s="111"/>
      <c r="G165" s="111"/>
      <c r="H165" s="111"/>
      <c r="I165" s="111"/>
      <c r="J165" s="111"/>
      <c r="K165" s="111"/>
    </row>
    <row r="166" spans="1:11" x14ac:dyDescent="0.2">
      <c r="A166" s="80" t="s">
        <v>76</v>
      </c>
      <c r="B166" s="85" t="s">
        <v>59</v>
      </c>
      <c r="C166" s="7"/>
      <c r="D166" s="7"/>
      <c r="E166" s="7">
        <v>683.6</v>
      </c>
      <c r="F166" s="7">
        <v>683.6</v>
      </c>
      <c r="G166" s="7">
        <v>683.6</v>
      </c>
      <c r="H166" s="7">
        <f>G166-C166</f>
        <v>683.6</v>
      </c>
      <c r="I166" s="7"/>
      <c r="J166" s="7">
        <f>G166/E166*100</f>
        <v>100</v>
      </c>
      <c r="K166" s="8">
        <f>G166-E166</f>
        <v>0</v>
      </c>
    </row>
    <row r="167" spans="1:11" ht="37.5" x14ac:dyDescent="0.2">
      <c r="A167" s="80" t="s">
        <v>58</v>
      </c>
      <c r="B167" s="86" t="s">
        <v>68</v>
      </c>
      <c r="C167" s="7">
        <v>25.6</v>
      </c>
      <c r="D167" s="7"/>
      <c r="E167" s="7">
        <v>14000</v>
      </c>
      <c r="F167" s="7">
        <v>14000</v>
      </c>
      <c r="G167" s="7">
        <v>14000</v>
      </c>
      <c r="H167" s="7">
        <f t="shared" ref="H167:H215" si="36">G167-C167</f>
        <v>13974.4</v>
      </c>
      <c r="I167" s="7">
        <f>((G167/C167)*100)-100</f>
        <v>54587.5</v>
      </c>
      <c r="J167" s="7">
        <f t="shared" ref="J167:J215" si="37">G167/E167*100</f>
        <v>100</v>
      </c>
      <c r="K167" s="8">
        <f t="shared" ref="K167:K215" si="38">G167-E167</f>
        <v>0</v>
      </c>
    </row>
    <row r="168" spans="1:11" s="15" customFormat="1" x14ac:dyDescent="0.2">
      <c r="A168" s="87" t="s">
        <v>57</v>
      </c>
      <c r="B168" s="86" t="s">
        <v>4</v>
      </c>
      <c r="C168" s="7">
        <v>1126.7</v>
      </c>
      <c r="D168" s="7"/>
      <c r="E168" s="7">
        <v>3184.6</v>
      </c>
      <c r="F168" s="7">
        <v>3184.6</v>
      </c>
      <c r="G168" s="7">
        <v>2126.6</v>
      </c>
      <c r="H168" s="7">
        <f>G168-C168</f>
        <v>999.89999999999986</v>
      </c>
      <c r="I168" s="7">
        <f>((G168/C168)*100)-100</f>
        <v>88.745895091861172</v>
      </c>
      <c r="J168" s="7">
        <f>G168/E168*100</f>
        <v>66.777617283175289</v>
      </c>
      <c r="K168" s="1">
        <f>G168-E168</f>
        <v>-1058</v>
      </c>
    </row>
    <row r="169" spans="1:11" s="13" customFormat="1" x14ac:dyDescent="0.2">
      <c r="A169" s="37"/>
      <c r="B169" s="40" t="s">
        <v>2</v>
      </c>
      <c r="C169" s="88"/>
      <c r="D169" s="88"/>
      <c r="E169" s="88"/>
      <c r="F169" s="88"/>
      <c r="G169" s="88"/>
      <c r="H169" s="7">
        <f t="shared" si="36"/>
        <v>0</v>
      </c>
      <c r="I169" s="7"/>
      <c r="J169" s="7"/>
      <c r="K169" s="8">
        <f t="shared" si="38"/>
        <v>0</v>
      </c>
    </row>
    <row r="170" spans="1:11" s="13" customFormat="1" ht="75" x14ac:dyDescent="0.2">
      <c r="A170" s="37"/>
      <c r="B170" s="38" t="s">
        <v>197</v>
      </c>
      <c r="C170" s="88"/>
      <c r="D170" s="88"/>
      <c r="E170" s="88">
        <v>20</v>
      </c>
      <c r="F170" s="88">
        <v>20</v>
      </c>
      <c r="G170" s="88">
        <v>20</v>
      </c>
      <c r="H170" s="8">
        <f>G170-C170</f>
        <v>20</v>
      </c>
      <c r="I170" s="7"/>
      <c r="J170" s="8">
        <f>G170/E170*100</f>
        <v>100</v>
      </c>
      <c r="K170" s="8">
        <f>G170-E170</f>
        <v>0</v>
      </c>
    </row>
    <row r="171" spans="1:11" ht="75" x14ac:dyDescent="0.2">
      <c r="A171" s="37"/>
      <c r="B171" s="38" t="s">
        <v>264</v>
      </c>
      <c r="C171" s="6"/>
      <c r="D171" s="6"/>
      <c r="E171" s="6">
        <v>1688.3</v>
      </c>
      <c r="F171" s="6">
        <v>1688.3</v>
      </c>
      <c r="G171" s="6">
        <v>1154.5999999999999</v>
      </c>
      <c r="H171" s="8">
        <f t="shared" si="36"/>
        <v>1154.5999999999999</v>
      </c>
      <c r="I171" s="7"/>
      <c r="J171" s="8">
        <f t="shared" si="37"/>
        <v>68.388319611443464</v>
      </c>
      <c r="K171" s="8">
        <f t="shared" si="38"/>
        <v>-533.70000000000005</v>
      </c>
    </row>
    <row r="172" spans="1:11" ht="93.75" x14ac:dyDescent="0.2">
      <c r="A172" s="37"/>
      <c r="B172" s="41" t="s">
        <v>161</v>
      </c>
      <c r="C172" s="6"/>
      <c r="D172" s="6"/>
      <c r="E172" s="6">
        <v>48.1</v>
      </c>
      <c r="F172" s="6">
        <v>48.1</v>
      </c>
      <c r="G172" s="6"/>
      <c r="H172" s="8">
        <f>G172-C172</f>
        <v>0</v>
      </c>
      <c r="I172" s="7"/>
      <c r="J172" s="8">
        <f>G172/E172*100</f>
        <v>0</v>
      </c>
      <c r="K172" s="8">
        <f>G172-E172</f>
        <v>-48.1</v>
      </c>
    </row>
    <row r="173" spans="1:11" s="15" customFormat="1" x14ac:dyDescent="0.2">
      <c r="A173" s="87" t="s">
        <v>60</v>
      </c>
      <c r="B173" s="86" t="s">
        <v>7</v>
      </c>
      <c r="C173" s="7">
        <v>3364</v>
      </c>
      <c r="D173" s="7"/>
      <c r="E173" s="7">
        <v>1343.9</v>
      </c>
      <c r="F173" s="7">
        <v>1343.9</v>
      </c>
      <c r="G173" s="7">
        <f>839.8+0.1</f>
        <v>839.9</v>
      </c>
      <c r="H173" s="7">
        <f t="shared" si="36"/>
        <v>-2524.1</v>
      </c>
      <c r="I173" s="7">
        <f>((G173/C173)*100)-100</f>
        <v>-75.032699167657555</v>
      </c>
      <c r="J173" s="7">
        <f t="shared" si="37"/>
        <v>62.497209613810547</v>
      </c>
      <c r="K173" s="1">
        <f t="shared" si="38"/>
        <v>-504.00000000000011</v>
      </c>
    </row>
    <row r="174" spans="1:11" ht="37.5" x14ac:dyDescent="0.2">
      <c r="A174" s="87" t="s">
        <v>61</v>
      </c>
      <c r="B174" s="86" t="s">
        <v>62</v>
      </c>
      <c r="C174" s="1"/>
      <c r="D174" s="1"/>
      <c r="E174" s="1">
        <v>249.3</v>
      </c>
      <c r="F174" s="1">
        <v>249.3</v>
      </c>
      <c r="G174" s="1">
        <v>249.3</v>
      </c>
      <c r="H174" s="7">
        <f t="shared" si="36"/>
        <v>249.3</v>
      </c>
      <c r="I174" s="7"/>
      <c r="J174" s="7">
        <f t="shared" si="37"/>
        <v>100</v>
      </c>
      <c r="K174" s="8">
        <f t="shared" si="38"/>
        <v>0</v>
      </c>
    </row>
    <row r="175" spans="1:11" x14ac:dyDescent="0.2">
      <c r="A175" s="87" t="s">
        <v>63</v>
      </c>
      <c r="B175" s="86" t="s">
        <v>252</v>
      </c>
      <c r="C175" s="1"/>
      <c r="D175" s="1"/>
      <c r="E175" s="1">
        <v>3</v>
      </c>
      <c r="F175" s="1">
        <v>3</v>
      </c>
      <c r="G175" s="1">
        <v>3</v>
      </c>
      <c r="H175" s="7">
        <f>G175-C175</f>
        <v>3</v>
      </c>
      <c r="I175" s="7"/>
      <c r="J175" s="7">
        <f>G175/E175*100</f>
        <v>100</v>
      </c>
      <c r="K175" s="8">
        <f>G175-E175</f>
        <v>0</v>
      </c>
    </row>
    <row r="176" spans="1:11" x14ac:dyDescent="0.2">
      <c r="A176" s="87"/>
      <c r="B176" s="40" t="s">
        <v>2</v>
      </c>
      <c r="C176" s="1"/>
      <c r="D176" s="1"/>
      <c r="E176" s="1"/>
      <c r="F176" s="1"/>
      <c r="G176" s="1"/>
      <c r="H176" s="7">
        <f>G176-C176</f>
        <v>0</v>
      </c>
      <c r="I176" s="7"/>
      <c r="J176" s="7"/>
      <c r="K176" s="8">
        <f>G176-E176</f>
        <v>0</v>
      </c>
    </row>
    <row r="177" spans="1:11" ht="75" x14ac:dyDescent="0.2">
      <c r="A177" s="87"/>
      <c r="B177" s="38" t="s">
        <v>240</v>
      </c>
      <c r="C177" s="1"/>
      <c r="D177" s="1"/>
      <c r="E177" s="8">
        <v>3</v>
      </c>
      <c r="F177" s="8">
        <v>3</v>
      </c>
      <c r="G177" s="8">
        <v>3</v>
      </c>
      <c r="H177" s="8">
        <f>G177-C177</f>
        <v>3</v>
      </c>
      <c r="I177" s="8"/>
      <c r="J177" s="8">
        <f>G177/E177*100</f>
        <v>100</v>
      </c>
      <c r="K177" s="8">
        <f>G177-E177</f>
        <v>0</v>
      </c>
    </row>
    <row r="178" spans="1:11" x14ac:dyDescent="0.2">
      <c r="A178" s="87" t="s">
        <v>64</v>
      </c>
      <c r="B178" s="86" t="s">
        <v>198</v>
      </c>
      <c r="C178" s="1"/>
      <c r="D178" s="1"/>
      <c r="E178" s="1">
        <v>2411</v>
      </c>
      <c r="F178" s="1">
        <v>2411</v>
      </c>
      <c r="G178" s="1"/>
      <c r="H178" s="7">
        <f t="shared" si="36"/>
        <v>0</v>
      </c>
      <c r="I178" s="7"/>
      <c r="J178" s="7">
        <f t="shared" si="37"/>
        <v>0</v>
      </c>
      <c r="K178" s="1">
        <f t="shared" si="38"/>
        <v>-2411</v>
      </c>
    </row>
    <row r="179" spans="1:11" s="13" customFormat="1" ht="37.5" x14ac:dyDescent="0.2">
      <c r="A179" s="87" t="s">
        <v>65</v>
      </c>
      <c r="B179" s="86" t="s">
        <v>66</v>
      </c>
      <c r="C179" s="89">
        <v>348.4</v>
      </c>
      <c r="D179" s="89"/>
      <c r="E179" s="89">
        <v>257.5</v>
      </c>
      <c r="F179" s="89">
        <v>257.5</v>
      </c>
      <c r="G179" s="89">
        <v>257.5</v>
      </c>
      <c r="H179" s="7">
        <f t="shared" si="36"/>
        <v>-90.899999999999977</v>
      </c>
      <c r="I179" s="7">
        <f>((G179/C179)*100)-100</f>
        <v>-26.090700344431681</v>
      </c>
      <c r="J179" s="7">
        <f t="shared" si="37"/>
        <v>100</v>
      </c>
      <c r="K179" s="8">
        <f t="shared" si="38"/>
        <v>0</v>
      </c>
    </row>
    <row r="180" spans="1:11" ht="37.5" x14ac:dyDescent="0.2">
      <c r="A180" s="47" t="s">
        <v>77</v>
      </c>
      <c r="B180" s="50" t="s">
        <v>78</v>
      </c>
      <c r="C180" s="1">
        <f>16520.9</f>
        <v>16520.900000000001</v>
      </c>
      <c r="D180" s="1">
        <v>234500</v>
      </c>
      <c r="E180" s="1">
        <v>258622.6</v>
      </c>
      <c r="F180" s="1">
        <v>243987.3</v>
      </c>
      <c r="G180" s="1">
        <v>58649</v>
      </c>
      <c r="H180" s="7">
        <f t="shared" si="36"/>
        <v>42128.1</v>
      </c>
      <c r="I180" s="7">
        <f>((G180/C180)*100)-100</f>
        <v>254.99881967689413</v>
      </c>
      <c r="J180" s="7">
        <f t="shared" si="37"/>
        <v>22.677445822600191</v>
      </c>
      <c r="K180" s="1">
        <f t="shared" si="38"/>
        <v>-199973.6</v>
      </c>
    </row>
    <row r="181" spans="1:11" ht="75" x14ac:dyDescent="0.2">
      <c r="A181" s="34"/>
      <c r="B181" s="38" t="s">
        <v>265</v>
      </c>
      <c r="C181" s="7"/>
      <c r="D181" s="8"/>
      <c r="E181" s="8">
        <v>15086.9</v>
      </c>
      <c r="F181" s="8">
        <v>15086.9</v>
      </c>
      <c r="G181" s="8">
        <v>3209.3</v>
      </c>
      <c r="H181" s="8">
        <f t="shared" si="36"/>
        <v>3209.3</v>
      </c>
      <c r="I181" s="8"/>
      <c r="J181" s="8">
        <f t="shared" si="37"/>
        <v>21.272096984801387</v>
      </c>
      <c r="K181" s="8">
        <f t="shared" si="38"/>
        <v>-11877.599999999999</v>
      </c>
    </row>
    <row r="182" spans="1:11" ht="93.75" x14ac:dyDescent="0.2">
      <c r="A182" s="34"/>
      <c r="B182" s="41" t="s">
        <v>161</v>
      </c>
      <c r="C182" s="7"/>
      <c r="D182" s="8"/>
      <c r="E182" s="8">
        <v>1398.8</v>
      </c>
      <c r="F182" s="8">
        <v>1398.8</v>
      </c>
      <c r="G182" s="8">
        <v>313.60000000000002</v>
      </c>
      <c r="H182" s="8">
        <f>G182-C182</f>
        <v>313.60000000000002</v>
      </c>
      <c r="I182" s="8"/>
      <c r="J182" s="8">
        <f>G182/E182*100</f>
        <v>22.419216471261084</v>
      </c>
      <c r="K182" s="8">
        <f>G182-E182</f>
        <v>-1085.1999999999998</v>
      </c>
    </row>
    <row r="183" spans="1:11" s="4" customFormat="1" ht="56.25" x14ac:dyDescent="0.2">
      <c r="A183" s="32" t="s">
        <v>251</v>
      </c>
      <c r="B183" s="90" t="s">
        <v>250</v>
      </c>
      <c r="C183" s="1"/>
      <c r="D183" s="1"/>
      <c r="E183" s="1">
        <v>6000</v>
      </c>
      <c r="F183" s="1">
        <v>6000</v>
      </c>
      <c r="G183" s="1"/>
      <c r="H183" s="7">
        <f>G183-C183</f>
        <v>0</v>
      </c>
      <c r="I183" s="7"/>
      <c r="J183" s="7">
        <f>G183/E183*100</f>
        <v>0</v>
      </c>
      <c r="K183" s="1">
        <f>G183-E183</f>
        <v>-6000</v>
      </c>
    </row>
    <row r="184" spans="1:11" ht="56.25" x14ac:dyDescent="0.2">
      <c r="A184" s="32" t="s">
        <v>141</v>
      </c>
      <c r="B184" s="45" t="s">
        <v>79</v>
      </c>
      <c r="C184" s="7">
        <f>SUM(C186:C188)</f>
        <v>44275.200000000004</v>
      </c>
      <c r="D184" s="7">
        <v>122700</v>
      </c>
      <c r="E184" s="7">
        <f>E186+E187+E188</f>
        <v>172311.1</v>
      </c>
      <c r="F184" s="7">
        <f>F186+F187+F188</f>
        <v>135596.09999999998</v>
      </c>
      <c r="G184" s="7">
        <f>G186+G187+G188</f>
        <v>96176.7</v>
      </c>
      <c r="H184" s="7">
        <f t="shared" si="36"/>
        <v>51901.499999999993</v>
      </c>
      <c r="I184" s="7">
        <f>((G184/C184)*100)-100</f>
        <v>117.22476691240237</v>
      </c>
      <c r="J184" s="7">
        <f t="shared" si="37"/>
        <v>55.81573096567778</v>
      </c>
      <c r="K184" s="1">
        <f t="shared" si="38"/>
        <v>-76134.400000000009</v>
      </c>
    </row>
    <row r="185" spans="1:11" x14ac:dyDescent="0.2">
      <c r="A185" s="37"/>
      <c r="B185" s="46" t="s">
        <v>20</v>
      </c>
      <c r="C185" s="6"/>
      <c r="D185" s="6"/>
      <c r="E185" s="6"/>
      <c r="F185" s="6"/>
      <c r="G185" s="6"/>
      <c r="H185" s="7">
        <f t="shared" si="36"/>
        <v>0</v>
      </c>
      <c r="I185" s="7"/>
      <c r="J185" s="7"/>
      <c r="K185" s="8">
        <f t="shared" si="38"/>
        <v>0</v>
      </c>
    </row>
    <row r="186" spans="1:11" ht="37.5" x14ac:dyDescent="0.2">
      <c r="A186" s="91">
        <v>7670</v>
      </c>
      <c r="B186" s="92" t="s">
        <v>67</v>
      </c>
      <c r="C186" s="8">
        <v>43472.4</v>
      </c>
      <c r="D186" s="8">
        <v>118000</v>
      </c>
      <c r="E186" s="8">
        <v>156928.70000000001</v>
      </c>
      <c r="F186" s="8">
        <v>122128.7</v>
      </c>
      <c r="G186" s="8">
        <f>87448.7</f>
        <v>87448.7</v>
      </c>
      <c r="H186" s="8">
        <f t="shared" si="36"/>
        <v>43976.299999999996</v>
      </c>
      <c r="I186" s="8">
        <f>((G186/C186)*100)-100</f>
        <v>101.15912625021849</v>
      </c>
      <c r="J186" s="8">
        <f t="shared" si="37"/>
        <v>55.725115928443934</v>
      </c>
      <c r="K186" s="8">
        <f t="shared" si="38"/>
        <v>-69480.000000000015</v>
      </c>
    </row>
    <row r="187" spans="1:11" s="4" customFormat="1" ht="225" x14ac:dyDescent="0.2">
      <c r="A187" s="34" t="s">
        <v>82</v>
      </c>
      <c r="B187" s="93" t="s">
        <v>83</v>
      </c>
      <c r="C187" s="36">
        <v>525</v>
      </c>
      <c r="D187" s="8">
        <v>4700</v>
      </c>
      <c r="E187" s="8">
        <v>5403.4</v>
      </c>
      <c r="F187" s="8">
        <v>3488.4</v>
      </c>
      <c r="G187" s="36">
        <v>2469.1999999999998</v>
      </c>
      <c r="H187" s="8">
        <f t="shared" si="36"/>
        <v>1944.1999999999998</v>
      </c>
      <c r="I187" s="8">
        <f>((G187/C187)*100)-100</f>
        <v>370.32380952380947</v>
      </c>
      <c r="J187" s="8">
        <f t="shared" si="37"/>
        <v>45.697153644001922</v>
      </c>
      <c r="K187" s="8">
        <f t="shared" si="38"/>
        <v>-2934.2</v>
      </c>
    </row>
    <row r="188" spans="1:11" s="4" customFormat="1" ht="37.5" x14ac:dyDescent="0.2">
      <c r="A188" s="34" t="s">
        <v>107</v>
      </c>
      <c r="B188" s="93" t="s">
        <v>148</v>
      </c>
      <c r="C188" s="36">
        <v>277.8</v>
      </c>
      <c r="D188" s="8"/>
      <c r="E188" s="8">
        <v>9979</v>
      </c>
      <c r="F188" s="8">
        <v>9979</v>
      </c>
      <c r="G188" s="36">
        <v>6258.8</v>
      </c>
      <c r="H188" s="8">
        <f t="shared" si="36"/>
        <v>5981</v>
      </c>
      <c r="I188" s="8">
        <f>((G188/C188)*100)-100</f>
        <v>2152.987760979122</v>
      </c>
      <c r="J188" s="8">
        <f t="shared" si="37"/>
        <v>62.719711393927248</v>
      </c>
      <c r="K188" s="8">
        <f t="shared" si="38"/>
        <v>-3720.2</v>
      </c>
    </row>
    <row r="189" spans="1:11" s="4" customFormat="1" ht="37.5" x14ac:dyDescent="0.2">
      <c r="A189" s="32" t="s">
        <v>127</v>
      </c>
      <c r="B189" s="94" t="s">
        <v>128</v>
      </c>
      <c r="C189" s="7">
        <v>30.9</v>
      </c>
      <c r="D189" s="1"/>
      <c r="E189" s="1">
        <v>10388.6</v>
      </c>
      <c r="F189" s="51">
        <v>10388.6</v>
      </c>
      <c r="G189" s="7">
        <v>5339.2</v>
      </c>
      <c r="H189" s="7">
        <f t="shared" si="36"/>
        <v>5308.3</v>
      </c>
      <c r="I189" s="7">
        <f>((G189/C189)*100)-100</f>
        <v>17178.964401294499</v>
      </c>
      <c r="J189" s="7">
        <f t="shared" si="37"/>
        <v>51.394798144119513</v>
      </c>
      <c r="K189" s="1">
        <f t="shared" si="38"/>
        <v>-5049.4000000000005</v>
      </c>
    </row>
    <row r="190" spans="1:11" ht="37.5" x14ac:dyDescent="0.2">
      <c r="A190" s="47" t="s">
        <v>80</v>
      </c>
      <c r="B190" s="50" t="s">
        <v>81</v>
      </c>
      <c r="C190" s="51"/>
      <c r="D190" s="1">
        <v>330</v>
      </c>
      <c r="E190" s="1">
        <v>768.8</v>
      </c>
      <c r="F190" s="1">
        <v>703.8</v>
      </c>
      <c r="G190" s="51">
        <v>398.9</v>
      </c>
      <c r="H190" s="7">
        <f t="shared" si="36"/>
        <v>398.9</v>
      </c>
      <c r="I190" s="7"/>
      <c r="J190" s="7">
        <f t="shared" si="37"/>
        <v>51.886056191467219</v>
      </c>
      <c r="K190" s="1">
        <f t="shared" si="38"/>
        <v>-369.9</v>
      </c>
    </row>
    <row r="191" spans="1:11" ht="112.5" x14ac:dyDescent="0.2">
      <c r="A191" s="47" t="s">
        <v>192</v>
      </c>
      <c r="B191" s="64" t="s">
        <v>193</v>
      </c>
      <c r="C191" s="51"/>
      <c r="D191" s="51"/>
      <c r="E191" s="51">
        <v>20589.7</v>
      </c>
      <c r="F191" s="51">
        <v>20589.7</v>
      </c>
      <c r="G191" s="51">
        <v>20589.7</v>
      </c>
      <c r="H191" s="7">
        <f t="shared" si="36"/>
        <v>20589.7</v>
      </c>
      <c r="I191" s="7"/>
      <c r="J191" s="7">
        <f t="shared" si="37"/>
        <v>100</v>
      </c>
      <c r="K191" s="8">
        <f t="shared" si="38"/>
        <v>0</v>
      </c>
    </row>
    <row r="192" spans="1:11" s="4" customFormat="1" ht="112.5" x14ac:dyDescent="0.2">
      <c r="A192" s="32" t="s">
        <v>129</v>
      </c>
      <c r="B192" s="50" t="s">
        <v>132</v>
      </c>
      <c r="C192" s="51">
        <f>C193+C194</f>
        <v>-257.3</v>
      </c>
      <c r="D192" s="51">
        <f>D193+D194</f>
        <v>0</v>
      </c>
      <c r="E192" s="51">
        <f>E193+E194</f>
        <v>0</v>
      </c>
      <c r="F192" s="51">
        <f>F193+F194</f>
        <v>0</v>
      </c>
      <c r="G192" s="51">
        <f>G193+G194</f>
        <v>-383.4</v>
      </c>
      <c r="H192" s="7">
        <f t="shared" si="36"/>
        <v>-126.09999999999997</v>
      </c>
      <c r="I192" s="7">
        <f>((G192/C192)*100)-100</f>
        <v>49.008938981733365</v>
      </c>
      <c r="J192" s="7"/>
      <c r="K192" s="1">
        <f t="shared" si="38"/>
        <v>-383.4</v>
      </c>
    </row>
    <row r="193" spans="1:15" ht="93.75" x14ac:dyDescent="0.2">
      <c r="A193" s="47"/>
      <c r="B193" s="48" t="s">
        <v>133</v>
      </c>
      <c r="C193" s="5"/>
      <c r="D193" s="6">
        <v>700</v>
      </c>
      <c r="E193" s="6">
        <v>700</v>
      </c>
      <c r="F193" s="6">
        <v>315</v>
      </c>
      <c r="G193" s="5"/>
      <c r="H193" s="7">
        <f t="shared" si="36"/>
        <v>0</v>
      </c>
      <c r="I193" s="7"/>
      <c r="J193" s="7">
        <f t="shared" si="37"/>
        <v>0</v>
      </c>
      <c r="K193" s="8">
        <f t="shared" si="38"/>
        <v>-700</v>
      </c>
    </row>
    <row r="194" spans="1:15" ht="112.5" x14ac:dyDescent="0.2">
      <c r="A194" s="47"/>
      <c r="B194" s="48" t="s">
        <v>134</v>
      </c>
      <c r="C194" s="36">
        <v>-257.3</v>
      </c>
      <c r="D194" s="6">
        <v>-700</v>
      </c>
      <c r="E194" s="6">
        <v>-700</v>
      </c>
      <c r="F194" s="6">
        <v>-315</v>
      </c>
      <c r="G194" s="36">
        <v>-383.4</v>
      </c>
      <c r="H194" s="8">
        <f t="shared" si="36"/>
        <v>-126.09999999999997</v>
      </c>
      <c r="I194" s="8">
        <f>((G194/C194)*100)-100</f>
        <v>49.008938981733365</v>
      </c>
      <c r="J194" s="8">
        <f t="shared" si="37"/>
        <v>54.771428571428572</v>
      </c>
      <c r="K194" s="8">
        <f t="shared" si="38"/>
        <v>316.60000000000002</v>
      </c>
    </row>
    <row r="195" spans="1:15" s="4" customFormat="1" ht="75" x14ac:dyDescent="0.2">
      <c r="A195" s="32" t="s">
        <v>130</v>
      </c>
      <c r="B195" s="50" t="s">
        <v>135</v>
      </c>
      <c r="C195" s="51">
        <f>C196+C197</f>
        <v>0</v>
      </c>
      <c r="D195" s="1">
        <f>D196+D197</f>
        <v>0</v>
      </c>
      <c r="E195" s="1">
        <f>E196+E197</f>
        <v>0</v>
      </c>
      <c r="F195" s="1">
        <f>F196+F197</f>
        <v>0</v>
      </c>
      <c r="G195" s="51">
        <f>G196+G197</f>
        <v>0</v>
      </c>
      <c r="H195" s="7">
        <f t="shared" si="36"/>
        <v>0</v>
      </c>
      <c r="I195" s="7"/>
      <c r="J195" s="7"/>
      <c r="K195" s="8">
        <f t="shared" si="38"/>
        <v>0</v>
      </c>
    </row>
    <row r="196" spans="1:15" ht="56.25" x14ac:dyDescent="0.2">
      <c r="A196" s="47"/>
      <c r="B196" s="48" t="s">
        <v>136</v>
      </c>
      <c r="C196" s="36"/>
      <c r="D196" s="6">
        <v>37</v>
      </c>
      <c r="E196" s="6">
        <v>37</v>
      </c>
      <c r="F196" s="6">
        <v>37</v>
      </c>
      <c r="G196" s="6">
        <v>37</v>
      </c>
      <c r="H196" s="8">
        <f t="shared" si="36"/>
        <v>37</v>
      </c>
      <c r="I196" s="8"/>
      <c r="J196" s="8">
        <f t="shared" si="37"/>
        <v>100</v>
      </c>
      <c r="K196" s="8">
        <f t="shared" si="38"/>
        <v>0</v>
      </c>
    </row>
    <row r="197" spans="1:15" ht="75" x14ac:dyDescent="0.2">
      <c r="A197" s="47"/>
      <c r="B197" s="48" t="s">
        <v>137</v>
      </c>
      <c r="C197" s="36"/>
      <c r="D197" s="6">
        <v>-37</v>
      </c>
      <c r="E197" s="6">
        <v>-37</v>
      </c>
      <c r="F197" s="6">
        <v>-37</v>
      </c>
      <c r="G197" s="6">
        <v>-37</v>
      </c>
      <c r="H197" s="8">
        <f t="shared" si="36"/>
        <v>-37</v>
      </c>
      <c r="I197" s="8"/>
      <c r="J197" s="8">
        <f t="shared" si="37"/>
        <v>100</v>
      </c>
      <c r="K197" s="8">
        <f t="shared" si="38"/>
        <v>0</v>
      </c>
    </row>
    <row r="198" spans="1:15" s="4" customFormat="1" ht="93.75" x14ac:dyDescent="0.2">
      <c r="A198" s="32" t="s">
        <v>131</v>
      </c>
      <c r="B198" s="50" t="s">
        <v>138</v>
      </c>
      <c r="C198" s="1">
        <f>C199+C200</f>
        <v>0</v>
      </c>
      <c r="D198" s="1">
        <f>D199+D200</f>
        <v>1000</v>
      </c>
      <c r="E198" s="1">
        <f>E199+E200</f>
        <v>1000</v>
      </c>
      <c r="F198" s="1">
        <f>F199+F200</f>
        <v>10000</v>
      </c>
      <c r="G198" s="1">
        <f>G199+G200</f>
        <v>0</v>
      </c>
      <c r="H198" s="7">
        <f t="shared" si="36"/>
        <v>0</v>
      </c>
      <c r="I198" s="7"/>
      <c r="J198" s="7">
        <f t="shared" si="37"/>
        <v>0</v>
      </c>
      <c r="K198" s="1">
        <f t="shared" si="38"/>
        <v>-1000</v>
      </c>
    </row>
    <row r="199" spans="1:15" ht="93.75" x14ac:dyDescent="0.2">
      <c r="A199" s="47"/>
      <c r="B199" s="48" t="s">
        <v>139</v>
      </c>
      <c r="C199" s="36"/>
      <c r="D199" s="6">
        <v>10000</v>
      </c>
      <c r="E199" s="6">
        <v>10000</v>
      </c>
      <c r="F199" s="6">
        <v>10000</v>
      </c>
      <c r="G199" s="36"/>
      <c r="H199" s="7">
        <f t="shared" si="36"/>
        <v>0</v>
      </c>
      <c r="I199" s="7"/>
      <c r="J199" s="7">
        <f t="shared" si="37"/>
        <v>0</v>
      </c>
      <c r="K199" s="8">
        <f t="shared" si="38"/>
        <v>-10000</v>
      </c>
    </row>
    <row r="200" spans="1:15" ht="93.75" x14ac:dyDescent="0.2">
      <c r="A200" s="47"/>
      <c r="B200" s="48" t="s">
        <v>140</v>
      </c>
      <c r="C200" s="36"/>
      <c r="D200" s="6">
        <v>-9000</v>
      </c>
      <c r="E200" s="6">
        <v>-9000</v>
      </c>
      <c r="F200" s="6"/>
      <c r="G200" s="36"/>
      <c r="H200" s="7">
        <f t="shared" si="36"/>
        <v>0</v>
      </c>
      <c r="I200" s="7"/>
      <c r="J200" s="7">
        <f t="shared" si="37"/>
        <v>0</v>
      </c>
      <c r="K200" s="8">
        <f t="shared" si="38"/>
        <v>9000</v>
      </c>
    </row>
    <row r="201" spans="1:15" ht="78.75" x14ac:dyDescent="0.2">
      <c r="A201" s="95" t="s">
        <v>73</v>
      </c>
      <c r="B201" s="48" t="s">
        <v>34</v>
      </c>
      <c r="C201" s="6">
        <v>23856.6</v>
      </c>
      <c r="D201" s="6">
        <v>67628.2</v>
      </c>
      <c r="E201" s="6">
        <v>67628.2</v>
      </c>
      <c r="F201" s="6">
        <v>67628.2</v>
      </c>
      <c r="G201" s="6">
        <v>49068.2</v>
      </c>
      <c r="H201" s="7">
        <f t="shared" si="36"/>
        <v>25211.599999999999</v>
      </c>
      <c r="I201" s="7">
        <f>((G201/C201)*100)-100</f>
        <v>105.6797699588374</v>
      </c>
      <c r="J201" s="7">
        <f t="shared" si="37"/>
        <v>72.555827302811551</v>
      </c>
      <c r="K201" s="1">
        <f t="shared" si="38"/>
        <v>-18560</v>
      </c>
    </row>
    <row r="202" spans="1:15" ht="56.25" x14ac:dyDescent="0.2">
      <c r="A202" s="37"/>
      <c r="B202" s="64" t="s">
        <v>35</v>
      </c>
      <c r="C202" s="7">
        <f>C166+C167+C168+C173+C174+C178+C179+C180+C184+C189+C190+C191+C192+C195+C198+C201</f>
        <v>89291</v>
      </c>
      <c r="D202" s="7">
        <f>D166+D167+D168+D173+D174+D178+D179+D180+D184+D189+D190+D191+D192+D195+D198+D201</f>
        <v>426158.2</v>
      </c>
      <c r="E202" s="7">
        <f>E166+E167+E168+E173+E174+E178+E179+E180+E184+E189+E190+E191+E192+E195+E198+E201+E183+E175</f>
        <v>559441.89999999991</v>
      </c>
      <c r="F202" s="7">
        <f>F166+F167+F168+F173+F174+F178+F179+F180+F184+F189+F190+F191+F192+F195+F198+F201+F183+F175</f>
        <v>517026.6</v>
      </c>
      <c r="G202" s="7">
        <f>G166+G167+G168+G173+G174+G178+G179+G180+G184+G189+G190+G191+G192+G195+G198+G201+G183+G175</f>
        <v>247998.2</v>
      </c>
      <c r="H202" s="7">
        <f t="shared" si="36"/>
        <v>158707.20000000001</v>
      </c>
      <c r="I202" s="7">
        <f>((G202/C202)*100)-100</f>
        <v>177.74154170073132</v>
      </c>
      <c r="J202" s="7">
        <f t="shared" si="37"/>
        <v>44.32957202526304</v>
      </c>
      <c r="K202" s="1">
        <f t="shared" si="38"/>
        <v>-311443.6999999999</v>
      </c>
    </row>
    <row r="203" spans="1:15" ht="56.25" x14ac:dyDescent="0.2">
      <c r="A203" s="37" t="s">
        <v>36</v>
      </c>
      <c r="B203" s="64" t="s">
        <v>37</v>
      </c>
      <c r="C203" s="7">
        <f>SUM(C204:C210)</f>
        <v>0</v>
      </c>
      <c r="D203" s="7">
        <f>SUM(D204:D210)</f>
        <v>0</v>
      </c>
      <c r="E203" s="7">
        <f>SUM(E204:E214)</f>
        <v>5252.7</v>
      </c>
      <c r="F203" s="7">
        <f>SUM(F204:F214)</f>
        <v>5252.7</v>
      </c>
      <c r="G203" s="7">
        <f>SUM(G204:G214)</f>
        <v>80</v>
      </c>
      <c r="H203" s="7">
        <f t="shared" si="36"/>
        <v>80</v>
      </c>
      <c r="I203" s="7"/>
      <c r="J203" s="7">
        <f t="shared" si="37"/>
        <v>1.5230262531650389</v>
      </c>
      <c r="K203" s="8">
        <f t="shared" si="38"/>
        <v>-5172.7</v>
      </c>
    </row>
    <row r="204" spans="1:15" s="13" customFormat="1" ht="150" x14ac:dyDescent="0.2">
      <c r="A204" s="96" t="s">
        <v>191</v>
      </c>
      <c r="B204" s="97" t="s">
        <v>190</v>
      </c>
      <c r="C204" s="98"/>
      <c r="D204" s="98"/>
      <c r="E204" s="98">
        <v>1174.7</v>
      </c>
      <c r="F204" s="98">
        <v>1174.7</v>
      </c>
      <c r="G204" s="98"/>
      <c r="H204" s="7">
        <f t="shared" si="36"/>
        <v>0</v>
      </c>
      <c r="I204" s="7"/>
      <c r="J204" s="7">
        <f t="shared" si="37"/>
        <v>0</v>
      </c>
      <c r="K204" s="8">
        <f t="shared" si="38"/>
        <v>-1174.7</v>
      </c>
      <c r="L204" s="106"/>
      <c r="M204" s="106"/>
      <c r="N204" s="106"/>
      <c r="O204" s="106"/>
    </row>
    <row r="205" spans="1:15" s="13" customFormat="1" ht="168.75" x14ac:dyDescent="0.2">
      <c r="A205" s="96" t="s">
        <v>142</v>
      </c>
      <c r="B205" s="35" t="s">
        <v>199</v>
      </c>
      <c r="C205" s="82"/>
      <c r="D205" s="82"/>
      <c r="E205" s="99">
        <v>80</v>
      </c>
      <c r="F205" s="99">
        <v>80</v>
      </c>
      <c r="G205" s="99">
        <v>80</v>
      </c>
      <c r="H205" s="7">
        <f t="shared" si="36"/>
        <v>80</v>
      </c>
      <c r="I205" s="7"/>
      <c r="J205" s="7">
        <f t="shared" si="37"/>
        <v>100</v>
      </c>
      <c r="K205" s="8">
        <f t="shared" si="38"/>
        <v>0</v>
      </c>
    </row>
    <row r="206" spans="1:15" s="13" customFormat="1" ht="93.75" x14ac:dyDescent="0.2">
      <c r="A206" s="96" t="s">
        <v>142</v>
      </c>
      <c r="B206" s="35" t="s">
        <v>200</v>
      </c>
      <c r="C206" s="82"/>
      <c r="D206" s="82"/>
      <c r="E206" s="99">
        <v>250</v>
      </c>
      <c r="F206" s="99">
        <v>250</v>
      </c>
      <c r="G206" s="82"/>
      <c r="H206" s="7">
        <f t="shared" si="36"/>
        <v>0</v>
      </c>
      <c r="I206" s="7"/>
      <c r="J206" s="7">
        <f t="shared" si="37"/>
        <v>0</v>
      </c>
      <c r="K206" s="8">
        <f t="shared" si="38"/>
        <v>-250</v>
      </c>
    </row>
    <row r="207" spans="1:15" ht="112.5" x14ac:dyDescent="0.2">
      <c r="A207" s="34" t="s">
        <v>84</v>
      </c>
      <c r="B207" s="67" t="s">
        <v>201</v>
      </c>
      <c r="C207" s="6"/>
      <c r="D207" s="98"/>
      <c r="E207" s="100">
        <v>50</v>
      </c>
      <c r="F207" s="100">
        <v>50</v>
      </c>
      <c r="G207" s="6"/>
      <c r="H207" s="7">
        <f t="shared" si="36"/>
        <v>0</v>
      </c>
      <c r="I207" s="7"/>
      <c r="J207" s="7">
        <f t="shared" si="37"/>
        <v>0</v>
      </c>
      <c r="K207" s="8">
        <f t="shared" si="38"/>
        <v>-50</v>
      </c>
    </row>
    <row r="208" spans="1:15" ht="131.25" x14ac:dyDescent="0.2">
      <c r="A208" s="34" t="s">
        <v>84</v>
      </c>
      <c r="B208" s="67" t="s">
        <v>202</v>
      </c>
      <c r="C208" s="6"/>
      <c r="D208" s="98"/>
      <c r="E208" s="100">
        <v>50</v>
      </c>
      <c r="F208" s="100">
        <v>50</v>
      </c>
      <c r="G208" s="6"/>
      <c r="H208" s="7">
        <f t="shared" si="36"/>
        <v>0</v>
      </c>
      <c r="I208" s="7"/>
      <c r="J208" s="7">
        <f t="shared" si="37"/>
        <v>0</v>
      </c>
      <c r="K208" s="8">
        <f t="shared" si="38"/>
        <v>-50</v>
      </c>
    </row>
    <row r="209" spans="1:11" ht="131.25" x14ac:dyDescent="0.2">
      <c r="A209" s="34" t="s">
        <v>84</v>
      </c>
      <c r="B209" s="101" t="s">
        <v>203</v>
      </c>
      <c r="C209" s="6"/>
      <c r="D209" s="98"/>
      <c r="E209" s="100">
        <v>50</v>
      </c>
      <c r="F209" s="100">
        <v>50</v>
      </c>
      <c r="G209" s="6"/>
      <c r="H209" s="7">
        <f t="shared" si="36"/>
        <v>0</v>
      </c>
      <c r="I209" s="7"/>
      <c r="J209" s="7">
        <f t="shared" si="37"/>
        <v>0</v>
      </c>
      <c r="K209" s="8">
        <f t="shared" si="38"/>
        <v>-50</v>
      </c>
    </row>
    <row r="210" spans="1:11" ht="131.25" x14ac:dyDescent="0.2">
      <c r="A210" s="34" t="s">
        <v>84</v>
      </c>
      <c r="B210" s="101" t="s">
        <v>204</v>
      </c>
      <c r="C210" s="6"/>
      <c r="D210" s="98"/>
      <c r="E210" s="98">
        <v>3000</v>
      </c>
      <c r="F210" s="6">
        <v>3000</v>
      </c>
      <c r="G210" s="6"/>
      <c r="H210" s="7">
        <f t="shared" si="36"/>
        <v>0</v>
      </c>
      <c r="I210" s="7"/>
      <c r="J210" s="7">
        <f t="shared" si="37"/>
        <v>0</v>
      </c>
      <c r="K210" s="8">
        <f t="shared" si="38"/>
        <v>-3000</v>
      </c>
    </row>
    <row r="211" spans="1:11" ht="187.5" x14ac:dyDescent="0.2">
      <c r="A211" s="34" t="s">
        <v>84</v>
      </c>
      <c r="B211" s="101" t="s">
        <v>258</v>
      </c>
      <c r="C211" s="6"/>
      <c r="D211" s="98"/>
      <c r="E211" s="98">
        <v>99</v>
      </c>
      <c r="F211" s="6">
        <v>99</v>
      </c>
      <c r="G211" s="6"/>
      <c r="H211" s="7"/>
      <c r="I211" s="7"/>
      <c r="J211" s="7">
        <f t="shared" si="37"/>
        <v>0</v>
      </c>
      <c r="K211" s="8">
        <f t="shared" si="38"/>
        <v>-99</v>
      </c>
    </row>
    <row r="212" spans="1:11" ht="187.5" x14ac:dyDescent="0.2">
      <c r="A212" s="34" t="s">
        <v>84</v>
      </c>
      <c r="B212" s="101" t="s">
        <v>259</v>
      </c>
      <c r="C212" s="6"/>
      <c r="D212" s="98"/>
      <c r="E212" s="98">
        <v>99</v>
      </c>
      <c r="F212" s="6">
        <v>99</v>
      </c>
      <c r="G212" s="6"/>
      <c r="H212" s="7"/>
      <c r="I212" s="7"/>
      <c r="J212" s="7">
        <f t="shared" si="37"/>
        <v>0</v>
      </c>
      <c r="K212" s="8">
        <f t="shared" si="38"/>
        <v>-99</v>
      </c>
    </row>
    <row r="213" spans="1:11" ht="93.75" x14ac:dyDescent="0.2">
      <c r="A213" s="34" t="s">
        <v>254</v>
      </c>
      <c r="B213" s="101" t="s">
        <v>253</v>
      </c>
      <c r="C213" s="6"/>
      <c r="D213" s="98"/>
      <c r="E213" s="98">
        <v>250</v>
      </c>
      <c r="F213" s="6">
        <v>250</v>
      </c>
      <c r="G213" s="6"/>
      <c r="H213" s="7"/>
      <c r="I213" s="7"/>
      <c r="J213" s="7">
        <f t="shared" si="37"/>
        <v>0</v>
      </c>
      <c r="K213" s="8">
        <f t="shared" si="38"/>
        <v>-250</v>
      </c>
    </row>
    <row r="214" spans="1:11" ht="243.75" x14ac:dyDescent="0.2">
      <c r="A214" s="34" t="s">
        <v>96</v>
      </c>
      <c r="B214" s="101" t="s">
        <v>255</v>
      </c>
      <c r="C214" s="6"/>
      <c r="D214" s="98"/>
      <c r="E214" s="98">
        <v>150</v>
      </c>
      <c r="F214" s="6">
        <v>150</v>
      </c>
      <c r="G214" s="6"/>
      <c r="H214" s="7"/>
      <c r="I214" s="7"/>
      <c r="J214" s="7">
        <f t="shared" si="37"/>
        <v>0</v>
      </c>
      <c r="K214" s="8">
        <f t="shared" si="38"/>
        <v>-150</v>
      </c>
    </row>
    <row r="215" spans="1:11" ht="37.5" x14ac:dyDescent="0.2">
      <c r="A215" s="37"/>
      <c r="B215" s="64" t="s">
        <v>38</v>
      </c>
      <c r="C215" s="1">
        <f>C202+C203</f>
        <v>89291</v>
      </c>
      <c r="D215" s="1">
        <f>D202+D203</f>
        <v>426158.2</v>
      </c>
      <c r="E215" s="1">
        <f>E202+E203</f>
        <v>564694.59999999986</v>
      </c>
      <c r="F215" s="1">
        <f>F202+F203</f>
        <v>522279.3</v>
      </c>
      <c r="G215" s="1">
        <f>G202+G203</f>
        <v>248078.2</v>
      </c>
      <c r="H215" s="7">
        <f t="shared" si="36"/>
        <v>158787.20000000001</v>
      </c>
      <c r="I215" s="7">
        <f>((G215/C215)*100)-100</f>
        <v>177.8311363967253</v>
      </c>
      <c r="J215" s="7">
        <f t="shared" si="37"/>
        <v>43.931392295941926</v>
      </c>
      <c r="K215" s="1">
        <f t="shared" si="38"/>
        <v>-316616.39999999985</v>
      </c>
    </row>
    <row r="216" spans="1:11" ht="39" x14ac:dyDescent="0.2">
      <c r="A216" s="77"/>
      <c r="B216" s="102" t="s">
        <v>39</v>
      </c>
      <c r="C216" s="1">
        <f>C164+C215</f>
        <v>1480761.5000000002</v>
      </c>
      <c r="D216" s="1">
        <f>D164+D215</f>
        <v>3223033.9000000004</v>
      </c>
      <c r="E216" s="1">
        <f>E164+E215</f>
        <v>4031872.8</v>
      </c>
      <c r="F216" s="1">
        <f>F164+F215</f>
        <v>2763541.5999999996</v>
      </c>
      <c r="G216" s="1">
        <f>G164+G215</f>
        <v>1911166.4999999998</v>
      </c>
      <c r="H216" s="7">
        <f>G216-C216</f>
        <v>430404.99999999953</v>
      </c>
      <c r="I216" s="7">
        <f>((G216/C216)*100)-100</f>
        <v>29.066463437899984</v>
      </c>
      <c r="J216" s="7">
        <f>G216/E216*100</f>
        <v>47.401458200764665</v>
      </c>
      <c r="K216" s="1">
        <f>G216-E216</f>
        <v>-2120706.2999999998</v>
      </c>
    </row>
    <row r="217" spans="1:11" ht="49.5" customHeight="1" x14ac:dyDescent="0.2">
      <c r="A217" s="103"/>
      <c r="B217" s="104"/>
      <c r="C217" s="16"/>
      <c r="D217" s="16"/>
      <c r="E217" s="16"/>
      <c r="F217" s="16"/>
      <c r="G217" s="16"/>
      <c r="H217" s="17"/>
      <c r="I217" s="17"/>
      <c r="J217" s="17"/>
      <c r="K217" s="18"/>
    </row>
    <row r="218" spans="1:11" ht="49.5" customHeight="1" x14ac:dyDescent="0.2">
      <c r="C218" s="19"/>
      <c r="D218" s="19"/>
      <c r="E218" s="29"/>
      <c r="F218" s="29"/>
      <c r="G218" s="29"/>
      <c r="H218" s="19"/>
      <c r="I218" s="19"/>
      <c r="J218" s="19"/>
      <c r="K218" s="19"/>
    </row>
    <row r="219" spans="1:11" ht="49.5" customHeight="1" x14ac:dyDescent="0.2">
      <c r="A219" s="2" t="s">
        <v>36</v>
      </c>
      <c r="B219" s="105" t="s">
        <v>49</v>
      </c>
      <c r="C219" s="20"/>
      <c r="D219" s="20"/>
      <c r="E219" s="20"/>
      <c r="F219" s="20"/>
      <c r="G219" s="20"/>
      <c r="H219" s="20"/>
      <c r="I219" s="112" t="s">
        <v>185</v>
      </c>
      <c r="J219" s="112"/>
      <c r="K219" s="21"/>
    </row>
    <row r="220" spans="1:11" ht="49.5" customHeight="1" x14ac:dyDescent="0.2">
      <c r="B220" s="22"/>
      <c r="C220" s="23"/>
      <c r="D220" s="23"/>
      <c r="E220" s="23"/>
      <c r="F220" s="23"/>
      <c r="G220" s="23"/>
      <c r="H220" s="23"/>
      <c r="I220" s="22"/>
      <c r="J220" s="19"/>
      <c r="K220" s="19"/>
    </row>
    <row r="221" spans="1:11" ht="49.5" customHeight="1" x14ac:dyDescent="0.2">
      <c r="B221" s="22"/>
      <c r="C221" s="23"/>
      <c r="D221" s="23"/>
      <c r="E221" s="23"/>
      <c r="F221" s="23"/>
      <c r="G221" s="23"/>
      <c r="H221" s="24"/>
      <c r="I221" s="24"/>
      <c r="J221" s="19"/>
      <c r="K221" s="19"/>
    </row>
    <row r="222" spans="1:11" ht="49.5" customHeight="1" x14ac:dyDescent="0.2">
      <c r="B222" s="22"/>
      <c r="C222" s="24"/>
      <c r="D222" s="24"/>
      <c r="E222" s="24"/>
      <c r="F222" s="24"/>
      <c r="G222" s="24"/>
      <c r="H222" s="24"/>
      <c r="I222" s="24"/>
      <c r="J222" s="19"/>
      <c r="K222" s="19"/>
    </row>
    <row r="223" spans="1:11" ht="49.5" customHeight="1" x14ac:dyDescent="0.2">
      <c r="C223" s="19"/>
      <c r="D223" s="19"/>
      <c r="E223" s="19"/>
      <c r="F223" s="19"/>
      <c r="G223" s="19"/>
      <c r="H223" s="19"/>
      <c r="I223" s="19"/>
      <c r="J223" s="19"/>
      <c r="K223" s="19"/>
    </row>
    <row r="314" spans="5:6" x14ac:dyDescent="0.2">
      <c r="E314" s="2"/>
      <c r="F314" s="2"/>
    </row>
  </sheetData>
  <mergeCells count="22">
    <mergeCell ref="H1:K1"/>
    <mergeCell ref="H2:K2"/>
    <mergeCell ref="H3:K3"/>
    <mergeCell ref="A4:K4"/>
    <mergeCell ref="A5:K5"/>
    <mergeCell ref="A6:K6"/>
    <mergeCell ref="B7:J7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K8:K9"/>
    <mergeCell ref="A11:K11"/>
    <mergeCell ref="A128:B128"/>
    <mergeCell ref="A164:B164"/>
    <mergeCell ref="A165:K165"/>
    <mergeCell ref="I219:J219"/>
  </mergeCells>
  <pageMargins left="1.3779527559055118" right="0.39370078740157483" top="0.78740157480314965" bottom="0.78740157480314965" header="0" footer="0"/>
  <pageSetup paperSize="9" scale="44" fitToHeight="0" orientation="portrait" r:id="rId1"/>
  <ignoredErrors>
    <ignoredError sqref="D128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Sunoverska</dc:creator>
  <cp:lastModifiedBy>Користувач Windows</cp:lastModifiedBy>
  <cp:lastPrinted>2023-04-19T13:03:13Z</cp:lastPrinted>
  <dcterms:created xsi:type="dcterms:W3CDTF">2012-02-01T12:37:59Z</dcterms:created>
  <dcterms:modified xsi:type="dcterms:W3CDTF">2023-07-20T10:13:54Z</dcterms:modified>
</cp:coreProperties>
</file>