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6500" windowHeight="10845" tabRatio="947" activeTab="2"/>
  </bookViews>
  <sheets>
    <sheet name="2022 первинка" sheetId="27" r:id="rId1"/>
    <sheet name="2022 вторинка" sheetId="26" r:id="rId2"/>
    <sheet name="фін план 2022" sheetId="15" r:id="rId3"/>
    <sheet name="Плановані доходи від НСЗУ" sheetId="25" r:id="rId4"/>
    <sheet name="Плановані доходи місто" sheetId="34" r:id="rId5"/>
    <sheet name="Лист2" sheetId="38" r:id="rId6"/>
    <sheet name="Комунальні послуги." sheetId="35" r:id="rId7"/>
    <sheet name="Капітальні інвестиції" sheetId="7" r:id="rId8"/>
    <sheet name="Обладнання для КДЛ" sheetId="20" r:id="rId9"/>
    <sheet name="Поточні ремонти." sheetId="24" r:id="rId10"/>
    <sheet name="Оплата послуг (окрім комунальни" sheetId="8" r:id="rId11"/>
    <sheet name="страхові послуги" sheetId="36" r:id="rId12"/>
    <sheet name="Господарські товари" sheetId="9" r:id="rId13"/>
    <sheet name="Канцтовари" sheetId="10" r:id="rId14"/>
    <sheet name="Медикаменти та перевязувальні м" sheetId="14" r:id="rId15"/>
    <sheet name="Лікарські засоби." sheetId="22" r:id="rId16"/>
    <sheet name="Лист1" sheetId="37" r:id="rId17"/>
  </sheets>
  <definedNames>
    <definedName name="_xlnm.Print_Titles" localSheetId="2">'фін план 2022'!$31:$33</definedName>
  </definedNames>
  <calcPr calcId="152511"/>
</workbook>
</file>

<file path=xl/calcChain.xml><?xml version="1.0" encoding="utf-8"?>
<calcChain xmlns="http://schemas.openxmlformats.org/spreadsheetml/2006/main">
  <c r="I131" i="15" l="1"/>
  <c r="H126" i="15"/>
  <c r="I126" i="15"/>
  <c r="J126" i="15"/>
  <c r="G126" i="15"/>
  <c r="I10" i="34"/>
  <c r="I24" i="34" s="1"/>
  <c r="G10" i="34"/>
  <c r="G24" i="34" s="1"/>
  <c r="I9" i="34"/>
  <c r="I23" i="34" s="1"/>
  <c r="I28" i="34" s="1"/>
  <c r="G9" i="34"/>
  <c r="G23" i="34" s="1"/>
  <c r="G28" i="34" s="1"/>
  <c r="G14" i="34" l="1"/>
  <c r="I14" i="34"/>
  <c r="K58" i="38" l="1"/>
  <c r="K72" i="38" s="1"/>
  <c r="K57" i="38"/>
  <c r="K71" i="38" s="1"/>
  <c r="I58" i="38"/>
  <c r="I57" i="38"/>
  <c r="I71" i="38" s="1"/>
  <c r="C88" i="38"/>
  <c r="E76" i="38"/>
  <c r="C76" i="38"/>
  <c r="E62" i="38"/>
  <c r="C62" i="38"/>
  <c r="B47" i="38"/>
  <c r="B37" i="38"/>
  <c r="C19" i="38"/>
  <c r="B19" i="38"/>
  <c r="E19" i="38" l="1"/>
  <c r="I62" i="38"/>
  <c r="I72" i="38"/>
  <c r="I76" i="38" s="1"/>
  <c r="K76" i="38"/>
  <c r="K62" i="38"/>
  <c r="D19" i="38"/>
  <c r="M183" i="27"/>
  <c r="N183" i="27"/>
  <c r="O183" i="27"/>
  <c r="L183" i="27"/>
  <c r="P183" i="26" l="1"/>
  <c r="O183" i="26"/>
  <c r="N183" i="26"/>
  <c r="M183" i="26"/>
  <c r="F184" i="27" l="1"/>
  <c r="B44" i="36" l="1"/>
  <c r="D43" i="36"/>
  <c r="D42" i="36"/>
  <c r="D41" i="36"/>
  <c r="D40" i="36"/>
  <c r="D39" i="36"/>
  <c r="D38" i="36"/>
  <c r="B36" i="36"/>
  <c r="D35" i="36"/>
  <c r="D34" i="36"/>
  <c r="D33" i="36"/>
  <c r="D32" i="36"/>
  <c r="D31" i="36"/>
  <c r="D30" i="36"/>
  <c r="D36" i="36" s="1"/>
  <c r="B28" i="36"/>
  <c r="D27" i="36"/>
  <c r="D26" i="36"/>
  <c r="D25" i="36"/>
  <c r="D24" i="36"/>
  <c r="D23" i="36"/>
  <c r="D22" i="36"/>
  <c r="B20" i="36"/>
  <c r="D19" i="36"/>
  <c r="D18" i="36"/>
  <c r="D17" i="36"/>
  <c r="D16" i="36"/>
  <c r="D15" i="36"/>
  <c r="D14" i="36"/>
  <c r="D20" i="36" s="1"/>
  <c r="B12" i="36"/>
  <c r="D11" i="36"/>
  <c r="D10" i="36"/>
  <c r="D9" i="36"/>
  <c r="D8" i="36"/>
  <c r="D7" i="36"/>
  <c r="D6" i="36"/>
  <c r="J99" i="26"/>
  <c r="H99" i="26"/>
  <c r="I99" i="26"/>
  <c r="G99" i="26"/>
  <c r="J102" i="26"/>
  <c r="I102" i="26"/>
  <c r="H102" i="26"/>
  <c r="G102" i="26"/>
  <c r="J90" i="27"/>
  <c r="I90" i="27"/>
  <c r="H90" i="27"/>
  <c r="G90" i="27"/>
  <c r="E135" i="15"/>
  <c r="E72" i="15"/>
  <c r="E152" i="15"/>
  <c r="D152" i="15"/>
  <c r="E140" i="15"/>
  <c r="D140" i="15"/>
  <c r="E125" i="15"/>
  <c r="E119" i="15"/>
  <c r="E108" i="15"/>
  <c r="D125" i="15"/>
  <c r="D119" i="15"/>
  <c r="D108" i="15"/>
  <c r="E96" i="15"/>
  <c r="D96" i="15"/>
  <c r="E80" i="15"/>
  <c r="D80" i="15"/>
  <c r="D72" i="15"/>
  <c r="E54" i="15"/>
  <c r="D54" i="15"/>
  <c r="D12" i="36" l="1"/>
  <c r="D28" i="36"/>
  <c r="D44" i="36"/>
  <c r="D46" i="36" s="1"/>
  <c r="E107" i="15"/>
  <c r="D107" i="15"/>
  <c r="E69" i="15"/>
  <c r="D69" i="15"/>
  <c r="E53" i="15" l="1"/>
  <c r="D53" i="15"/>
  <c r="H153" i="27"/>
  <c r="I153" i="27"/>
  <c r="J153" i="27"/>
  <c r="G153" i="27"/>
  <c r="G152" i="27" s="1"/>
  <c r="H20" i="25"/>
  <c r="G20" i="25"/>
  <c r="F20" i="25"/>
  <c r="E20" i="25"/>
  <c r="H19" i="25"/>
  <c r="H21" i="25" s="1"/>
  <c r="G19" i="25"/>
  <c r="G21" i="25" s="1"/>
  <c r="F19" i="25"/>
  <c r="F21" i="25" s="1"/>
  <c r="E19" i="25"/>
  <c r="E21" i="25" s="1"/>
  <c r="H17" i="25"/>
  <c r="G17" i="25"/>
  <c r="F17" i="25"/>
  <c r="E17" i="25"/>
  <c r="D16" i="25"/>
  <c r="D15" i="25"/>
  <c r="D14" i="25"/>
  <c r="D13" i="25"/>
  <c r="D12" i="25"/>
  <c r="D11" i="25"/>
  <c r="D10" i="25"/>
  <c r="D9" i="25"/>
  <c r="D8" i="25"/>
  <c r="D7" i="25"/>
  <c r="D6" i="25"/>
  <c r="D5" i="25"/>
  <c r="C7" i="35"/>
  <c r="E7" i="35"/>
  <c r="F7" i="35"/>
  <c r="I7" i="35" s="1"/>
  <c r="G7" i="35"/>
  <c r="H7" i="35"/>
  <c r="H14" i="35" s="1"/>
  <c r="C10" i="35"/>
  <c r="E10" i="35"/>
  <c r="F10" i="35"/>
  <c r="G10" i="35"/>
  <c r="H10" i="35"/>
  <c r="I10" i="35" s="1"/>
  <c r="I11" i="35"/>
  <c r="C13" i="35"/>
  <c r="E13" i="35"/>
  <c r="F13" i="35"/>
  <c r="G13" i="35"/>
  <c r="H13" i="35"/>
  <c r="E14" i="35"/>
  <c r="G14" i="35"/>
  <c r="I15" i="35"/>
  <c r="C17" i="35"/>
  <c r="E17" i="35"/>
  <c r="E21" i="35" s="1"/>
  <c r="F17" i="35"/>
  <c r="G17" i="35"/>
  <c r="H17" i="35"/>
  <c r="I18" i="35"/>
  <c r="C20" i="35"/>
  <c r="E20" i="35"/>
  <c r="F20" i="35"/>
  <c r="G20" i="35"/>
  <c r="H20" i="35"/>
  <c r="I20" i="35"/>
  <c r="G21" i="35"/>
  <c r="I22" i="35"/>
  <c r="C25" i="35"/>
  <c r="E25" i="35"/>
  <c r="F25" i="35"/>
  <c r="I25" i="35" s="1"/>
  <c r="G25" i="35"/>
  <c r="H25" i="35"/>
  <c r="C28" i="35"/>
  <c r="E28" i="35"/>
  <c r="F28" i="35"/>
  <c r="I28" i="35" s="1"/>
  <c r="G28" i="35"/>
  <c r="H28" i="35"/>
  <c r="C31" i="35"/>
  <c r="E31" i="35"/>
  <c r="F31" i="35"/>
  <c r="I31" i="35" s="1"/>
  <c r="G31" i="35"/>
  <c r="H31" i="35"/>
  <c r="C32" i="35"/>
  <c r="E32" i="35"/>
  <c r="F32" i="35"/>
  <c r="G32" i="35"/>
  <c r="H32" i="35"/>
  <c r="I33" i="35"/>
  <c r="C36" i="35"/>
  <c r="E36" i="35"/>
  <c r="F36" i="35"/>
  <c r="G36" i="35"/>
  <c r="H36" i="35"/>
  <c r="C39" i="35"/>
  <c r="E39" i="35"/>
  <c r="E40" i="35" s="1"/>
  <c r="F39" i="35"/>
  <c r="G39" i="35"/>
  <c r="G40" i="35" s="1"/>
  <c r="H39" i="35"/>
  <c r="C40" i="35"/>
  <c r="F40" i="35"/>
  <c r="H40" i="35"/>
  <c r="I41" i="35"/>
  <c r="C43" i="35"/>
  <c r="C47" i="35" s="1"/>
  <c r="E43" i="35"/>
  <c r="F43" i="35"/>
  <c r="G43" i="35"/>
  <c r="H43" i="35"/>
  <c r="H47" i="35" s="1"/>
  <c r="J47" i="35" s="1"/>
  <c r="I44" i="35"/>
  <c r="C46" i="35"/>
  <c r="E46" i="35"/>
  <c r="E47" i="35" s="1"/>
  <c r="F46" i="35"/>
  <c r="G46" i="35"/>
  <c r="G47" i="35" s="1"/>
  <c r="H46" i="35"/>
  <c r="F47" i="35"/>
  <c r="D48" i="35"/>
  <c r="I43" i="35" l="1"/>
  <c r="J40" i="35"/>
  <c r="I40" i="35"/>
  <c r="I36" i="35"/>
  <c r="I39" i="35"/>
  <c r="H21" i="35"/>
  <c r="H48" i="35" s="1"/>
  <c r="I17" i="35"/>
  <c r="C21" i="35"/>
  <c r="F14" i="35"/>
  <c r="C14" i="35"/>
  <c r="I47" i="35"/>
  <c r="G48" i="35"/>
  <c r="E48" i="35"/>
  <c r="C48" i="35"/>
  <c r="J32" i="35"/>
  <c r="I46" i="35"/>
  <c r="I32" i="35"/>
  <c r="F21" i="35"/>
  <c r="I13" i="35"/>
  <c r="I14" i="35" s="1"/>
  <c r="J14" i="35" s="1"/>
  <c r="D17" i="25"/>
  <c r="D20" i="25"/>
  <c r="D19" i="25"/>
  <c r="I21" i="35" l="1"/>
  <c r="J21" i="35" s="1"/>
  <c r="F48" i="35"/>
  <c r="I48" i="35" s="1"/>
  <c r="J48" i="35"/>
  <c r="D21" i="25"/>
  <c r="H47" i="10" l="1"/>
  <c r="G47" i="10"/>
  <c r="F43" i="10"/>
  <c r="G43" i="10" s="1"/>
  <c r="F35" i="10"/>
  <c r="G35" i="10" s="1"/>
  <c r="F32" i="10"/>
  <c r="F31" i="10"/>
  <c r="F30" i="10"/>
  <c r="F29" i="10"/>
  <c r="F28" i="10"/>
  <c r="F27" i="10"/>
  <c r="F26" i="10"/>
  <c r="F25" i="10"/>
  <c r="F24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33" i="10" s="1"/>
  <c r="G75" i="9"/>
  <c r="F75" i="9"/>
  <c r="E71" i="9"/>
  <c r="E70" i="9"/>
  <c r="E69" i="9"/>
  <c r="E68" i="9"/>
  <c r="E67" i="9"/>
  <c r="E66" i="9"/>
  <c r="E65" i="9"/>
  <c r="E64" i="9"/>
  <c r="E63" i="9"/>
  <c r="E62" i="9"/>
  <c r="E61" i="9"/>
  <c r="E60" i="9"/>
  <c r="E57" i="9"/>
  <c r="E56" i="9"/>
  <c r="E55" i="9"/>
  <c r="E54" i="9"/>
  <c r="E53" i="9"/>
  <c r="E52" i="9"/>
  <c r="E51" i="9"/>
  <c r="E48" i="9"/>
  <c r="E47" i="9"/>
  <c r="E46" i="9"/>
  <c r="E45" i="9"/>
  <c r="E44" i="9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E25" i="9"/>
  <c r="E24" i="9"/>
  <c r="E23" i="9"/>
  <c r="E20" i="9"/>
  <c r="E15" i="9"/>
  <c r="E14" i="9"/>
  <c r="E13" i="9"/>
  <c r="E12" i="9"/>
  <c r="E11" i="9"/>
  <c r="E10" i="9"/>
  <c r="E9" i="9"/>
  <c r="E8" i="9"/>
  <c r="E7" i="9"/>
  <c r="E6" i="9"/>
  <c r="E5" i="9"/>
  <c r="E21" i="9" s="1"/>
  <c r="C37" i="8"/>
  <c r="C36" i="8"/>
  <c r="C34" i="8"/>
  <c r="C32" i="8"/>
  <c r="C29" i="8"/>
  <c r="C28" i="8"/>
  <c r="C26" i="8"/>
  <c r="C24" i="8"/>
  <c r="E22" i="8"/>
  <c r="D22" i="8"/>
  <c r="C21" i="8"/>
  <c r="C20" i="8"/>
  <c r="E18" i="8"/>
  <c r="E38" i="8" s="1"/>
  <c r="D18" i="8"/>
  <c r="D38" i="8" s="1"/>
  <c r="C16" i="8"/>
  <c r="C15" i="8"/>
  <c r="C14" i="8"/>
  <c r="C13" i="8"/>
  <c r="C12" i="8"/>
  <c r="C11" i="8"/>
  <c r="C10" i="8"/>
  <c r="C9" i="8"/>
  <c r="C8" i="8"/>
  <c r="C7" i="8"/>
  <c r="C6" i="8"/>
  <c r="C5" i="8"/>
  <c r="C18" i="8" s="1"/>
  <c r="D17" i="24"/>
  <c r="C17" i="24"/>
  <c r="F18" i="20"/>
  <c r="D12" i="20"/>
  <c r="F11" i="20"/>
  <c r="F10" i="20"/>
  <c r="F9" i="20"/>
  <c r="F8" i="20"/>
  <c r="F7" i="20"/>
  <c r="F6" i="20"/>
  <c r="F5" i="20"/>
  <c r="F4" i="20"/>
  <c r="F12" i="20" s="1"/>
  <c r="D16" i="7"/>
  <c r="F45" i="10" l="1"/>
  <c r="H33" i="10"/>
  <c r="G33" i="10"/>
  <c r="H43" i="10"/>
  <c r="E49" i="9"/>
  <c r="E58" i="9"/>
  <c r="E79" i="9" s="1"/>
  <c r="E72" i="9"/>
  <c r="F72" i="9" s="1"/>
  <c r="G21" i="9"/>
  <c r="F21" i="9"/>
  <c r="F49" i="9"/>
  <c r="G49" i="9"/>
  <c r="G58" i="9"/>
  <c r="G72" i="9"/>
  <c r="C22" i="8"/>
  <c r="C38" i="8" s="1"/>
  <c r="C30" i="8"/>
  <c r="G79" i="9" l="1"/>
  <c r="F58" i="9"/>
  <c r="F79" i="9" s="1"/>
  <c r="H45" i="10"/>
  <c r="H49" i="10" s="1"/>
  <c r="G45" i="10"/>
  <c r="G49" i="10" s="1"/>
  <c r="F49" i="10" l="1"/>
  <c r="B84" i="14" l="1"/>
  <c r="C20" i="34" l="1"/>
  <c r="B20" i="34"/>
  <c r="D20" i="34" s="1"/>
  <c r="J56" i="15" l="1"/>
  <c r="I56" i="15"/>
  <c r="H56" i="15"/>
  <c r="G56" i="15"/>
  <c r="J188" i="15" l="1"/>
  <c r="J186" i="15"/>
  <c r="I186" i="15"/>
  <c r="K174" i="27" l="1"/>
  <c r="F178" i="15"/>
  <c r="F180" i="15"/>
  <c r="F181" i="15"/>
  <c r="F182" i="15"/>
  <c r="J184" i="15" l="1"/>
  <c r="J185" i="15"/>
  <c r="J187" i="15"/>
  <c r="J189" i="15"/>
  <c r="J190" i="15"/>
  <c r="I185" i="15"/>
  <c r="I187" i="15"/>
  <c r="I188" i="15"/>
  <c r="I189" i="15"/>
  <c r="I190" i="15"/>
  <c r="H185" i="15"/>
  <c r="H186" i="15"/>
  <c r="H187" i="15"/>
  <c r="H188" i="15"/>
  <c r="H189" i="15"/>
  <c r="H190" i="15"/>
  <c r="G185" i="15"/>
  <c r="G186" i="15"/>
  <c r="G187" i="15"/>
  <c r="G188" i="15"/>
  <c r="G189" i="15"/>
  <c r="G190" i="15"/>
  <c r="H184" i="15"/>
  <c r="I184" i="15"/>
  <c r="G184" i="15"/>
  <c r="J177" i="15"/>
  <c r="J178" i="15"/>
  <c r="J179" i="15"/>
  <c r="J180" i="15"/>
  <c r="J181" i="15"/>
  <c r="J182" i="15"/>
  <c r="I177" i="15"/>
  <c r="I178" i="15"/>
  <c r="I179" i="15"/>
  <c r="I180" i="15"/>
  <c r="I181" i="15"/>
  <c r="I182" i="15"/>
  <c r="H177" i="15"/>
  <c r="H178" i="15"/>
  <c r="H179" i="15"/>
  <c r="H180" i="15"/>
  <c r="H181" i="15"/>
  <c r="H182" i="15"/>
  <c r="G177" i="15"/>
  <c r="G178" i="15"/>
  <c r="G179" i="15"/>
  <c r="G180" i="15"/>
  <c r="G181" i="15"/>
  <c r="G182" i="15"/>
  <c r="H176" i="15"/>
  <c r="I176" i="15"/>
  <c r="J176" i="15"/>
  <c r="G176" i="15"/>
  <c r="J142" i="15" l="1"/>
  <c r="J144" i="15"/>
  <c r="J145" i="15"/>
  <c r="J146" i="15"/>
  <c r="J147" i="15"/>
  <c r="J148" i="15"/>
  <c r="J149" i="15"/>
  <c r="J150" i="15"/>
  <c r="I142" i="15"/>
  <c r="I144" i="15"/>
  <c r="I145" i="15"/>
  <c r="I146" i="15"/>
  <c r="I147" i="15"/>
  <c r="I148" i="15"/>
  <c r="I149" i="15"/>
  <c r="I150" i="15"/>
  <c r="H142" i="15"/>
  <c r="H144" i="15"/>
  <c r="H145" i="15"/>
  <c r="H146" i="15"/>
  <c r="H147" i="15"/>
  <c r="H148" i="15"/>
  <c r="H149" i="15"/>
  <c r="H150" i="15"/>
  <c r="G142" i="15"/>
  <c r="G144" i="15"/>
  <c r="G145" i="15"/>
  <c r="G146" i="15"/>
  <c r="G147" i="15"/>
  <c r="G148" i="15"/>
  <c r="G149" i="15"/>
  <c r="G150" i="15"/>
  <c r="H141" i="15"/>
  <c r="I141" i="15"/>
  <c r="J141" i="15"/>
  <c r="G141" i="15"/>
  <c r="J71" i="15"/>
  <c r="J73" i="15"/>
  <c r="J74" i="15"/>
  <c r="J75" i="15"/>
  <c r="J76" i="15"/>
  <c r="J77" i="15"/>
  <c r="J78" i="15"/>
  <c r="J79" i="15"/>
  <c r="J81" i="15"/>
  <c r="J82" i="15"/>
  <c r="J83" i="15"/>
  <c r="J84" i="15"/>
  <c r="J85" i="15"/>
  <c r="J86" i="15"/>
  <c r="J87" i="15"/>
  <c r="J88" i="15"/>
  <c r="J89" i="15"/>
  <c r="J90" i="15"/>
  <c r="J91" i="15"/>
  <c r="J92" i="15"/>
  <c r="J93" i="15"/>
  <c r="J94" i="15"/>
  <c r="J95" i="15"/>
  <c r="I71" i="15"/>
  <c r="I73" i="15"/>
  <c r="I74" i="15"/>
  <c r="I75" i="15"/>
  <c r="I76" i="15"/>
  <c r="I77" i="15"/>
  <c r="I78" i="15"/>
  <c r="I79" i="15"/>
  <c r="I81" i="15"/>
  <c r="I82" i="15"/>
  <c r="I83" i="15"/>
  <c r="I84" i="15"/>
  <c r="I85" i="15"/>
  <c r="I86" i="15"/>
  <c r="I87" i="15"/>
  <c r="I88" i="15"/>
  <c r="I89" i="15"/>
  <c r="I90" i="15"/>
  <c r="I91" i="15"/>
  <c r="I92" i="15"/>
  <c r="I93" i="15"/>
  <c r="I94" i="15"/>
  <c r="I95" i="15"/>
  <c r="H71" i="15"/>
  <c r="H73" i="15"/>
  <c r="H74" i="15"/>
  <c r="H75" i="15"/>
  <c r="H76" i="15"/>
  <c r="H77" i="15"/>
  <c r="H78" i="15"/>
  <c r="H79" i="15"/>
  <c r="H81" i="15"/>
  <c r="H82" i="15"/>
  <c r="H83" i="15"/>
  <c r="H84" i="15"/>
  <c r="H85" i="15"/>
  <c r="H86" i="15"/>
  <c r="H87" i="15"/>
  <c r="H88" i="15"/>
  <c r="H89" i="15"/>
  <c r="H90" i="15"/>
  <c r="H91" i="15"/>
  <c r="H92" i="15"/>
  <c r="H93" i="15"/>
  <c r="H94" i="15"/>
  <c r="H95" i="15"/>
  <c r="G71" i="15"/>
  <c r="G73" i="15"/>
  <c r="G74" i="15"/>
  <c r="G75" i="15"/>
  <c r="G76" i="15"/>
  <c r="G77" i="15"/>
  <c r="G78" i="15"/>
  <c r="G79" i="15"/>
  <c r="G81" i="15"/>
  <c r="G82" i="15"/>
  <c r="G83" i="15"/>
  <c r="G84" i="15"/>
  <c r="G85" i="15"/>
  <c r="G86" i="15"/>
  <c r="G87" i="15"/>
  <c r="G88" i="15"/>
  <c r="G89" i="15"/>
  <c r="G90" i="15"/>
  <c r="G91" i="15"/>
  <c r="G92" i="15"/>
  <c r="G93" i="15"/>
  <c r="G94" i="15"/>
  <c r="G95" i="15"/>
  <c r="H70" i="15"/>
  <c r="I70" i="15"/>
  <c r="J70" i="15"/>
  <c r="G70" i="15"/>
  <c r="J98" i="15"/>
  <c r="J99" i="15"/>
  <c r="J100" i="15"/>
  <c r="J101" i="15"/>
  <c r="J102" i="15"/>
  <c r="J103" i="15"/>
  <c r="J104" i="15"/>
  <c r="J105" i="15"/>
  <c r="J106" i="15"/>
  <c r="I98" i="15"/>
  <c r="I99" i="15"/>
  <c r="I100" i="15"/>
  <c r="I101" i="15"/>
  <c r="I102" i="15"/>
  <c r="I103" i="15"/>
  <c r="I104" i="15"/>
  <c r="I105" i="15"/>
  <c r="I106" i="15"/>
  <c r="H98" i="15"/>
  <c r="H99" i="15"/>
  <c r="H100" i="15"/>
  <c r="H101" i="15"/>
  <c r="H102" i="15"/>
  <c r="H103" i="15"/>
  <c r="H104" i="15"/>
  <c r="H105" i="15"/>
  <c r="H106" i="15"/>
  <c r="G98" i="15"/>
  <c r="G99" i="15"/>
  <c r="G100" i="15"/>
  <c r="G101" i="15"/>
  <c r="G102" i="15"/>
  <c r="G103" i="15"/>
  <c r="G104" i="15"/>
  <c r="G105" i="15"/>
  <c r="G106" i="15"/>
  <c r="H97" i="15"/>
  <c r="I97" i="15"/>
  <c r="J97" i="15"/>
  <c r="G97" i="15"/>
  <c r="H55" i="15" l="1"/>
  <c r="I55" i="15"/>
  <c r="J55" i="15"/>
  <c r="G55" i="15"/>
  <c r="H47" i="15"/>
  <c r="I47" i="15"/>
  <c r="J47" i="15"/>
  <c r="G47" i="15"/>
  <c r="H48" i="15"/>
  <c r="I48" i="15"/>
  <c r="J48" i="15"/>
  <c r="G48" i="15"/>
  <c r="H156" i="15" l="1"/>
  <c r="I156" i="15"/>
  <c r="J156" i="15"/>
  <c r="G156" i="15"/>
  <c r="H44" i="15"/>
  <c r="I44" i="15"/>
  <c r="J44" i="15"/>
  <c r="G44" i="15"/>
  <c r="J121" i="15"/>
  <c r="J122" i="15"/>
  <c r="J123" i="15"/>
  <c r="J124" i="15"/>
  <c r="I121" i="15"/>
  <c r="I122" i="15"/>
  <c r="I123" i="15"/>
  <c r="I124" i="15"/>
  <c r="H121" i="15"/>
  <c r="H122" i="15"/>
  <c r="H123" i="15"/>
  <c r="H124" i="15"/>
  <c r="G121" i="15"/>
  <c r="G122" i="15"/>
  <c r="G123" i="15"/>
  <c r="G124" i="15"/>
  <c r="H120" i="15"/>
  <c r="I120" i="15"/>
  <c r="J120" i="15"/>
  <c r="G120" i="15"/>
  <c r="J110" i="15"/>
  <c r="J111" i="15"/>
  <c r="J112" i="15"/>
  <c r="J113" i="15"/>
  <c r="J114" i="15"/>
  <c r="J115" i="15"/>
  <c r="J116" i="15"/>
  <c r="J117" i="15"/>
  <c r="J118" i="15"/>
  <c r="I110" i="15"/>
  <c r="I111" i="15"/>
  <c r="I112" i="15"/>
  <c r="I113" i="15"/>
  <c r="I114" i="15"/>
  <c r="I115" i="15"/>
  <c r="I116" i="15"/>
  <c r="I117" i="15"/>
  <c r="I118" i="15"/>
  <c r="H110" i="15"/>
  <c r="H111" i="15"/>
  <c r="H112" i="15"/>
  <c r="H113" i="15"/>
  <c r="H114" i="15"/>
  <c r="H115" i="15"/>
  <c r="H116" i="15"/>
  <c r="H117" i="15"/>
  <c r="H118" i="15"/>
  <c r="G110" i="15"/>
  <c r="G111" i="15"/>
  <c r="G112" i="15"/>
  <c r="G113" i="15"/>
  <c r="G114" i="15"/>
  <c r="G115" i="15"/>
  <c r="G116" i="15"/>
  <c r="G117" i="15"/>
  <c r="G118" i="15"/>
  <c r="H109" i="15"/>
  <c r="I109" i="15"/>
  <c r="J109" i="15"/>
  <c r="G109" i="15"/>
  <c r="E35" i="15" l="1"/>
  <c r="G37" i="15" l="1"/>
  <c r="I46" i="15" l="1"/>
  <c r="J46" i="15"/>
  <c r="H46" i="15"/>
  <c r="G46" i="15"/>
  <c r="F179" i="15" l="1"/>
  <c r="F177" i="27"/>
  <c r="F176" i="27"/>
  <c r="J131" i="15" l="1"/>
  <c r="H131" i="15"/>
  <c r="G131" i="15"/>
  <c r="I37" i="15"/>
  <c r="J37" i="15"/>
  <c r="H37" i="15"/>
  <c r="J140" i="27" l="1"/>
  <c r="G140" i="27"/>
  <c r="G136" i="15"/>
  <c r="G175" i="27" l="1"/>
  <c r="J80" i="26" l="1"/>
  <c r="I80" i="26"/>
  <c r="H80" i="26"/>
  <c r="J72" i="26"/>
  <c r="I72" i="26"/>
  <c r="H72" i="26"/>
  <c r="J80" i="27"/>
  <c r="J80" i="15" s="1"/>
  <c r="I80" i="27"/>
  <c r="I80" i="15" s="1"/>
  <c r="H80" i="27"/>
  <c r="H80" i="15" s="1"/>
  <c r="J72" i="27"/>
  <c r="J72" i="15" s="1"/>
  <c r="I72" i="27"/>
  <c r="I72" i="15" s="1"/>
  <c r="H72" i="27"/>
  <c r="H72" i="15" s="1"/>
  <c r="G72" i="27" l="1"/>
  <c r="G72" i="26"/>
  <c r="G72" i="15" l="1"/>
  <c r="I46" i="27"/>
  <c r="J46" i="27"/>
  <c r="H46" i="27"/>
  <c r="G46" i="27"/>
  <c r="F206" i="26"/>
  <c r="F205" i="26"/>
  <c r="F204" i="26"/>
  <c r="F203" i="26"/>
  <c r="F202" i="26"/>
  <c r="F201" i="26"/>
  <c r="F200" i="26"/>
  <c r="F199" i="26"/>
  <c r="J198" i="26"/>
  <c r="I198" i="26"/>
  <c r="H198" i="26"/>
  <c r="G198" i="26"/>
  <c r="J197" i="26"/>
  <c r="I197" i="26"/>
  <c r="H197" i="26"/>
  <c r="G197" i="26"/>
  <c r="J196" i="26"/>
  <c r="I196" i="26"/>
  <c r="H196" i="26"/>
  <c r="G196" i="26"/>
  <c r="J194" i="26"/>
  <c r="I194" i="26"/>
  <c r="H194" i="26"/>
  <c r="G194" i="26"/>
  <c r="F190" i="26"/>
  <c r="F189" i="26"/>
  <c r="F197" i="26" s="1"/>
  <c r="F188" i="26"/>
  <c r="F187" i="26"/>
  <c r="F186" i="26"/>
  <c r="F185" i="26"/>
  <c r="F184" i="26"/>
  <c r="J183" i="26"/>
  <c r="J137" i="26" s="1"/>
  <c r="I183" i="26"/>
  <c r="H183" i="26"/>
  <c r="H137" i="26" s="1"/>
  <c r="G183" i="26"/>
  <c r="G137" i="26" s="1"/>
  <c r="F177" i="26"/>
  <c r="F177" i="15" s="1"/>
  <c r="F176" i="26"/>
  <c r="J175" i="26"/>
  <c r="I175" i="26"/>
  <c r="H175" i="26"/>
  <c r="G175" i="26"/>
  <c r="F174" i="26"/>
  <c r="F173" i="26"/>
  <c r="F172" i="26"/>
  <c r="F168" i="26"/>
  <c r="F167" i="26"/>
  <c r="F166" i="26"/>
  <c r="F165" i="26"/>
  <c r="F164" i="26"/>
  <c r="F163" i="26"/>
  <c r="F162" i="26"/>
  <c r="F161" i="26"/>
  <c r="F160" i="26"/>
  <c r="F159" i="26"/>
  <c r="F158" i="26"/>
  <c r="F157" i="26"/>
  <c r="F156" i="26"/>
  <c r="F155" i="26"/>
  <c r="F154" i="26"/>
  <c r="J152" i="26"/>
  <c r="H152" i="26"/>
  <c r="I152" i="26"/>
  <c r="F150" i="26"/>
  <c r="F149" i="26"/>
  <c r="F148" i="26"/>
  <c r="F147" i="26"/>
  <c r="F146" i="26"/>
  <c r="F145" i="26"/>
  <c r="F169" i="26" s="1"/>
  <c r="F144" i="26"/>
  <c r="J143" i="26"/>
  <c r="I143" i="26"/>
  <c r="I143" i="15" s="1"/>
  <c r="I140" i="15" s="1"/>
  <c r="H143" i="26"/>
  <c r="G143" i="26"/>
  <c r="G143" i="15" s="1"/>
  <c r="G140" i="15" s="1"/>
  <c r="F142" i="26"/>
  <c r="F141" i="26"/>
  <c r="I140" i="26"/>
  <c r="F139" i="26"/>
  <c r="F138" i="26"/>
  <c r="I137" i="26"/>
  <c r="J136" i="26"/>
  <c r="I136" i="26"/>
  <c r="H136" i="26"/>
  <c r="G136" i="26"/>
  <c r="F131" i="26"/>
  <c r="F128" i="26"/>
  <c r="F127" i="26"/>
  <c r="F126" i="26"/>
  <c r="J125" i="26"/>
  <c r="I125" i="26"/>
  <c r="H125" i="26"/>
  <c r="G125" i="26"/>
  <c r="F125" i="26" s="1"/>
  <c r="F124" i="26"/>
  <c r="F123" i="26"/>
  <c r="F122" i="26"/>
  <c r="F121" i="26"/>
  <c r="F120" i="26"/>
  <c r="J119" i="26"/>
  <c r="J39" i="26" s="1"/>
  <c r="I119" i="26"/>
  <c r="I39" i="26" s="1"/>
  <c r="H119" i="26"/>
  <c r="G119" i="26"/>
  <c r="F118" i="26"/>
  <c r="F117" i="26"/>
  <c r="F116" i="26"/>
  <c r="F115" i="26"/>
  <c r="F114" i="26"/>
  <c r="F113" i="26"/>
  <c r="F112" i="26"/>
  <c r="F111" i="26"/>
  <c r="F110" i="26"/>
  <c r="F109" i="26"/>
  <c r="J108" i="26"/>
  <c r="J107" i="26" s="1"/>
  <c r="I108" i="26"/>
  <c r="H108" i="26"/>
  <c r="H107" i="26" s="1"/>
  <c r="G108" i="26"/>
  <c r="F106" i="26"/>
  <c r="F105" i="26"/>
  <c r="F104" i="26"/>
  <c r="F103" i="26"/>
  <c r="F102" i="26"/>
  <c r="F101" i="26"/>
  <c r="F100" i="26"/>
  <c r="F99" i="26"/>
  <c r="F98" i="26"/>
  <c r="F97" i="26"/>
  <c r="J96" i="26"/>
  <c r="I96" i="26"/>
  <c r="H96" i="26"/>
  <c r="G96" i="26"/>
  <c r="F95" i="26"/>
  <c r="F94" i="26"/>
  <c r="F93" i="26"/>
  <c r="F92" i="26"/>
  <c r="F91" i="26"/>
  <c r="F90" i="26"/>
  <c r="F89" i="26"/>
  <c r="F88" i="26"/>
  <c r="F87" i="26"/>
  <c r="F86" i="26"/>
  <c r="F85" i="26"/>
  <c r="F84" i="26"/>
  <c r="F83" i="26"/>
  <c r="F82" i="26"/>
  <c r="F81" i="26"/>
  <c r="J69" i="26"/>
  <c r="H69" i="26"/>
  <c r="G80" i="26"/>
  <c r="F79" i="26"/>
  <c r="F78" i="26"/>
  <c r="F77" i="26"/>
  <c r="F76" i="26"/>
  <c r="F75" i="26"/>
  <c r="F74" i="26"/>
  <c r="F73" i="26"/>
  <c r="F72" i="26"/>
  <c r="F71" i="26"/>
  <c r="F70" i="26"/>
  <c r="B70" i="26"/>
  <c r="B71" i="26" s="1"/>
  <c r="B72" i="26" s="1"/>
  <c r="B73" i="26" s="1"/>
  <c r="B74" i="26" s="1"/>
  <c r="B75" i="26" s="1"/>
  <c r="B76" i="26" s="1"/>
  <c r="B77" i="26" s="1"/>
  <c r="B78" i="26" s="1"/>
  <c r="B79" i="26" s="1"/>
  <c r="B80" i="26" s="1"/>
  <c r="B81" i="26" s="1"/>
  <c r="B82" i="26" s="1"/>
  <c r="B83" i="26" s="1"/>
  <c r="B84" i="26" s="1"/>
  <c r="B85" i="26" s="1"/>
  <c r="B86" i="26" s="1"/>
  <c r="B87" i="26" s="1"/>
  <c r="B88" i="26" s="1"/>
  <c r="B89" i="26" s="1"/>
  <c r="B90" i="26" s="1"/>
  <c r="B91" i="26" s="1"/>
  <c r="B92" i="26" s="1"/>
  <c r="B93" i="26" s="1"/>
  <c r="B94" i="26" s="1"/>
  <c r="B95" i="26" s="1"/>
  <c r="B96" i="26" s="1"/>
  <c r="B97" i="26" s="1"/>
  <c r="B98" i="26" s="1"/>
  <c r="B99" i="26" s="1"/>
  <c r="B100" i="26" s="1"/>
  <c r="B101" i="26" s="1"/>
  <c r="B102" i="26" s="1"/>
  <c r="B103" i="26" s="1"/>
  <c r="B104" i="26" s="1"/>
  <c r="B105" i="26" s="1"/>
  <c r="B106" i="26" s="1"/>
  <c r="B107" i="26" s="1"/>
  <c r="B108" i="26" s="1"/>
  <c r="B109" i="26" s="1"/>
  <c r="B110" i="26" s="1"/>
  <c r="B111" i="26" s="1"/>
  <c r="B112" i="26" s="1"/>
  <c r="B113" i="26" s="1"/>
  <c r="B114" i="26" s="1"/>
  <c r="B115" i="26" s="1"/>
  <c r="B116" i="26" s="1"/>
  <c r="B117" i="26" s="1"/>
  <c r="B118" i="26" s="1"/>
  <c r="B119" i="26" s="1"/>
  <c r="B120" i="26" s="1"/>
  <c r="B121" i="26" s="1"/>
  <c r="B122" i="26" s="1"/>
  <c r="B123" i="26" s="1"/>
  <c r="B124" i="26" s="1"/>
  <c r="B125" i="26" s="1"/>
  <c r="B126" i="26" s="1"/>
  <c r="B127" i="26" s="1"/>
  <c r="B128" i="26" s="1"/>
  <c r="B129" i="26" s="1"/>
  <c r="B130" i="26" s="1"/>
  <c r="B131" i="26" s="1"/>
  <c r="B132" i="26" s="1"/>
  <c r="B133" i="26" s="1"/>
  <c r="B134" i="26" s="1"/>
  <c r="B135" i="26" s="1"/>
  <c r="B136" i="26" s="1"/>
  <c r="B137" i="26" s="1"/>
  <c r="B138" i="26" s="1"/>
  <c r="B139" i="26" s="1"/>
  <c r="B140" i="26" s="1"/>
  <c r="B141" i="26" s="1"/>
  <c r="B142" i="26" s="1"/>
  <c r="B143" i="26" s="1"/>
  <c r="B144" i="26" s="1"/>
  <c r="B145" i="26" s="1"/>
  <c r="B146" i="26" s="1"/>
  <c r="B147" i="26" s="1"/>
  <c r="B148" i="26" s="1"/>
  <c r="B149" i="26" s="1"/>
  <c r="B150" i="26" s="1"/>
  <c r="B151" i="26" s="1"/>
  <c r="B152" i="26" s="1"/>
  <c r="B153" i="26" s="1"/>
  <c r="B154" i="26" s="1"/>
  <c r="B155" i="26" s="1"/>
  <c r="B156" i="26" s="1"/>
  <c r="B157" i="26" s="1"/>
  <c r="B158" i="26" s="1"/>
  <c r="B159" i="26" s="1"/>
  <c r="B160" i="26" s="1"/>
  <c r="B161" i="26" s="1"/>
  <c r="B162" i="26" s="1"/>
  <c r="B163" i="26" s="1"/>
  <c r="B164" i="26" s="1"/>
  <c r="B165" i="26" s="1"/>
  <c r="B166" i="26" s="1"/>
  <c r="B167" i="26" s="1"/>
  <c r="B168" i="26" s="1"/>
  <c r="B169" i="26" s="1"/>
  <c r="B170" i="26" s="1"/>
  <c r="B171" i="26" s="1"/>
  <c r="B172" i="26" s="1"/>
  <c r="B173" i="26" s="1"/>
  <c r="B174" i="26" s="1"/>
  <c r="B175" i="26" s="1"/>
  <c r="B176" i="26" s="1"/>
  <c r="B177" i="26" s="1"/>
  <c r="B178" i="26" s="1"/>
  <c r="B179" i="26" s="1"/>
  <c r="B180" i="26" s="1"/>
  <c r="B181" i="26" s="1"/>
  <c r="B182" i="26" s="1"/>
  <c r="B183" i="26" s="1"/>
  <c r="B184" i="26" s="1"/>
  <c r="B185" i="26" s="1"/>
  <c r="B186" i="26" s="1"/>
  <c r="B187" i="26" s="1"/>
  <c r="B188" i="26" s="1"/>
  <c r="B189" i="26" s="1"/>
  <c r="B190" i="26" s="1"/>
  <c r="B191" i="26" s="1"/>
  <c r="B192" i="26" s="1"/>
  <c r="B193" i="26" s="1"/>
  <c r="B194" i="26" s="1"/>
  <c r="B195" i="26" s="1"/>
  <c r="B196" i="26" s="1"/>
  <c r="B197" i="26" s="1"/>
  <c r="B198" i="26" s="1"/>
  <c r="B199" i="26" s="1"/>
  <c r="B200" i="26" s="1"/>
  <c r="B201" i="26" s="1"/>
  <c r="B202" i="26" s="1"/>
  <c r="B203" i="26" s="1"/>
  <c r="B204" i="26" s="1"/>
  <c r="B205" i="26" s="1"/>
  <c r="B206" i="26" s="1"/>
  <c r="I69" i="26"/>
  <c r="G69" i="26"/>
  <c r="G129" i="26" s="1"/>
  <c r="F68" i="26"/>
  <c r="F67" i="26"/>
  <c r="F66" i="26"/>
  <c r="F64" i="26"/>
  <c r="F63" i="26"/>
  <c r="F62" i="26"/>
  <c r="F61" i="26"/>
  <c r="F60" i="26"/>
  <c r="F59" i="26"/>
  <c r="F58" i="26"/>
  <c r="F57" i="26"/>
  <c r="F56" i="26"/>
  <c r="F54" i="26" s="1"/>
  <c r="F55" i="26"/>
  <c r="J54" i="26"/>
  <c r="J36" i="26" s="1"/>
  <c r="I54" i="26"/>
  <c r="H54" i="26"/>
  <c r="H36" i="26" s="1"/>
  <c r="G54" i="26"/>
  <c r="G36" i="26" s="1"/>
  <c r="B54" i="26"/>
  <c r="B55" i="26" s="1"/>
  <c r="B56" i="26" s="1"/>
  <c r="B57" i="26" s="1"/>
  <c r="B58" i="26" s="1"/>
  <c r="B59" i="26" s="1"/>
  <c r="B60" i="26" s="1"/>
  <c r="B61" i="26" s="1"/>
  <c r="B62" i="26" s="1"/>
  <c r="B63" i="26" s="1"/>
  <c r="B64" i="26" s="1"/>
  <c r="F50" i="26"/>
  <c r="F49" i="26"/>
  <c r="F48" i="26"/>
  <c r="F47" i="26"/>
  <c r="F46" i="26"/>
  <c r="F45" i="26"/>
  <c r="F44" i="26"/>
  <c r="J43" i="26"/>
  <c r="I43" i="26"/>
  <c r="H43" i="26"/>
  <c r="G43" i="26"/>
  <c r="G130" i="26" s="1"/>
  <c r="G130" i="15" s="1"/>
  <c r="J42" i="26"/>
  <c r="I42" i="26"/>
  <c r="H42" i="26"/>
  <c r="G42" i="26"/>
  <c r="J41" i="26"/>
  <c r="I41" i="26"/>
  <c r="H41" i="26"/>
  <c r="G41" i="26"/>
  <c r="J40" i="26"/>
  <c r="I40" i="26"/>
  <c r="H40" i="26"/>
  <c r="H39" i="26"/>
  <c r="G39" i="26"/>
  <c r="F37" i="26"/>
  <c r="B35" i="26"/>
  <c r="B36" i="26" s="1"/>
  <c r="B37" i="26" s="1"/>
  <c r="B38" i="26" s="1"/>
  <c r="B39" i="26" s="1"/>
  <c r="B40" i="26" s="1"/>
  <c r="B41" i="26" s="1"/>
  <c r="B42" i="26" s="1"/>
  <c r="B43" i="26" s="1"/>
  <c r="B44" i="26" s="1"/>
  <c r="B45" i="26" s="1"/>
  <c r="B46" i="26" s="1"/>
  <c r="B47" i="26" s="1"/>
  <c r="B48" i="26" s="1"/>
  <c r="B49" i="26" s="1"/>
  <c r="B50" i="26" s="1"/>
  <c r="H42" i="15"/>
  <c r="I42" i="15"/>
  <c r="J42" i="15"/>
  <c r="G42" i="15"/>
  <c r="H41" i="15"/>
  <c r="I41" i="15"/>
  <c r="J41" i="15"/>
  <c r="G41" i="15"/>
  <c r="H38" i="26" l="1"/>
  <c r="G40" i="26"/>
  <c r="G38" i="26" s="1"/>
  <c r="G35" i="26" s="1"/>
  <c r="G132" i="26" s="1"/>
  <c r="H129" i="26"/>
  <c r="H140" i="26"/>
  <c r="H143" i="15"/>
  <c r="J140" i="26"/>
  <c r="J143" i="15"/>
  <c r="J140" i="15" s="1"/>
  <c r="F40" i="26"/>
  <c r="I38" i="26"/>
  <c r="G140" i="26"/>
  <c r="F143" i="26"/>
  <c r="I107" i="26"/>
  <c r="J38" i="26"/>
  <c r="F39" i="26"/>
  <c r="F119" i="26"/>
  <c r="F175" i="26"/>
  <c r="F176" i="15"/>
  <c r="H130" i="26"/>
  <c r="F96" i="26"/>
  <c r="I135" i="26"/>
  <c r="J135" i="26"/>
  <c r="H135" i="26"/>
  <c r="F183" i="26"/>
  <c r="F137" i="26"/>
  <c r="J191" i="26"/>
  <c r="I191" i="26"/>
  <c r="H191" i="26"/>
  <c r="F198" i="26"/>
  <c r="F196" i="26"/>
  <c r="F194" i="26"/>
  <c r="F191" i="26"/>
  <c r="G191" i="26"/>
  <c r="F80" i="26"/>
  <c r="I53" i="26"/>
  <c r="I133" i="26" s="1"/>
  <c r="F69" i="26"/>
  <c r="F129" i="26" s="1"/>
  <c r="H35" i="26"/>
  <c r="H132" i="26" s="1"/>
  <c r="J35" i="26"/>
  <c r="J132" i="26" s="1"/>
  <c r="H53" i="26"/>
  <c r="H133" i="26" s="1"/>
  <c r="J53" i="26"/>
  <c r="J133" i="26" s="1"/>
  <c r="I36" i="26"/>
  <c r="F36" i="26" s="1"/>
  <c r="F43" i="26"/>
  <c r="F42" i="26"/>
  <c r="F108" i="26"/>
  <c r="F41" i="26"/>
  <c r="F38" i="26" s="1"/>
  <c r="F136" i="26"/>
  <c r="G107" i="26"/>
  <c r="F107" i="26" s="1"/>
  <c r="G135" i="26"/>
  <c r="F153" i="26"/>
  <c r="G152" i="26"/>
  <c r="F152" i="26" s="1"/>
  <c r="F140" i="26"/>
  <c r="F151" i="26"/>
  <c r="H42" i="27"/>
  <c r="I42" i="27"/>
  <c r="J42" i="27"/>
  <c r="G42" i="27"/>
  <c r="H41" i="27"/>
  <c r="I41" i="27"/>
  <c r="J41" i="27"/>
  <c r="G41" i="27"/>
  <c r="F206" i="27"/>
  <c r="F205" i="27"/>
  <c r="F204" i="27"/>
  <c r="F203" i="27"/>
  <c r="F202" i="27"/>
  <c r="F201" i="27"/>
  <c r="F200" i="27"/>
  <c r="F199" i="27"/>
  <c r="J198" i="27"/>
  <c r="I198" i="27"/>
  <c r="H198" i="27"/>
  <c r="G198" i="27"/>
  <c r="J197" i="27"/>
  <c r="I197" i="27"/>
  <c r="H197" i="27"/>
  <c r="G197" i="27"/>
  <c r="J196" i="27"/>
  <c r="I196" i="27"/>
  <c r="H196" i="27"/>
  <c r="G196" i="27"/>
  <c r="J195" i="27"/>
  <c r="I195" i="27"/>
  <c r="H195" i="27"/>
  <c r="G195" i="27"/>
  <c r="J194" i="27"/>
  <c r="I194" i="27"/>
  <c r="H194" i="27"/>
  <c r="G194" i="27"/>
  <c r="J193" i="27"/>
  <c r="I193" i="27"/>
  <c r="H193" i="27"/>
  <c r="G193" i="27"/>
  <c r="J192" i="27"/>
  <c r="I192" i="27"/>
  <c r="H192" i="27"/>
  <c r="G192" i="27"/>
  <c r="F190" i="27"/>
  <c r="F189" i="27"/>
  <c r="F197" i="27" s="1"/>
  <c r="F188" i="27"/>
  <c r="F187" i="27"/>
  <c r="F186" i="27"/>
  <c r="F185" i="27"/>
  <c r="F193" i="27" s="1"/>
  <c r="F192" i="27"/>
  <c r="J183" i="27"/>
  <c r="J137" i="27" s="1"/>
  <c r="I183" i="27"/>
  <c r="H183" i="27"/>
  <c r="H137" i="27" s="1"/>
  <c r="G183" i="27"/>
  <c r="F175" i="27"/>
  <c r="J175" i="27"/>
  <c r="I175" i="27"/>
  <c r="H175" i="27"/>
  <c r="F174" i="27"/>
  <c r="F173" i="27"/>
  <c r="F172" i="27"/>
  <c r="F168" i="27"/>
  <c r="F167" i="27"/>
  <c r="F166" i="27"/>
  <c r="F165" i="27"/>
  <c r="F164" i="27"/>
  <c r="F163" i="27"/>
  <c r="F162" i="27"/>
  <c r="F161" i="27"/>
  <c r="F160" i="27"/>
  <c r="F159" i="27"/>
  <c r="F158" i="27"/>
  <c r="F157" i="27"/>
  <c r="F156" i="27"/>
  <c r="F155" i="27"/>
  <c r="F154" i="27"/>
  <c r="J152" i="27"/>
  <c r="H152" i="27"/>
  <c r="I152" i="27"/>
  <c r="F150" i="27"/>
  <c r="F149" i="27"/>
  <c r="F148" i="27"/>
  <c r="F147" i="27"/>
  <c r="F146" i="27"/>
  <c r="F145" i="27"/>
  <c r="F144" i="27"/>
  <c r="I140" i="27"/>
  <c r="F140" i="27" s="1"/>
  <c r="H140" i="27"/>
  <c r="F143" i="27"/>
  <c r="F142" i="27"/>
  <c r="F141" i="27"/>
  <c r="F139" i="27"/>
  <c r="F138" i="27"/>
  <c r="I137" i="27"/>
  <c r="G137" i="27"/>
  <c r="J136" i="27"/>
  <c r="I136" i="27"/>
  <c r="H136" i="27"/>
  <c r="G136" i="27"/>
  <c r="G135" i="27" s="1"/>
  <c r="F131" i="27"/>
  <c r="F128" i="27"/>
  <c r="F127" i="27"/>
  <c r="F126" i="27"/>
  <c r="J125" i="27"/>
  <c r="J40" i="27" s="1"/>
  <c r="I125" i="27"/>
  <c r="I40" i="27" s="1"/>
  <c r="H125" i="27"/>
  <c r="H40" i="27" s="1"/>
  <c r="G125" i="27"/>
  <c r="G40" i="27" s="1"/>
  <c r="F124" i="27"/>
  <c r="F123" i="27"/>
  <c r="F122" i="27"/>
  <c r="F121" i="27"/>
  <c r="F120" i="27"/>
  <c r="J119" i="27"/>
  <c r="I119" i="27"/>
  <c r="H119" i="27"/>
  <c r="G119" i="27"/>
  <c r="F118" i="27"/>
  <c r="F117" i="27"/>
  <c r="F116" i="27"/>
  <c r="F115" i="27"/>
  <c r="F114" i="27"/>
  <c r="F113" i="27"/>
  <c r="F112" i="27"/>
  <c r="F111" i="27"/>
  <c r="F110" i="27"/>
  <c r="F109" i="27"/>
  <c r="J108" i="27"/>
  <c r="J107" i="27" s="1"/>
  <c r="I108" i="27"/>
  <c r="I107" i="27" s="1"/>
  <c r="H108" i="27"/>
  <c r="H107" i="27" s="1"/>
  <c r="G108" i="27"/>
  <c r="F106" i="27"/>
  <c r="F105" i="27"/>
  <c r="F104" i="27"/>
  <c r="F103" i="27"/>
  <c r="F102" i="27"/>
  <c r="F101" i="27"/>
  <c r="F100" i="27"/>
  <c r="F99" i="27"/>
  <c r="F98" i="27"/>
  <c r="F97" i="27"/>
  <c r="J96" i="27"/>
  <c r="I96" i="27"/>
  <c r="H96" i="27"/>
  <c r="G96" i="27"/>
  <c r="F95" i="27"/>
  <c r="F94" i="27"/>
  <c r="F93" i="27"/>
  <c r="F92" i="27"/>
  <c r="F91" i="27"/>
  <c r="F90" i="27"/>
  <c r="F89" i="27"/>
  <c r="F88" i="27"/>
  <c r="F87" i="27"/>
  <c r="F86" i="27"/>
  <c r="F85" i="27"/>
  <c r="F84" i="27"/>
  <c r="F83" i="27"/>
  <c r="F82" i="27"/>
  <c r="F81" i="27"/>
  <c r="G80" i="27"/>
  <c r="F79" i="27"/>
  <c r="F78" i="27"/>
  <c r="F77" i="27"/>
  <c r="F76" i="27"/>
  <c r="F75" i="27"/>
  <c r="F74" i="27"/>
  <c r="F73" i="27"/>
  <c r="F72" i="27"/>
  <c r="F71" i="27"/>
  <c r="F70" i="27"/>
  <c r="B70" i="27"/>
  <c r="B71" i="27" s="1"/>
  <c r="B72" i="27" s="1"/>
  <c r="B73" i="27" s="1"/>
  <c r="B74" i="27" s="1"/>
  <c r="B75" i="27" s="1"/>
  <c r="B76" i="27" s="1"/>
  <c r="B77" i="27" s="1"/>
  <c r="B78" i="27" s="1"/>
  <c r="B79" i="27" s="1"/>
  <c r="B80" i="27" s="1"/>
  <c r="B81" i="27" s="1"/>
  <c r="B82" i="27" s="1"/>
  <c r="B83" i="27" s="1"/>
  <c r="B84" i="27" s="1"/>
  <c r="B85" i="27" s="1"/>
  <c r="B86" i="27" s="1"/>
  <c r="B87" i="27" s="1"/>
  <c r="B88" i="27" s="1"/>
  <c r="B89" i="27" s="1"/>
  <c r="B90" i="27" s="1"/>
  <c r="B91" i="27" s="1"/>
  <c r="B92" i="27" s="1"/>
  <c r="B93" i="27" s="1"/>
  <c r="B94" i="27" s="1"/>
  <c r="B95" i="27" s="1"/>
  <c r="B96" i="27" s="1"/>
  <c r="B97" i="27" s="1"/>
  <c r="B98" i="27" s="1"/>
  <c r="B99" i="27" s="1"/>
  <c r="B100" i="27" s="1"/>
  <c r="B101" i="27" s="1"/>
  <c r="B102" i="27" s="1"/>
  <c r="B103" i="27" s="1"/>
  <c r="B104" i="27" s="1"/>
  <c r="B105" i="27" s="1"/>
  <c r="B106" i="27" s="1"/>
  <c r="B107" i="27" s="1"/>
  <c r="B108" i="27" s="1"/>
  <c r="B109" i="27" s="1"/>
  <c r="B110" i="27" s="1"/>
  <c r="B111" i="27" s="1"/>
  <c r="B112" i="27" s="1"/>
  <c r="B113" i="27" s="1"/>
  <c r="B114" i="27" s="1"/>
  <c r="B115" i="27" s="1"/>
  <c r="B116" i="27" s="1"/>
  <c r="B117" i="27" s="1"/>
  <c r="B118" i="27" s="1"/>
  <c r="B119" i="27" s="1"/>
  <c r="B120" i="27" s="1"/>
  <c r="B121" i="27" s="1"/>
  <c r="B122" i="27" s="1"/>
  <c r="B123" i="27" s="1"/>
  <c r="B124" i="27" s="1"/>
  <c r="B125" i="27" s="1"/>
  <c r="B126" i="27" s="1"/>
  <c r="B127" i="27" s="1"/>
  <c r="B128" i="27" s="1"/>
  <c r="B129" i="27" s="1"/>
  <c r="B130" i="27" s="1"/>
  <c r="B131" i="27" s="1"/>
  <c r="B132" i="27" s="1"/>
  <c r="B133" i="27" s="1"/>
  <c r="B134" i="27" s="1"/>
  <c r="B135" i="27" s="1"/>
  <c r="B136" i="27" s="1"/>
  <c r="B137" i="27" s="1"/>
  <c r="B138" i="27" s="1"/>
  <c r="B139" i="27" s="1"/>
  <c r="B140" i="27" s="1"/>
  <c r="B141" i="27" s="1"/>
  <c r="B142" i="27" s="1"/>
  <c r="B143" i="27" s="1"/>
  <c r="B144" i="27" s="1"/>
  <c r="B145" i="27" s="1"/>
  <c r="B146" i="27" s="1"/>
  <c r="B147" i="27" s="1"/>
  <c r="B148" i="27" s="1"/>
  <c r="B149" i="27" s="1"/>
  <c r="B150" i="27" s="1"/>
  <c r="B151" i="27" s="1"/>
  <c r="B152" i="27" s="1"/>
  <c r="B153" i="27" s="1"/>
  <c r="B154" i="27" s="1"/>
  <c r="B155" i="27" s="1"/>
  <c r="B156" i="27" s="1"/>
  <c r="B157" i="27" s="1"/>
  <c r="B158" i="27" s="1"/>
  <c r="B159" i="27" s="1"/>
  <c r="B160" i="27" s="1"/>
  <c r="B161" i="27" s="1"/>
  <c r="B162" i="27" s="1"/>
  <c r="B163" i="27" s="1"/>
  <c r="B164" i="27" s="1"/>
  <c r="B165" i="27" s="1"/>
  <c r="B166" i="27" s="1"/>
  <c r="B167" i="27" s="1"/>
  <c r="B168" i="27" s="1"/>
  <c r="B169" i="27" s="1"/>
  <c r="B170" i="27" s="1"/>
  <c r="B171" i="27" s="1"/>
  <c r="B172" i="27" s="1"/>
  <c r="B173" i="27" s="1"/>
  <c r="B174" i="27" s="1"/>
  <c r="B175" i="27" s="1"/>
  <c r="B176" i="27" s="1"/>
  <c r="B177" i="27" s="1"/>
  <c r="B178" i="27" s="1"/>
  <c r="B179" i="27" s="1"/>
  <c r="B180" i="27" s="1"/>
  <c r="B181" i="27" s="1"/>
  <c r="B182" i="27" s="1"/>
  <c r="B183" i="27" s="1"/>
  <c r="B184" i="27" s="1"/>
  <c r="B185" i="27" s="1"/>
  <c r="B186" i="27" s="1"/>
  <c r="B187" i="27" s="1"/>
  <c r="B188" i="27" s="1"/>
  <c r="B189" i="27" s="1"/>
  <c r="B190" i="27" s="1"/>
  <c r="B191" i="27" s="1"/>
  <c r="B192" i="27" s="1"/>
  <c r="B193" i="27" s="1"/>
  <c r="B194" i="27" s="1"/>
  <c r="B195" i="27" s="1"/>
  <c r="B196" i="27" s="1"/>
  <c r="B197" i="27" s="1"/>
  <c r="B198" i="27" s="1"/>
  <c r="B199" i="27" s="1"/>
  <c r="B200" i="27" s="1"/>
  <c r="B201" i="27" s="1"/>
  <c r="B202" i="27" s="1"/>
  <c r="B203" i="27" s="1"/>
  <c r="B204" i="27" s="1"/>
  <c r="B205" i="27" s="1"/>
  <c r="B206" i="27" s="1"/>
  <c r="J69" i="27"/>
  <c r="I69" i="27"/>
  <c r="H69" i="27"/>
  <c r="F68" i="27"/>
  <c r="F67" i="27"/>
  <c r="F66" i="27"/>
  <c r="F64" i="27"/>
  <c r="F63" i="27"/>
  <c r="F62" i="27"/>
  <c r="F61" i="27"/>
  <c r="F60" i="27"/>
  <c r="F59" i="27"/>
  <c r="F58" i="27"/>
  <c r="F57" i="27"/>
  <c r="F56" i="27"/>
  <c r="F55" i="27"/>
  <c r="J54" i="27"/>
  <c r="J36" i="27" s="1"/>
  <c r="I54" i="27"/>
  <c r="I36" i="27" s="1"/>
  <c r="H54" i="27"/>
  <c r="H36" i="27" s="1"/>
  <c r="G54" i="27"/>
  <c r="G36" i="27" s="1"/>
  <c r="B54" i="27"/>
  <c r="B55" i="27" s="1"/>
  <c r="B56" i="27" s="1"/>
  <c r="B57" i="27" s="1"/>
  <c r="B58" i="27" s="1"/>
  <c r="B59" i="27" s="1"/>
  <c r="B60" i="27" s="1"/>
  <c r="B61" i="27" s="1"/>
  <c r="B62" i="27" s="1"/>
  <c r="B63" i="27" s="1"/>
  <c r="B64" i="27" s="1"/>
  <c r="F50" i="27"/>
  <c r="F49" i="27"/>
  <c r="F48" i="27"/>
  <c r="F47" i="27"/>
  <c r="F46" i="27"/>
  <c r="F45" i="27"/>
  <c r="F44" i="27"/>
  <c r="J43" i="27"/>
  <c r="I43" i="27"/>
  <c r="H43" i="27"/>
  <c r="G43" i="27"/>
  <c r="F42" i="27"/>
  <c r="F40" i="27"/>
  <c r="J39" i="27"/>
  <c r="I39" i="27"/>
  <c r="H39" i="27"/>
  <c r="G39" i="27"/>
  <c r="F39" i="27" s="1"/>
  <c r="I38" i="27"/>
  <c r="I35" i="27" s="1"/>
  <c r="I132" i="27" s="1"/>
  <c r="F37" i="27"/>
  <c r="B35" i="27"/>
  <c r="B36" i="27" s="1"/>
  <c r="B37" i="27" s="1"/>
  <c r="B38" i="27" s="1"/>
  <c r="B39" i="27" s="1"/>
  <c r="B40" i="27" s="1"/>
  <c r="B41" i="27" s="1"/>
  <c r="B42" i="27" s="1"/>
  <c r="B43" i="27" s="1"/>
  <c r="B44" i="27" s="1"/>
  <c r="B45" i="27" s="1"/>
  <c r="B46" i="27" s="1"/>
  <c r="B47" i="27" s="1"/>
  <c r="B48" i="27" s="1"/>
  <c r="B49" i="27" s="1"/>
  <c r="B50" i="27" s="1"/>
  <c r="G38" i="27" l="1"/>
  <c r="K183" i="27"/>
  <c r="F119" i="27"/>
  <c r="I130" i="26"/>
  <c r="I130" i="15" s="1"/>
  <c r="H130" i="15"/>
  <c r="F41" i="27"/>
  <c r="H38" i="27"/>
  <c r="H35" i="27" s="1"/>
  <c r="H132" i="27" s="1"/>
  <c r="J38" i="27"/>
  <c r="J35" i="27" s="1"/>
  <c r="J132" i="27" s="1"/>
  <c r="I129" i="26"/>
  <c r="J129" i="26" s="1"/>
  <c r="F80" i="27"/>
  <c r="G80" i="15"/>
  <c r="I135" i="27"/>
  <c r="J135" i="27"/>
  <c r="F130" i="26"/>
  <c r="J130" i="26"/>
  <c r="J130" i="15" s="1"/>
  <c r="F54" i="27"/>
  <c r="H135" i="27"/>
  <c r="F135" i="26"/>
  <c r="G107" i="27"/>
  <c r="F107" i="27" s="1"/>
  <c r="F153" i="27"/>
  <c r="F137" i="27"/>
  <c r="F183" i="27"/>
  <c r="F191" i="27" s="1"/>
  <c r="J191" i="27"/>
  <c r="I191" i="27"/>
  <c r="H191" i="27"/>
  <c r="F195" i="27"/>
  <c r="F198" i="27"/>
  <c r="G191" i="27"/>
  <c r="F196" i="27"/>
  <c r="F194" i="27"/>
  <c r="F96" i="27"/>
  <c r="J53" i="27"/>
  <c r="J133" i="27" s="1"/>
  <c r="J134" i="27" s="1"/>
  <c r="I53" i="27"/>
  <c r="I133" i="27" s="1"/>
  <c r="I134" i="27" s="1"/>
  <c r="G69" i="27"/>
  <c r="F69" i="27" s="1"/>
  <c r="I35" i="26"/>
  <c r="J134" i="26"/>
  <c r="H134" i="26"/>
  <c r="F36" i="27"/>
  <c r="H53" i="27"/>
  <c r="F43" i="27"/>
  <c r="G35" i="27"/>
  <c r="F38" i="27"/>
  <c r="F125" i="27"/>
  <c r="F136" i="27"/>
  <c r="G53" i="26"/>
  <c r="F152" i="27"/>
  <c r="F108" i="27"/>
  <c r="F135" i="27" l="1"/>
  <c r="G132" i="27"/>
  <c r="H133" i="27"/>
  <c r="H134" i="27" s="1"/>
  <c r="G53" i="27"/>
  <c r="G133" i="27" s="1"/>
  <c r="G134" i="27" s="1"/>
  <c r="I132" i="26"/>
  <c r="I134" i="26" s="1"/>
  <c r="F35" i="26"/>
  <c r="F132" i="26" s="1"/>
  <c r="F35" i="27"/>
  <c r="F132" i="27" s="1"/>
  <c r="F53" i="26"/>
  <c r="F133" i="26" s="1"/>
  <c r="G133" i="26"/>
  <c r="G134" i="26" s="1"/>
  <c r="G129" i="27" l="1"/>
  <c r="F134" i="26"/>
  <c r="F53" i="27"/>
  <c r="H129" i="27" l="1"/>
  <c r="G129" i="15"/>
  <c r="F133" i="27"/>
  <c r="F134" i="27" s="1"/>
  <c r="I129" i="27" l="1"/>
  <c r="H129" i="15"/>
  <c r="B70" i="15"/>
  <c r="B71" i="15" s="1"/>
  <c r="B72" i="15" s="1"/>
  <c r="B73" i="15" s="1"/>
  <c r="B74" i="15" s="1"/>
  <c r="B75" i="15" s="1"/>
  <c r="B76" i="15" s="1"/>
  <c r="B77" i="15" s="1"/>
  <c r="B78" i="15" s="1"/>
  <c r="B79" i="15" s="1"/>
  <c r="B80" i="15" s="1"/>
  <c r="B81" i="15" s="1"/>
  <c r="B82" i="15" s="1"/>
  <c r="B83" i="15" s="1"/>
  <c r="B84" i="15" s="1"/>
  <c r="B85" i="15" s="1"/>
  <c r="B86" i="15" s="1"/>
  <c r="B87" i="15" s="1"/>
  <c r="B88" i="15" s="1"/>
  <c r="B89" i="15" s="1"/>
  <c r="B90" i="15" s="1"/>
  <c r="B91" i="15" s="1"/>
  <c r="B92" i="15" s="1"/>
  <c r="B93" i="15" s="1"/>
  <c r="B94" i="15" s="1"/>
  <c r="B95" i="15" s="1"/>
  <c r="B96" i="15" s="1"/>
  <c r="B97" i="15" s="1"/>
  <c r="B98" i="15" s="1"/>
  <c r="B99" i="15" s="1"/>
  <c r="B100" i="15" s="1"/>
  <c r="B101" i="15" s="1"/>
  <c r="B102" i="15" s="1"/>
  <c r="B103" i="15" s="1"/>
  <c r="B104" i="15" s="1"/>
  <c r="B105" i="15" s="1"/>
  <c r="B106" i="15" s="1"/>
  <c r="B107" i="15" s="1"/>
  <c r="B108" i="15" s="1"/>
  <c r="B109" i="15" s="1"/>
  <c r="B110" i="15" s="1"/>
  <c r="B111" i="15" s="1"/>
  <c r="B112" i="15" s="1"/>
  <c r="B113" i="15" s="1"/>
  <c r="B114" i="15" s="1"/>
  <c r="B115" i="15" s="1"/>
  <c r="B116" i="15" s="1"/>
  <c r="B117" i="15" s="1"/>
  <c r="B118" i="15" s="1"/>
  <c r="B119" i="15" s="1"/>
  <c r="B120" i="15" s="1"/>
  <c r="B121" i="15" s="1"/>
  <c r="B122" i="15" s="1"/>
  <c r="B123" i="15" s="1"/>
  <c r="B124" i="15" s="1"/>
  <c r="B125" i="15" s="1"/>
  <c r="B126" i="15" s="1"/>
  <c r="B127" i="15" s="1"/>
  <c r="B128" i="15" s="1"/>
  <c r="B129" i="15" s="1"/>
  <c r="B130" i="15" s="1"/>
  <c r="B131" i="15" s="1"/>
  <c r="B132" i="15" s="1"/>
  <c r="B133" i="15" s="1"/>
  <c r="B134" i="15" s="1"/>
  <c r="B135" i="15" s="1"/>
  <c r="B136" i="15" s="1"/>
  <c r="B137" i="15" s="1"/>
  <c r="B138" i="15" s="1"/>
  <c r="B139" i="15" s="1"/>
  <c r="B140" i="15" s="1"/>
  <c r="B141" i="15" s="1"/>
  <c r="B142" i="15" s="1"/>
  <c r="B143" i="15" s="1"/>
  <c r="B144" i="15" s="1"/>
  <c r="B145" i="15" s="1"/>
  <c r="B146" i="15" s="1"/>
  <c r="B147" i="15" s="1"/>
  <c r="B148" i="15" s="1"/>
  <c r="B149" i="15" s="1"/>
  <c r="B150" i="15" s="1"/>
  <c r="B151" i="15" s="1"/>
  <c r="B152" i="15" s="1"/>
  <c r="B153" i="15" s="1"/>
  <c r="B154" i="15" s="1"/>
  <c r="B155" i="15" s="1"/>
  <c r="B156" i="15" s="1"/>
  <c r="B157" i="15" s="1"/>
  <c r="B158" i="15" s="1"/>
  <c r="B159" i="15" s="1"/>
  <c r="B160" i="15" s="1"/>
  <c r="B161" i="15" s="1"/>
  <c r="B162" i="15" s="1"/>
  <c r="B163" i="15" s="1"/>
  <c r="B164" i="15" s="1"/>
  <c r="B165" i="15" s="1"/>
  <c r="B166" i="15" s="1"/>
  <c r="B167" i="15" s="1"/>
  <c r="B168" i="15" s="1"/>
  <c r="B169" i="15" s="1"/>
  <c r="B170" i="15" s="1"/>
  <c r="B171" i="15" s="1"/>
  <c r="B172" i="15" s="1"/>
  <c r="B173" i="15" s="1"/>
  <c r="B174" i="15" s="1"/>
  <c r="B175" i="15" s="1"/>
  <c r="B176" i="15" s="1"/>
  <c r="B177" i="15" s="1"/>
  <c r="B178" i="15" s="1"/>
  <c r="B179" i="15" s="1"/>
  <c r="B180" i="15" s="1"/>
  <c r="B181" i="15" s="1"/>
  <c r="B182" i="15" s="1"/>
  <c r="B183" i="15" s="1"/>
  <c r="B184" i="15" s="1"/>
  <c r="B185" i="15" s="1"/>
  <c r="B186" i="15" s="1"/>
  <c r="B187" i="15" s="1"/>
  <c r="B188" i="15" s="1"/>
  <c r="B189" i="15" s="1"/>
  <c r="B190" i="15" s="1"/>
  <c r="B191" i="15" s="1"/>
  <c r="B192" i="15" s="1"/>
  <c r="B193" i="15" s="1"/>
  <c r="B194" i="15" s="1"/>
  <c r="B195" i="15" s="1"/>
  <c r="B196" i="15" s="1"/>
  <c r="B197" i="15" s="1"/>
  <c r="B198" i="15" s="1"/>
  <c r="B199" i="15" s="1"/>
  <c r="B200" i="15" s="1"/>
  <c r="B201" i="15" s="1"/>
  <c r="B202" i="15" s="1"/>
  <c r="B203" i="15" s="1"/>
  <c r="B204" i="15" s="1"/>
  <c r="B205" i="15" s="1"/>
  <c r="B206" i="15" s="1"/>
  <c r="B54" i="15"/>
  <c r="B55" i="15" s="1"/>
  <c r="B56" i="15" s="1"/>
  <c r="B57" i="15" s="1"/>
  <c r="B58" i="15" s="1"/>
  <c r="B59" i="15" s="1"/>
  <c r="B60" i="15" s="1"/>
  <c r="B61" i="15" s="1"/>
  <c r="B62" i="15" s="1"/>
  <c r="B63" i="15" s="1"/>
  <c r="B64" i="15" s="1"/>
  <c r="B35" i="15"/>
  <c r="B36" i="15" s="1"/>
  <c r="B37" i="15" s="1"/>
  <c r="B38" i="15" s="1"/>
  <c r="B39" i="15" s="1"/>
  <c r="B40" i="15" s="1"/>
  <c r="B41" i="15" s="1"/>
  <c r="B42" i="15" s="1"/>
  <c r="B43" i="15" s="1"/>
  <c r="B44" i="15" s="1"/>
  <c r="B45" i="15" s="1"/>
  <c r="B46" i="15" s="1"/>
  <c r="B47" i="15" s="1"/>
  <c r="B48" i="15" s="1"/>
  <c r="B49" i="15" s="1"/>
  <c r="B50" i="15" s="1"/>
  <c r="I129" i="15" l="1"/>
  <c r="J129" i="27"/>
  <c r="J129" i="15" s="1"/>
  <c r="J136" i="15"/>
  <c r="I136" i="15"/>
  <c r="H136" i="15"/>
  <c r="F56" i="15"/>
  <c r="F188" i="15" l="1"/>
  <c r="F184" i="15"/>
  <c r="J198" i="15" l="1"/>
  <c r="J197" i="15"/>
  <c r="J196" i="15"/>
  <c r="J195" i="15"/>
  <c r="J194" i="15"/>
  <c r="J193" i="15"/>
  <c r="J192" i="15"/>
  <c r="I198" i="15"/>
  <c r="I197" i="15"/>
  <c r="I196" i="15"/>
  <c r="I195" i="15"/>
  <c r="I194" i="15"/>
  <c r="I193" i="15"/>
  <c r="I192" i="15"/>
  <c r="H198" i="15"/>
  <c r="H197" i="15"/>
  <c r="H196" i="15"/>
  <c r="H195" i="15"/>
  <c r="H194" i="15"/>
  <c r="H193" i="15"/>
  <c r="H192" i="15"/>
  <c r="G194" i="15"/>
  <c r="G198" i="15"/>
  <c r="G197" i="15"/>
  <c r="G196" i="15"/>
  <c r="G195" i="15"/>
  <c r="G193" i="15"/>
  <c r="G192" i="15"/>
  <c r="F196" i="15"/>
  <c r="F192" i="15"/>
  <c r="J183" i="15"/>
  <c r="J137" i="15" s="1"/>
  <c r="J135" i="15" s="1"/>
  <c r="I183" i="15"/>
  <c r="I137" i="15" s="1"/>
  <c r="I135" i="15" s="1"/>
  <c r="H183" i="15"/>
  <c r="H137" i="15" s="1"/>
  <c r="H135" i="15" s="1"/>
  <c r="G183" i="15"/>
  <c r="G137" i="15" s="1"/>
  <c r="J175" i="15"/>
  <c r="I175" i="15"/>
  <c r="H175" i="15"/>
  <c r="G175" i="15"/>
  <c r="J153" i="15"/>
  <c r="J152" i="15" s="1"/>
  <c r="I153" i="15"/>
  <c r="I152" i="15" s="1"/>
  <c r="H153" i="15"/>
  <c r="H152" i="15" s="1"/>
  <c r="G153" i="15"/>
  <c r="G152" i="15" s="1"/>
  <c r="J54" i="15"/>
  <c r="J36" i="15" s="1"/>
  <c r="I54" i="15"/>
  <c r="I36" i="15" s="1"/>
  <c r="H54" i="15"/>
  <c r="H36" i="15" s="1"/>
  <c r="G54" i="15"/>
  <c r="G36" i="15" s="1"/>
  <c r="J43" i="15"/>
  <c r="I43" i="15"/>
  <c r="H43" i="15"/>
  <c r="G43" i="15"/>
  <c r="F36" i="15" l="1"/>
  <c r="G135" i="15"/>
  <c r="G191" i="15"/>
  <c r="I191" i="15"/>
  <c r="H191" i="15"/>
  <c r="J191" i="15"/>
  <c r="F175" i="15"/>
  <c r="F206" i="15" l="1"/>
  <c r="F205" i="15"/>
  <c r="F204" i="15"/>
  <c r="F203" i="15"/>
  <c r="F202" i="15"/>
  <c r="F201" i="15"/>
  <c r="F200" i="15"/>
  <c r="F199" i="15"/>
  <c r="F190" i="15"/>
  <c r="F198" i="15" s="1"/>
  <c r="F189" i="15"/>
  <c r="F197" i="15" s="1"/>
  <c r="F187" i="15"/>
  <c r="F195" i="15" s="1"/>
  <c r="F186" i="15"/>
  <c r="F194" i="15" s="1"/>
  <c r="F185" i="15"/>
  <c r="F193" i="15" s="1"/>
  <c r="F183" i="15"/>
  <c r="F191" i="15" s="1"/>
  <c r="F174" i="15"/>
  <c r="F173" i="15"/>
  <c r="F172" i="15"/>
  <c r="F168" i="15"/>
  <c r="F167" i="15"/>
  <c r="F166" i="15"/>
  <c r="F165" i="15"/>
  <c r="F164" i="15"/>
  <c r="F163" i="15"/>
  <c r="F162" i="15"/>
  <c r="F161" i="15"/>
  <c r="F160" i="15"/>
  <c r="F159" i="15"/>
  <c r="F158" i="15"/>
  <c r="F157" i="15"/>
  <c r="F156" i="15"/>
  <c r="F155" i="15"/>
  <c r="F154" i="15"/>
  <c r="F153" i="15"/>
  <c r="F150" i="15"/>
  <c r="F149" i="15"/>
  <c r="F148" i="15"/>
  <c r="F147" i="15"/>
  <c r="F146" i="15"/>
  <c r="F145" i="15"/>
  <c r="F144" i="15"/>
  <c r="H140" i="15"/>
  <c r="F142" i="15"/>
  <c r="F141" i="15"/>
  <c r="F139" i="15"/>
  <c r="F138" i="15"/>
  <c r="F137" i="15"/>
  <c r="F136" i="15"/>
  <c r="F135" i="15"/>
  <c r="F131" i="15"/>
  <c r="F128" i="15"/>
  <c r="F127" i="15"/>
  <c r="F126" i="15"/>
  <c r="J125" i="15"/>
  <c r="J40" i="15" s="1"/>
  <c r="I125" i="15"/>
  <c r="I40" i="15" s="1"/>
  <c r="H125" i="15"/>
  <c r="H40" i="15" s="1"/>
  <c r="G125" i="15"/>
  <c r="G40" i="15" s="1"/>
  <c r="F124" i="15"/>
  <c r="F123" i="15"/>
  <c r="F122" i="15"/>
  <c r="F121" i="15"/>
  <c r="F120" i="15"/>
  <c r="J119" i="15"/>
  <c r="J39" i="15" s="1"/>
  <c r="I119" i="15"/>
  <c r="I39" i="15" s="1"/>
  <c r="H119" i="15"/>
  <c r="H39" i="15" s="1"/>
  <c r="G119" i="15"/>
  <c r="G39" i="15" s="1"/>
  <c r="F118" i="15"/>
  <c r="F117" i="15"/>
  <c r="F116" i="15"/>
  <c r="F115" i="15"/>
  <c r="F114" i="15"/>
  <c r="F113" i="15"/>
  <c r="F112" i="15"/>
  <c r="F111" i="15"/>
  <c r="F110" i="15"/>
  <c r="F109" i="15"/>
  <c r="J108" i="15"/>
  <c r="I108" i="15"/>
  <c r="H108" i="15"/>
  <c r="G108" i="15"/>
  <c r="F106" i="15"/>
  <c r="F105" i="15"/>
  <c r="F104" i="15"/>
  <c r="F103" i="15"/>
  <c r="F102" i="15"/>
  <c r="F101" i="15"/>
  <c r="F100" i="15"/>
  <c r="F99" i="15"/>
  <c r="F98" i="15"/>
  <c r="F97" i="15"/>
  <c r="J96" i="15"/>
  <c r="I96" i="15"/>
  <c r="H96" i="15"/>
  <c r="G96" i="15"/>
  <c r="F95" i="15"/>
  <c r="F94" i="15"/>
  <c r="F93" i="15"/>
  <c r="F92" i="15"/>
  <c r="F91" i="15"/>
  <c r="F90" i="15"/>
  <c r="F89" i="15"/>
  <c r="F88" i="15"/>
  <c r="F87" i="15"/>
  <c r="F86" i="15"/>
  <c r="F85" i="15"/>
  <c r="F84" i="15"/>
  <c r="F83" i="15"/>
  <c r="F82" i="15"/>
  <c r="F81" i="15"/>
  <c r="F80" i="15"/>
  <c r="F79" i="15"/>
  <c r="F78" i="15"/>
  <c r="F76" i="15"/>
  <c r="F75" i="15"/>
  <c r="F74" i="15"/>
  <c r="F73" i="15"/>
  <c r="F71" i="15"/>
  <c r="F70" i="15"/>
  <c r="J69" i="15"/>
  <c r="I69" i="15"/>
  <c r="H69" i="15"/>
  <c r="F68" i="15"/>
  <c r="F67" i="15"/>
  <c r="F66" i="15"/>
  <c r="F64" i="15"/>
  <c r="F63" i="15"/>
  <c r="F62" i="15"/>
  <c r="F61" i="15"/>
  <c r="F60" i="15"/>
  <c r="F59" i="15"/>
  <c r="F58" i="15"/>
  <c r="F57" i="15"/>
  <c r="F55" i="15"/>
  <c r="F50" i="15"/>
  <c r="F49" i="15"/>
  <c r="F48" i="15"/>
  <c r="F47" i="15"/>
  <c r="F46" i="15"/>
  <c r="F45" i="15"/>
  <c r="F44" i="15"/>
  <c r="F43" i="15"/>
  <c r="D35" i="15"/>
  <c r="F42" i="15"/>
  <c r="F41" i="15"/>
  <c r="F37" i="15"/>
  <c r="F54" i="15" l="1"/>
  <c r="H38" i="15"/>
  <c r="H35" i="15" s="1"/>
  <c r="H132" i="15" s="1"/>
  <c r="J38" i="15"/>
  <c r="J35" i="15" s="1"/>
  <c r="J132" i="15" s="1"/>
  <c r="I38" i="15"/>
  <c r="I35" i="15" s="1"/>
  <c r="I132" i="15" s="1"/>
  <c r="F39" i="15"/>
  <c r="G38" i="15"/>
  <c r="G35" i="15" s="1"/>
  <c r="F35" i="15" s="1"/>
  <c r="F132" i="15" s="1"/>
  <c r="F40" i="15"/>
  <c r="J107" i="15"/>
  <c r="J53" i="15" s="1"/>
  <c r="J133" i="15" s="1"/>
  <c r="J134" i="15" s="1"/>
  <c r="H107" i="15"/>
  <c r="H53" i="15" s="1"/>
  <c r="H133" i="15" s="1"/>
  <c r="F125" i="15"/>
  <c r="F119" i="15"/>
  <c r="I107" i="15"/>
  <c r="I53" i="15" s="1"/>
  <c r="I133" i="15" s="1"/>
  <c r="I134" i="15" s="1"/>
  <c r="F108" i="15"/>
  <c r="F96" i="15"/>
  <c r="G107" i="15"/>
  <c r="H134" i="15" l="1"/>
  <c r="F38" i="15"/>
  <c r="G132" i="15"/>
  <c r="F107" i="15"/>
  <c r="F152" i="15" l="1"/>
  <c r="F72" i="15"/>
  <c r="F77" i="15"/>
  <c r="G69" i="15"/>
  <c r="F69" i="15" l="1"/>
  <c r="G53" i="15"/>
  <c r="F53" i="15" l="1"/>
  <c r="F133" i="15" s="1"/>
  <c r="F134" i="15" s="1"/>
  <c r="G133" i="15"/>
  <c r="G134" i="15" s="1"/>
  <c r="F143" i="15"/>
  <c r="F140" i="15"/>
</calcChain>
</file>

<file path=xl/sharedStrings.xml><?xml version="1.0" encoding="utf-8"?>
<sst xmlns="http://schemas.openxmlformats.org/spreadsheetml/2006/main" count="2007" uniqueCount="836">
  <si>
    <t>Додаток 1 до Порядку складання, затвердження та контролю виконання фінансового плану комунального некомерційного підприємства охорони здоров’я Івано-Франківської міської ради</t>
  </si>
  <si>
    <t>ЗАТВЕРДЖЕНО</t>
  </si>
  <si>
    <t>"ПОГОДЖЕНО"</t>
  </si>
  <si>
    <t>Міський голова</t>
  </si>
  <si>
    <t>"____" _______________ 20___ р.</t>
  </si>
  <si>
    <t>Проект</t>
  </si>
  <si>
    <t>Попередній</t>
  </si>
  <si>
    <t xml:space="preserve">Начальник управління охорони здоров'я </t>
  </si>
  <si>
    <t>Уточнений</t>
  </si>
  <si>
    <t>Івано-Франківської міської ради</t>
  </si>
  <si>
    <t>Зміни</t>
  </si>
  <si>
    <t>зробити позначку "Х"</t>
  </si>
  <si>
    <t>Рік</t>
  </si>
  <si>
    <t>Коди</t>
  </si>
  <si>
    <t>Назва підприємства</t>
  </si>
  <si>
    <t>за ЄДРПОУ</t>
  </si>
  <si>
    <t>Організаційно-правова форма</t>
  </si>
  <si>
    <t>за КОПФГ</t>
  </si>
  <si>
    <t>Територія</t>
  </si>
  <si>
    <t>за КОАТУУ</t>
  </si>
  <si>
    <t>Орган державного управління</t>
  </si>
  <si>
    <t>за СПОДУ</t>
  </si>
  <si>
    <t>Галузь</t>
  </si>
  <si>
    <t>за ЗКГНГ</t>
  </si>
  <si>
    <t>Вид економічної діяльності</t>
  </si>
  <si>
    <t>за КВЕД</t>
  </si>
  <si>
    <t>Одиниця виміру</t>
  </si>
  <si>
    <t>тис. гривень</t>
  </si>
  <si>
    <t>Форма власності</t>
  </si>
  <si>
    <t>Стандарти звітності П(с)БОУ</t>
  </si>
  <si>
    <t>Місцезнаходження</t>
  </si>
  <si>
    <t>Стандарти звітності МСФЗ</t>
  </si>
  <si>
    <t>Телефон</t>
  </si>
  <si>
    <t>Прізвище та ініціали керівника</t>
  </si>
  <si>
    <t>тис. грн.</t>
  </si>
  <si>
    <t>Найменування показника</t>
  </si>
  <si>
    <t xml:space="preserve">Код рядка </t>
  </si>
  <si>
    <t xml:space="preserve">У тому числі за кварталами </t>
  </si>
  <si>
    <t>Пояснення та обґрунтування до запланованого рівня доходів/витрат</t>
  </si>
  <si>
    <t xml:space="preserve">І  </t>
  </si>
  <si>
    <t xml:space="preserve">ІІ  </t>
  </si>
  <si>
    <t xml:space="preserve">ІІІ  </t>
  </si>
  <si>
    <t xml:space="preserve">ІV </t>
  </si>
  <si>
    <t>I. Формування фінансових результатів</t>
  </si>
  <si>
    <t>дохід від операційної оренди активів</t>
  </si>
  <si>
    <t>дохід від реалізації необоротних активів</t>
  </si>
  <si>
    <t>Медикаменти та перев'язувальні матеріали</t>
  </si>
  <si>
    <t>Продукти харчування</t>
  </si>
  <si>
    <t xml:space="preserve">Інші виплати населенню </t>
  </si>
  <si>
    <t>Усього доходів</t>
  </si>
  <si>
    <t>Усього видатків</t>
  </si>
  <si>
    <t>Фінансовий результат</t>
  </si>
  <si>
    <t>IІ. Розрахунки з бюджетом</t>
  </si>
  <si>
    <t>Сплата податків та зборів до Державного бюджету України (податкові платежі)</t>
  </si>
  <si>
    <t>Сплата податків та зборів до місцевих бюджетів (податкові платежі)</t>
  </si>
  <si>
    <t>Інші податки, збори та платежі на користь держави</t>
  </si>
  <si>
    <t>Податкова заборгованість</t>
  </si>
  <si>
    <t>III. Інвестиційна діяльність</t>
  </si>
  <si>
    <t>Доходи від інвестиційної діяльності, у т.ч.:</t>
  </si>
  <si>
    <t>доходи з місцевого бюджету цільового фінансування по капітальних видатках</t>
  </si>
  <si>
    <t>Капітальні інвестиції, у т.ч.: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</si>
  <si>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</si>
  <si>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</si>
  <si>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</si>
  <si>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</si>
  <si>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</si>
  <si>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</si>
  <si>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Доходи від фінансової діяльності за зобов’язаннями, у т. ч.:</t>
  </si>
  <si>
    <t>кредити</t>
  </si>
  <si>
    <t>позики</t>
  </si>
  <si>
    <t>депозити</t>
  </si>
  <si>
    <t>Інші надходження</t>
  </si>
  <si>
    <t>Витрати від фінансової діяльності за зобов’язаннями, у т. ч.:</t>
  </si>
  <si>
    <t>Валова рентабельність</t>
  </si>
  <si>
    <t>Коефіцієнт відношення капітальних інвестицій до амортизації</t>
  </si>
  <si>
    <t>Коефіцієнт зносу основних засобів</t>
  </si>
  <si>
    <t>Необоротні активи</t>
  </si>
  <si>
    <t>Оборотні активи</t>
  </si>
  <si>
    <t>Усього активи</t>
  </si>
  <si>
    <t>Дебіторська заборгованість</t>
  </si>
  <si>
    <t>Кредиторська заборгованість</t>
  </si>
  <si>
    <t>Керівник</t>
  </si>
  <si>
    <t>Лікарі</t>
  </si>
  <si>
    <t>Адміністративно-управлінський персонал</t>
  </si>
  <si>
    <t>Середній медичний персонал</t>
  </si>
  <si>
    <t>Молодший медичний персонал</t>
  </si>
  <si>
    <t>Інший персонал</t>
  </si>
  <si>
    <t>Фонд оплати праці, у т.ч.:</t>
  </si>
  <si>
    <t>Заборгованість за заробітною платою, у т.ч.:</t>
  </si>
  <si>
    <t>Інші доходи, у т.ч.:</t>
  </si>
  <si>
    <t>Заробітна плата</t>
  </si>
  <si>
    <t>Нарахування на оплату праці</t>
  </si>
  <si>
    <t xml:space="preserve">Доходи за Договором з Національною службою здоров'я України </t>
  </si>
  <si>
    <t>дохід (виручка) від реалізації продукції (товарів, робіт, послуг)</t>
  </si>
  <si>
    <t>паливно-мастильні матеріали, автозапчастини</t>
  </si>
  <si>
    <t>поточний ремонт приміщень</t>
  </si>
  <si>
    <t>страхові послуги</t>
  </si>
  <si>
    <t>юридичні та нотаріальні послуги</t>
  </si>
  <si>
    <t>витрати на охорону праці та навчання працівників</t>
  </si>
  <si>
    <t>господарські товари та інвентар</t>
  </si>
  <si>
    <t>обслуговування ліфтів, послуги охорони, сигналізація</t>
  </si>
  <si>
    <t>Видатки на відрядження</t>
  </si>
  <si>
    <t>Виплата пенсій і допомог</t>
  </si>
  <si>
    <t>Придбання основних засобів</t>
  </si>
  <si>
    <t>Капітальний ремонт, реконструкція та реставрація</t>
  </si>
  <si>
    <t>Капітальне будівництво</t>
  </si>
  <si>
    <t>Інші видатки</t>
  </si>
  <si>
    <t>Видатки, в т.ч.:</t>
  </si>
  <si>
    <t>витрати на придбання і супровід програмного забезпечення, зв'язок і інтернет</t>
  </si>
  <si>
    <t>1060.1</t>
  </si>
  <si>
    <t>1110.1</t>
  </si>
  <si>
    <t>1110.2</t>
  </si>
  <si>
    <t>1150.1</t>
  </si>
  <si>
    <t>Гранти від міжнародних організацій</t>
  </si>
  <si>
    <t>Заступники керівника</t>
  </si>
  <si>
    <t>Заступника керівника</t>
  </si>
  <si>
    <t>канцелярські товари, офісне приладдя та устаткування, бланки</t>
  </si>
  <si>
    <t>інше</t>
  </si>
  <si>
    <t>Номер рядка</t>
  </si>
  <si>
    <t>витратні матеріали, апаратура (маловартісна)</t>
  </si>
  <si>
    <t>лабораторні дослідження (цитологічні, гістологічні, інші)</t>
  </si>
  <si>
    <t>повірка, поточні ремонти обладнання, транспортних засобів</t>
  </si>
  <si>
    <t>вивезення біовідходів</t>
  </si>
  <si>
    <t>витрати на теплопостачання</t>
  </si>
  <si>
    <t>витрати на водопостачання та водовідведення</t>
  </si>
  <si>
    <t>витрати на електроенергії</t>
  </si>
  <si>
    <t>витрати на природного газу</t>
  </si>
  <si>
    <t>ІV. Вартість основних засобів (балансова вартість)</t>
  </si>
  <si>
    <t>V. Фінансова діяльність підприємства</t>
  </si>
  <si>
    <t>VІ. Коефіцієнтний аналіз</t>
  </si>
  <si>
    <t>Коефіцієнт відношення капітальних інвестицій до чистого доходу від реалізації  продукції (товарів, робіт, послуг)</t>
  </si>
  <si>
    <t>VІІ. Звіт про фінансовий стан</t>
  </si>
  <si>
    <t>VІII. Дані про персонал та оплата праці</t>
  </si>
  <si>
    <t>Дохід з місцевого бюджету, в т.ч.:</t>
  </si>
  <si>
    <t xml:space="preserve">            відшкодування вартості комунальних послуг</t>
  </si>
  <si>
    <t>1040.1</t>
  </si>
  <si>
    <t xml:space="preserve">            капітальні видатки</t>
  </si>
  <si>
    <t>1040.2</t>
  </si>
  <si>
    <t xml:space="preserve">            інші програми</t>
  </si>
  <si>
    <t>1040.3</t>
  </si>
  <si>
    <t>Дохід з місцевого бюджету за діючими міськими цільовими програмами</t>
  </si>
  <si>
    <t>1060.2</t>
  </si>
  <si>
    <t>1060.3</t>
  </si>
  <si>
    <t>1060.4</t>
  </si>
  <si>
    <t>інші джерела власних надходжень</t>
  </si>
  <si>
    <t>1060.5</t>
  </si>
  <si>
    <t>1060.6</t>
  </si>
  <si>
    <t>виконання інвестиційних проектів в рамках здійснення заходів щодо соціально-економічного розвитку окремих територій</t>
  </si>
  <si>
    <t>1060.7</t>
  </si>
  <si>
    <t>Предмети, матеріали, обладнання та інвентар</t>
  </si>
  <si>
    <t>Оплата послуг (крім комунальних)</t>
  </si>
  <si>
    <t>Інші  видатки</t>
  </si>
  <si>
    <t>Капітальні видатки (НСЗУ)</t>
  </si>
  <si>
    <t>1110.3</t>
  </si>
  <si>
    <t>1110.4</t>
  </si>
  <si>
    <t>1110.5</t>
  </si>
  <si>
    <t>1110.6</t>
  </si>
  <si>
    <t>1110.7</t>
  </si>
  <si>
    <t>1110.8</t>
  </si>
  <si>
    <t>1110.9</t>
  </si>
  <si>
    <t>1110.10</t>
  </si>
  <si>
    <t>Видатки з місцевого бюджету, в т.ч.:</t>
  </si>
  <si>
    <t xml:space="preserve">Інші програми </t>
  </si>
  <si>
    <t>1130.1</t>
  </si>
  <si>
    <t>1130.2</t>
  </si>
  <si>
    <t>1130.3</t>
  </si>
  <si>
    <t>1130.4</t>
  </si>
  <si>
    <t>1130.5</t>
  </si>
  <si>
    <t>1130.6</t>
  </si>
  <si>
    <t>1130.7</t>
  </si>
  <si>
    <t>1130.8</t>
  </si>
  <si>
    <t>1130.9</t>
  </si>
  <si>
    <t>1130.10</t>
  </si>
  <si>
    <t>витрати на оплату інших енергоносіїв та інших комунальних послуг</t>
  </si>
  <si>
    <t>Капітальні видатки (місцевого бюджету)</t>
  </si>
  <si>
    <t>1150.2</t>
  </si>
  <si>
    <t>1150.3</t>
  </si>
  <si>
    <t>Резервний фонд (не менше 5% від сукупного доходу підприємства)</t>
  </si>
  <si>
    <t>3030.1</t>
  </si>
  <si>
    <t>3030.2</t>
  </si>
  <si>
    <t>3030.3</t>
  </si>
  <si>
    <t>3030.4</t>
  </si>
  <si>
    <t>3030.5</t>
  </si>
  <si>
    <t>3030.6</t>
  </si>
  <si>
    <t>5010.1</t>
  </si>
  <si>
    <t>5010.2</t>
  </si>
  <si>
    <t>5010.3</t>
  </si>
  <si>
    <t>5030.1</t>
  </si>
  <si>
    <t>5030.2</t>
  </si>
  <si>
    <t>5030.3</t>
  </si>
  <si>
    <t>Інші витрати</t>
  </si>
  <si>
    <t>8010.1</t>
  </si>
  <si>
    <t>8010.2</t>
  </si>
  <si>
    <t>8010.3</t>
  </si>
  <si>
    <t>8010.4</t>
  </si>
  <si>
    <t>8010.5</t>
  </si>
  <si>
    <t>8010.6</t>
  </si>
  <si>
    <t>8010.7</t>
  </si>
  <si>
    <t>8020.1</t>
  </si>
  <si>
    <t>8020.2</t>
  </si>
  <si>
    <t>8020.3</t>
  </si>
  <si>
    <t>8020.4</t>
  </si>
  <si>
    <t>8020.5</t>
  </si>
  <si>
    <t>8020.6</t>
  </si>
  <si>
    <t>8020.7</t>
  </si>
  <si>
    <t>8030.1</t>
  </si>
  <si>
    <t>8030.2</t>
  </si>
  <si>
    <t>8030.3</t>
  </si>
  <si>
    <t>8030.4</t>
  </si>
  <si>
    <t>8030.5</t>
  </si>
  <si>
    <t>8030.6</t>
  </si>
  <si>
    <t>8030.7</t>
  </si>
  <si>
    <t>8040.1</t>
  </si>
  <si>
    <t>8040.2</t>
  </si>
  <si>
    <t>8040.3</t>
  </si>
  <si>
    <t>8040.4</t>
  </si>
  <si>
    <t>8040.5</t>
  </si>
  <si>
    <t>8040.6</t>
  </si>
  <si>
    <t>8040.7</t>
  </si>
  <si>
    <t>Кількість штатних одиниць</t>
  </si>
  <si>
    <t>Субвенція з державного бюджету</t>
  </si>
  <si>
    <t>Кількість  штатних працівників, у т.ч.:</t>
  </si>
  <si>
    <t>Ліміт на рік</t>
  </si>
  <si>
    <t>І квартал</t>
  </si>
  <si>
    <t>ІІ квартал</t>
  </si>
  <si>
    <t>ІІІ квартал</t>
  </si>
  <si>
    <t>ІV квартал</t>
  </si>
  <si>
    <t>Разом</t>
  </si>
  <si>
    <t>Теплова енергія</t>
  </si>
  <si>
    <t>г/кал</t>
  </si>
  <si>
    <t xml:space="preserve">    тариф</t>
  </si>
  <si>
    <t xml:space="preserve">    сума</t>
  </si>
  <si>
    <t>гаряча вода</t>
  </si>
  <si>
    <t>м/куб</t>
  </si>
  <si>
    <t>Разом теплоенергія</t>
  </si>
  <si>
    <t>холодна вода</t>
  </si>
  <si>
    <t>Водовідведення</t>
  </si>
  <si>
    <t>Разом вода і водовідведення</t>
  </si>
  <si>
    <t>Електроенергія</t>
  </si>
  <si>
    <t>квт/год</t>
  </si>
  <si>
    <t xml:space="preserve">    - споживання</t>
  </si>
  <si>
    <t xml:space="preserve">        тариф</t>
  </si>
  <si>
    <t xml:space="preserve">        сума</t>
  </si>
  <si>
    <t xml:space="preserve">    - розподіл</t>
  </si>
  <si>
    <t>Разом електроенергія</t>
  </si>
  <si>
    <t>Природний газ</t>
  </si>
  <si>
    <t>Разом природний газ</t>
  </si>
  <si>
    <t>Савчук О.В.</t>
  </si>
  <si>
    <t>КНП "Центр первинної медичної і консультативно-діагностичної допомоги"</t>
  </si>
  <si>
    <t>комунальне підприємство</t>
  </si>
  <si>
    <t>Івано-Франківськ</t>
  </si>
  <si>
    <t>Охорона здоров'я</t>
  </si>
  <si>
    <t>Діяльність лікарських закладів</t>
  </si>
  <si>
    <t>комунальна</t>
  </si>
  <si>
    <t>Україна, 76018, Івано-Франківська область, м.Івано-Франківськ, вул.Привокзальна, 17</t>
  </si>
  <si>
    <t>59-22-27</t>
  </si>
  <si>
    <t>86.10</t>
  </si>
  <si>
    <t>ВСЬОГО:</t>
  </si>
  <si>
    <t>Разом сміття</t>
  </si>
  <si>
    <t>Капітальні інвестиції</t>
  </si>
  <si>
    <t>Найменування об'єкта</t>
  </si>
  <si>
    <t>Строк реалізації об'єкта (рік початку і завершення)</t>
  </si>
  <si>
    <t>Всього</t>
  </si>
  <si>
    <t>Додаток 1</t>
  </si>
  <si>
    <t>тис.грн</t>
  </si>
  <si>
    <t>Додаток 4</t>
  </si>
  <si>
    <t>н/п</t>
  </si>
  <si>
    <t>Назва послуги</t>
  </si>
  <si>
    <t>Сума</t>
  </si>
  <si>
    <t>Первинка</t>
  </si>
  <si>
    <t>Гістологічні дослідження</t>
  </si>
  <si>
    <t>Навчання( адмін.госп.пер.)</t>
  </si>
  <si>
    <t>Обслуговування ліфтів (Сп №2 та МДП)</t>
  </si>
  <si>
    <t>Охорона обєктів і протипожежна сигналізація(СП№5,СП№3,СП№1,МДП і пед.відділення.)</t>
  </si>
  <si>
    <t>Технічне обслуговування та ремонт мед.обладнання  (Медтехніка)(графік)</t>
  </si>
  <si>
    <t>Повірка медичного обладнання  ДП                                      "Ів.Фр.Нау.вир.центр Стандарт метрологія)                (згідно списків потреб)</t>
  </si>
  <si>
    <t>Ремонт та тех.обслуговування медобладнання (флюрограф і рентгенапарати)</t>
  </si>
  <si>
    <t>Передплата періодичне видання</t>
  </si>
  <si>
    <t>Відшкодування комунальних послуг по педіатричному відділенні №8</t>
  </si>
  <si>
    <t>Послуги по стоматології СП №5(зубопротезувальника )</t>
  </si>
  <si>
    <t>Послуги поточні(пломб.ліч.касове обслуг.тощо)</t>
  </si>
  <si>
    <t>Ремонт автомобілів</t>
  </si>
  <si>
    <t>Запасні частини до транспортних засобів</t>
  </si>
  <si>
    <t>Інтернет , зв'язок,телефон</t>
  </si>
  <si>
    <t>Заправка катриджів</t>
  </si>
  <si>
    <t>Ремонт оргтехніки</t>
  </si>
  <si>
    <t>Витрати на охорону праці і навчання (згідно плану Інженера з Охр.прац.)</t>
  </si>
  <si>
    <t>Юридичні послуги</t>
  </si>
  <si>
    <t>Витрати на службові відрядження</t>
  </si>
  <si>
    <t>Всього:</t>
  </si>
  <si>
    <t>Вторинка (Спецфонд)</t>
  </si>
  <si>
    <t>Первинка (НСЗУ)</t>
  </si>
  <si>
    <t>Додаток 3</t>
  </si>
  <si>
    <t>Вивезення біовідходів</t>
  </si>
  <si>
    <t>Господарські товари та інвентар</t>
  </si>
  <si>
    <t>Назва товару</t>
  </si>
  <si>
    <t>Кількість</t>
  </si>
  <si>
    <t>Ціна</t>
  </si>
  <si>
    <t>шт</t>
  </si>
  <si>
    <t xml:space="preserve">Чистящий порошок </t>
  </si>
  <si>
    <t>Мило господарське</t>
  </si>
  <si>
    <t>Госодарські товари</t>
  </si>
  <si>
    <t>Мітла пластикова</t>
  </si>
  <si>
    <t>Совок для сміття</t>
  </si>
  <si>
    <t>Відра педальні для сміття</t>
  </si>
  <si>
    <t>Віник для вулиці</t>
  </si>
  <si>
    <t>Набір мочалок</t>
  </si>
  <si>
    <t>Пакети для сміття</t>
  </si>
  <si>
    <t>Пакети для сміття великі</t>
  </si>
  <si>
    <t>Дрібний інвентар (при потребі)</t>
  </si>
  <si>
    <t>Вода звичайна (Моршинська)</t>
  </si>
  <si>
    <t>Вода бутильована</t>
  </si>
  <si>
    <t>Електротовари</t>
  </si>
  <si>
    <t>Постільна білизна</t>
  </si>
  <si>
    <t>Рушники вафельні</t>
  </si>
  <si>
    <t>Наволочки</t>
  </si>
  <si>
    <t>Підодіяльники</t>
  </si>
  <si>
    <t>Простирадло</t>
  </si>
  <si>
    <t>Одноразові простині</t>
  </si>
  <si>
    <t>рул.</t>
  </si>
  <si>
    <t>Сантехніка</t>
  </si>
  <si>
    <t>Сифони</t>
  </si>
  <si>
    <t>Крани 15</t>
  </si>
  <si>
    <t>Шланги д/змішувачів</t>
  </si>
  <si>
    <t>Труба каналізаційна - 50</t>
  </si>
  <si>
    <t>Коліна каналізаційні - 50</t>
  </si>
  <si>
    <t>Трійник каналізаційний - 50</t>
  </si>
  <si>
    <t>Градусники ТТШ-М</t>
  </si>
  <si>
    <t>Шурупи</t>
  </si>
  <si>
    <t>короб.</t>
  </si>
  <si>
    <t>Змішувачі д/умивальників</t>
  </si>
  <si>
    <t>Набір ключів рожкових</t>
  </si>
  <si>
    <t>Трос д/пробивання каналіз.</t>
  </si>
  <si>
    <t>Замок врізний</t>
  </si>
  <si>
    <t>Друкована продукція,бланки( особ картки,рецеп.бланки,тощо)</t>
  </si>
  <si>
    <t>Додаток 5</t>
  </si>
  <si>
    <t>КАНЦТОВАРИ</t>
  </si>
  <si>
    <t>Один.    виміру</t>
  </si>
  <si>
    <t>Канцтовари</t>
  </si>
  <si>
    <t>Ручка кулькова</t>
  </si>
  <si>
    <t>Ручка гелева</t>
  </si>
  <si>
    <t>Коректор-ручка</t>
  </si>
  <si>
    <t>Коректор з пензликом</t>
  </si>
  <si>
    <t>Клей</t>
  </si>
  <si>
    <t>Клей олівець</t>
  </si>
  <si>
    <t>Стержень кульковий</t>
  </si>
  <si>
    <t>Стержень гелевий</t>
  </si>
  <si>
    <t>Скоби № 24/6  1000 шт</t>
  </si>
  <si>
    <t>пачка</t>
  </si>
  <si>
    <t>Скоби № 23/10  1000 шт</t>
  </si>
  <si>
    <t>Скріпки 25 мм 100шт</t>
  </si>
  <si>
    <t>Скріпки 28 мм 100шт</t>
  </si>
  <si>
    <t>Степлер</t>
  </si>
  <si>
    <t>Сегрегатор</t>
  </si>
  <si>
    <t>Олівці з гумкою</t>
  </si>
  <si>
    <t>Папки на завязках</t>
  </si>
  <si>
    <t>Швидкозшивачі</t>
  </si>
  <si>
    <t>Папір ксероксний</t>
  </si>
  <si>
    <t>Папір газетний</t>
  </si>
  <si>
    <t>Папір для нотаток 90*90</t>
  </si>
  <si>
    <t>Файли А4 100шт.</t>
  </si>
  <si>
    <t>Дирокіл пластмасовий</t>
  </si>
  <si>
    <t>Маркер</t>
  </si>
  <si>
    <t>Фарба штемпельна</t>
  </si>
  <si>
    <t>Змінна штемп.подушка</t>
  </si>
  <si>
    <t>Поштові марки</t>
  </si>
  <si>
    <t>Конверти</t>
  </si>
  <si>
    <t>Предмети, матеріали,меблі</t>
  </si>
  <si>
    <t>Жалюзі</t>
  </si>
  <si>
    <t>Витрати на паливо-мастильні матеріали</t>
  </si>
  <si>
    <t>Додаток 6</t>
  </si>
  <si>
    <t xml:space="preserve">К-сть один. </t>
  </si>
  <si>
    <t>Страхування автотранспорту</t>
  </si>
  <si>
    <t>Страхування водіїв</t>
  </si>
  <si>
    <t>Страхування ВІЛ сніду</t>
  </si>
  <si>
    <t>Страхування від гепатиту</t>
  </si>
  <si>
    <t>Медичні вироби:</t>
  </si>
  <si>
    <t>Лабораторні реактиви:</t>
  </si>
  <si>
    <t>Лабораторний посуд:</t>
  </si>
  <si>
    <t>Дезінфікуючі засоби:</t>
  </si>
  <si>
    <t>Медичні  меблі :</t>
  </si>
  <si>
    <t>Прибиральний інвентар (швабри, відра)</t>
  </si>
  <si>
    <t>Контейнери для сміття</t>
  </si>
  <si>
    <t>скарифікатори уп №100 -150 уп.</t>
  </si>
  <si>
    <t>рукавиці стерильні(S,M,L,XL) 30 000 пар</t>
  </si>
  <si>
    <t>рукавиці нестерильні нітрилові(S,M,L,XL)- 60 000 пар</t>
  </si>
  <si>
    <t>гінекологічні набори-20 000 шт.</t>
  </si>
  <si>
    <t>зонди урогінетальні- 3 000 шт</t>
  </si>
  <si>
    <t>маски- 50 000 шт</t>
  </si>
  <si>
    <t>УЗД гель 5 л-40 уп.</t>
  </si>
  <si>
    <t>шовний матеріал- 20 уп.</t>
  </si>
  <si>
    <t>одноразові леза для скальпелю – 2000 шт</t>
  </si>
  <si>
    <t xml:space="preserve"> Дезінфекційний  засіб для обробки поверхонь, ВМП, знезараження медичних відходів та медичних виробів одноразового використання 1 кг банка (таблетки) – 600 шт. (216 000,00) </t>
  </si>
  <si>
    <t xml:space="preserve"> вата 100 гр 2000 – уп.</t>
  </si>
  <si>
    <t xml:space="preserve"> марлевий відріз 10 м – 3000 уп.</t>
  </si>
  <si>
    <t xml:space="preserve"> бинти стерильні- 500 шт</t>
  </si>
  <si>
    <t>бинти нестерильні- 1000 шт</t>
  </si>
  <si>
    <t>пластир медичний- 500 уп.</t>
  </si>
  <si>
    <t>бинти гіпсові-  600 шт</t>
  </si>
  <si>
    <t xml:space="preserve"> шприци 2,0-30 000 шт</t>
  </si>
  <si>
    <t xml:space="preserve"> шприци 5,0-40 000 шт</t>
  </si>
  <si>
    <t xml:space="preserve"> шприци 10,0-20 000 шт</t>
  </si>
  <si>
    <t xml:space="preserve"> шприци 20,0-10 000 шт</t>
  </si>
  <si>
    <t xml:space="preserve"> шприц туберкуліновий 1,0-15 000 шт</t>
  </si>
  <si>
    <t xml:space="preserve"> системи для інфузій- 8000 шт</t>
  </si>
  <si>
    <t>СП МП №1</t>
  </si>
  <si>
    <t>СП МП №2</t>
  </si>
  <si>
    <t>СП МП №3</t>
  </si>
  <si>
    <t>СП МП №4</t>
  </si>
  <si>
    <t>СП МП №5</t>
  </si>
  <si>
    <t>Дитяча поліклініка</t>
  </si>
  <si>
    <t>Страхування рентген апаратів</t>
  </si>
  <si>
    <t>Люмінісцентна лампа 18w (600)</t>
  </si>
  <si>
    <t>Люмінісцентна лампа 36w (1200)</t>
  </si>
  <si>
    <t>Лампа світлодіодна 9w</t>
  </si>
  <si>
    <t>Лампа енергозберігаюча цоколь Е-27 (10-8w)</t>
  </si>
  <si>
    <t>Лампа накалювання цоколь Е-27 (60-75w)</t>
  </si>
  <si>
    <t>Лампа люмінісцентна G13 18w/765</t>
  </si>
  <si>
    <t>Лампа люмінісцентна G13 36w/745</t>
  </si>
  <si>
    <t>Лампа денного освітлення L=60</t>
  </si>
  <si>
    <t>Вилка електрична з заземленням 16 А 250v</t>
  </si>
  <si>
    <t>Розетки внутрішня одинарна</t>
  </si>
  <si>
    <t>Вимикач одинарний внутрішній</t>
  </si>
  <si>
    <t>Автомат однофазний</t>
  </si>
  <si>
    <t>Автомат трьохфазний</t>
  </si>
  <si>
    <t>Кабель електричний ПВС 3/2,5</t>
  </si>
  <si>
    <t>м</t>
  </si>
  <si>
    <t>Кабель електричний ПВС 3/1,5</t>
  </si>
  <si>
    <t>Подовжувач 5 метрів</t>
  </si>
  <si>
    <t>Подовжувач для комп. 3 метри</t>
  </si>
  <si>
    <t>Світильники світлодіодні лінійні ДПО 12м 36w 4100-5000к.</t>
  </si>
  <si>
    <t>Світильники LED</t>
  </si>
  <si>
    <t>Порохотяг</t>
  </si>
  <si>
    <t>Електролобзик</t>
  </si>
  <si>
    <t>Електродриль</t>
  </si>
  <si>
    <t>Болгарка</t>
  </si>
  <si>
    <t>Праска</t>
  </si>
  <si>
    <t>Бойлер</t>
  </si>
  <si>
    <t>Центробічний насос</t>
  </si>
  <si>
    <t>7. Гінекологічне крісло - 2 шт. (15000 грн.)=30 000,00</t>
  </si>
  <si>
    <t>Клейонка для ліжок у ДС 2м</t>
  </si>
  <si>
    <t>Пеленки одноразові 90*60</t>
  </si>
  <si>
    <t xml:space="preserve">№ п/п </t>
  </si>
  <si>
    <t>Найменування товару</t>
  </si>
  <si>
    <t>Одиниця вимір.</t>
  </si>
  <si>
    <t>МНН</t>
  </si>
  <si>
    <t>АТС</t>
  </si>
  <si>
    <t xml:space="preserve">Загальна </t>
  </si>
  <si>
    <t>кількість</t>
  </si>
  <si>
    <t>Загальна сума,грн</t>
  </si>
  <si>
    <r>
      <t>1.</t>
    </r>
    <r>
      <rPr>
        <b/>
        <i/>
        <sz val="7"/>
        <color theme="1"/>
        <rFont val="Times New Roman"/>
        <family val="1"/>
        <charset val="204"/>
      </rPr>
      <t xml:space="preserve">     </t>
    </r>
    <r>
      <rPr>
        <b/>
        <i/>
        <sz val="14"/>
        <color theme="1"/>
        <rFont val="Times New Roman"/>
        <family val="1"/>
        <charset val="204"/>
      </rPr>
      <t> </t>
    </r>
  </si>
  <si>
    <t>Адреналін  амп. 0.18% 1мл N10</t>
  </si>
  <si>
    <t>уп</t>
  </si>
  <si>
    <t>Epinephrine /Adrenaline</t>
  </si>
  <si>
    <t>C01C A24</t>
  </si>
  <si>
    <r>
      <t>2.</t>
    </r>
    <r>
      <rPr>
        <b/>
        <i/>
        <sz val="7"/>
        <color theme="1"/>
        <rFont val="Times New Roman"/>
        <family val="1"/>
        <charset val="204"/>
      </rPr>
      <t xml:space="preserve">     </t>
    </r>
    <r>
      <rPr>
        <b/>
        <i/>
        <sz val="14"/>
        <color theme="1"/>
        <rFont val="Times New Roman"/>
        <family val="1"/>
        <charset val="204"/>
      </rPr>
      <t> </t>
    </r>
  </si>
  <si>
    <t>Атропіну сульфат 1% 5мл,  очні краплі</t>
  </si>
  <si>
    <t>фл</t>
  </si>
  <si>
    <t>Atropini sulfas</t>
  </si>
  <si>
    <t>S01F A01</t>
  </si>
  <si>
    <r>
      <t>3.</t>
    </r>
    <r>
      <rPr>
        <b/>
        <i/>
        <sz val="7"/>
        <color theme="1"/>
        <rFont val="Times New Roman"/>
        <family val="1"/>
        <charset val="204"/>
      </rPr>
      <t xml:space="preserve">     </t>
    </r>
    <r>
      <rPr>
        <b/>
        <i/>
        <sz val="14"/>
        <color theme="1"/>
        <rFont val="Times New Roman"/>
        <family val="1"/>
        <charset val="204"/>
      </rPr>
      <t> </t>
    </r>
  </si>
  <si>
    <t>Аміак р-н 10% 40мл</t>
  </si>
  <si>
    <t>Ammonia</t>
  </si>
  <si>
    <t>R07A B12</t>
  </si>
  <si>
    <r>
      <t>4.</t>
    </r>
    <r>
      <rPr>
        <b/>
        <i/>
        <sz val="7"/>
        <color theme="1"/>
        <rFont val="Times New Roman"/>
        <family val="1"/>
        <charset val="204"/>
      </rPr>
      <t xml:space="preserve">     </t>
    </r>
    <r>
      <rPr>
        <b/>
        <i/>
        <sz val="14"/>
        <color theme="1"/>
        <rFont val="Times New Roman"/>
        <family val="1"/>
        <charset val="204"/>
      </rPr>
      <t> </t>
    </r>
  </si>
  <si>
    <t>Анальгін амп. 50% 2мл N10</t>
  </si>
  <si>
    <t>Metamizole sodium</t>
  </si>
  <si>
    <t>N02B B02</t>
  </si>
  <si>
    <r>
      <t>5.</t>
    </r>
    <r>
      <rPr>
        <b/>
        <i/>
        <sz val="7"/>
        <color theme="1"/>
        <rFont val="Times New Roman"/>
        <family val="1"/>
        <charset val="204"/>
      </rPr>
      <t xml:space="preserve">     </t>
    </r>
    <r>
      <rPr>
        <b/>
        <i/>
        <sz val="14"/>
        <color theme="1"/>
        <rFont val="Times New Roman"/>
        <family val="1"/>
        <charset val="204"/>
      </rPr>
      <t> </t>
    </r>
  </si>
  <si>
    <t>Беноксі  очні краплі 0.4% 10мл</t>
  </si>
  <si>
    <t>Oxybuprocaine</t>
  </si>
  <si>
    <t>S01H A02</t>
  </si>
  <si>
    <r>
      <t>6.</t>
    </r>
    <r>
      <rPr>
        <b/>
        <i/>
        <sz val="7"/>
        <color theme="1"/>
        <rFont val="Times New Roman"/>
        <family val="1"/>
        <charset val="204"/>
      </rPr>
      <t xml:space="preserve">     </t>
    </r>
    <r>
      <rPr>
        <b/>
        <i/>
        <sz val="14"/>
        <color theme="1"/>
        <rFont val="Times New Roman"/>
        <family val="1"/>
        <charset val="204"/>
      </rPr>
      <t> </t>
    </r>
  </si>
  <si>
    <t>Бісопролол  табл. 5мг N20(10х2)</t>
  </si>
  <si>
    <t>Bisoprolol</t>
  </si>
  <si>
    <t>C07A B07</t>
  </si>
  <si>
    <r>
      <t>7.</t>
    </r>
    <r>
      <rPr>
        <b/>
        <i/>
        <sz val="7"/>
        <color theme="1"/>
        <rFont val="Times New Roman"/>
        <family val="1"/>
        <charset val="204"/>
      </rPr>
      <t xml:space="preserve">     </t>
    </r>
    <r>
      <rPr>
        <b/>
        <i/>
        <sz val="14"/>
        <color theme="1"/>
        <rFont val="Times New Roman"/>
        <family val="1"/>
        <charset val="204"/>
      </rPr>
      <t> </t>
    </r>
  </si>
  <si>
    <t>Вода д/ін. амп. 2мл N10</t>
  </si>
  <si>
    <t>Aqua pro injectionibus/Water for injection)</t>
  </si>
  <si>
    <t xml:space="preserve">- </t>
  </si>
  <si>
    <r>
      <t>8.</t>
    </r>
    <r>
      <rPr>
        <b/>
        <i/>
        <sz val="7"/>
        <color theme="1"/>
        <rFont val="Times New Roman"/>
        <family val="1"/>
        <charset val="204"/>
      </rPr>
      <t xml:space="preserve">     </t>
    </r>
    <r>
      <rPr>
        <b/>
        <i/>
        <sz val="14"/>
        <color theme="1"/>
        <rFont val="Times New Roman"/>
        <family val="1"/>
        <charset val="204"/>
      </rPr>
      <t> </t>
    </r>
  </si>
  <si>
    <t xml:space="preserve">Вугілля актив. 0.25 N10 </t>
  </si>
  <si>
    <t>Carbo activatus</t>
  </si>
  <si>
    <t>A07B A01</t>
  </si>
  <si>
    <r>
      <t>9.</t>
    </r>
    <r>
      <rPr>
        <b/>
        <i/>
        <sz val="7"/>
        <color theme="1"/>
        <rFont val="Times New Roman"/>
        <family val="1"/>
        <charset val="204"/>
      </rPr>
      <t xml:space="preserve">     </t>
    </r>
    <r>
      <rPr>
        <b/>
        <i/>
        <sz val="14"/>
        <color theme="1"/>
        <rFont val="Times New Roman"/>
        <family val="1"/>
        <charset val="204"/>
      </rPr>
      <t> </t>
    </r>
  </si>
  <si>
    <t>Гепарин р-н д/ін. 5000МО/мл 5мл фл. №1</t>
  </si>
  <si>
    <t>Heparin sodium</t>
  </si>
  <si>
    <t>B01A B01</t>
  </si>
  <si>
    <r>
      <t>10.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</si>
  <si>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Дексаметазон р-н  д/ін. 4мг/мл амп. 1мл N5</t>
  </si>
  <si>
    <t>Dexamethasone</t>
  </si>
  <si>
    <t>H02A B02</t>
  </si>
  <si>
    <r>
      <t>11.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</si>
  <si>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 xml:space="preserve">Доксициклін капс. 100мг №10 </t>
  </si>
  <si>
    <t>Doxycycline</t>
  </si>
  <si>
    <t>J01A A02</t>
  </si>
  <si>
    <r>
      <t>12.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</si>
  <si>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Еуфілін амп. 2% 5мл N10</t>
  </si>
  <si>
    <t>Theophylline</t>
  </si>
  <si>
    <t>R03D A04</t>
  </si>
  <si>
    <r>
      <t>13.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</si>
  <si>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Йод р-н 10% 30мл</t>
  </si>
  <si>
    <t>Iodine</t>
  </si>
  <si>
    <t>D08A G03</t>
  </si>
  <si>
    <r>
      <t>14.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</si>
  <si>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Йод р-н 5% 30мл</t>
  </si>
  <si>
    <r>
      <t>15.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</si>
  <si>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 xml:space="preserve">Кальцію глюконат р-н д/ін.амп.10мл N10 </t>
  </si>
  <si>
    <t>Calcium gluconate</t>
  </si>
  <si>
    <t>A12A A03</t>
  </si>
  <si>
    <r>
      <t>16.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</si>
  <si>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Лідокаїн амп. 2% 2мл N10</t>
  </si>
  <si>
    <t>Lidocaine</t>
  </si>
  <si>
    <t>N01B B02</t>
  </si>
  <si>
    <r>
      <t>17.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</si>
  <si>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 xml:space="preserve">Магнію сульфат амп. 25% 5мл N10 </t>
  </si>
  <si>
    <t>Magnesium sulfate</t>
  </si>
  <si>
    <t>B05X A05</t>
  </si>
  <si>
    <r>
      <t>18.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</si>
  <si>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Метоклопрамід г/х р-н д/ін. амп. 5мг/мл 2мл №10</t>
  </si>
  <si>
    <t>Metoclopramide</t>
  </si>
  <si>
    <t>A03F A01</t>
  </si>
  <si>
    <r>
      <t>19.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</si>
  <si>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Натрію  хлорид 0.9% 200 мл</t>
  </si>
  <si>
    <t>Sodium chloride</t>
  </si>
  <si>
    <t>B05X A03</t>
  </si>
  <si>
    <r>
      <t>20.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</si>
  <si>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Натрію  хлорид амп.0.9% 5мл N10</t>
  </si>
  <si>
    <r>
      <t>21.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</si>
  <si>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Натрію тіосульфат  р-н д/ін.амп.30% 5мл N10</t>
  </si>
  <si>
    <t>Sodium thiosulfate</t>
  </si>
  <si>
    <t>V03A B06</t>
  </si>
  <si>
    <r>
      <t>22.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</si>
  <si>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Нітрогліцерин табл. сублінгв. 0.5мг N40</t>
  </si>
  <si>
    <t>Glyceryl trinitrate</t>
  </si>
  <si>
    <t>C01D A02</t>
  </si>
  <si>
    <r>
      <t>23.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</si>
  <si>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Дротаверин амп. 20мг/мл 2мл N5</t>
  </si>
  <si>
    <t>Drotaverine</t>
  </si>
  <si>
    <t>A03A D02</t>
  </si>
  <si>
    <r>
      <t>24.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</si>
  <si>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Парацетамол капс. 500 мг N12</t>
  </si>
  <si>
    <t>Paracetamol</t>
  </si>
  <si>
    <t>N02B E01</t>
  </si>
  <si>
    <r>
      <t>25.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</si>
  <si>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Парацетамол табл. 200 мг N10</t>
  </si>
  <si>
    <r>
      <t>26.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</si>
  <si>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Преднізолон  р-н д/ін.30мг/мл 1мл амп.N5</t>
  </si>
  <si>
    <t>Prednisolone</t>
  </si>
  <si>
    <t>H02A B06</t>
  </si>
  <si>
    <r>
      <t>27.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</si>
  <si>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Сальбутамол інг.сусп.100мкг/доза 200доз 10мл</t>
  </si>
  <si>
    <t>Salbutamol</t>
  </si>
  <si>
    <t>R03A C02</t>
  </si>
  <si>
    <r>
      <t>28.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</si>
  <si>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Фармадіпін краплі орал. 2% 5мл</t>
  </si>
  <si>
    <t>Nifedipine</t>
  </si>
  <si>
    <t>C08C A05</t>
  </si>
  <si>
    <r>
      <t>29.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</si>
  <si>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Фуросемід  р-н д/ін. амп. 1% 2мл N10</t>
  </si>
  <si>
    <t>Furosemide</t>
  </si>
  <si>
    <t>C03C A01</t>
  </si>
  <si>
    <r>
      <t>30.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</si>
  <si>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Фуросемід табл. 40мг N50</t>
  </si>
  <si>
    <r>
      <t>31.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</si>
  <si>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 xml:space="preserve">Хлоргексидин  р-н 0.05% 200мл </t>
  </si>
  <si>
    <r>
      <t>C</t>
    </r>
    <r>
      <rPr>
        <b/>
        <i/>
        <sz val="14"/>
        <color theme="1"/>
        <rFont val="Times New Roman"/>
        <family val="1"/>
        <charset val="204"/>
      </rPr>
      <t>hlorhexidine</t>
    </r>
  </si>
  <si>
    <t>D08A C02</t>
  </si>
  <si>
    <r>
      <t>32.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</si>
  <si>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Цикломед краплі 1% 5мл</t>
  </si>
  <si>
    <t>Cyclopentolate</t>
  </si>
  <si>
    <t>S01F A04</t>
  </si>
  <si>
    <r>
      <t>33.</t>
    </r>
    <r>
      <rPr>
        <b/>
        <i/>
        <sz val="7"/>
        <color theme="1"/>
        <rFont val="Times New Roman"/>
        <family val="1"/>
        <charset val="204"/>
      </rPr>
      <t xml:space="preserve">           </t>
    </r>
    <r>
      <rPr>
        <b/>
        <i/>
        <sz val="14"/>
        <color theme="1"/>
        <rFont val="Times New Roman"/>
        <family val="1"/>
        <charset val="204"/>
      </rPr>
      <t> </t>
    </r>
  </si>
  <si>
    <t>Верапамілу гідрохлорид 2,5мг/мл по 2мл в амп. №10</t>
  </si>
  <si>
    <t>Verapamil</t>
  </si>
  <si>
    <r>
      <t>C08DA01</t>
    </r>
    <r>
      <rPr>
        <b/>
        <i/>
        <sz val="14"/>
        <color rgb="FF4D5156"/>
        <rFont val="Times New Roman"/>
        <family val="1"/>
        <charset val="204"/>
      </rPr>
      <t> </t>
    </r>
  </si>
  <si>
    <t xml:space="preserve"> Загальна сума закупівлі : 59 920, 67грн</t>
  </si>
  <si>
    <t>Оплата послуг ( окрім комунальних)</t>
  </si>
  <si>
    <t>Автоматичний аналізатор крові</t>
  </si>
  <si>
    <t>Додаток 3/1</t>
  </si>
  <si>
    <t>№п/п</t>
  </si>
  <si>
    <t>Найменування</t>
  </si>
  <si>
    <t xml:space="preserve">Автоматичний біохімічний аналізатор </t>
  </si>
  <si>
    <t>шт.</t>
  </si>
  <si>
    <t xml:space="preserve">Центрифуга 40т*2 </t>
  </si>
  <si>
    <t xml:space="preserve">Автоматичний аналізатор сечі </t>
  </si>
  <si>
    <t xml:space="preserve">Аналізатор електролітів </t>
  </si>
  <si>
    <t xml:space="preserve">Мікроскопи </t>
  </si>
  <si>
    <t xml:space="preserve">Імуноферментний аналізатор </t>
  </si>
  <si>
    <t xml:space="preserve">Плашковий автоматичний промивач </t>
  </si>
  <si>
    <t>Ціна, тис.грн.</t>
  </si>
  <si>
    <t>Додаток 3/2</t>
  </si>
  <si>
    <t>Закупівля обладнання для клініко-діагностичної лабораторії</t>
  </si>
  <si>
    <t>Капітальний ремонт клініко-діагностичної лабораторії</t>
  </si>
  <si>
    <t>Лікарські засоби (Додаток 8/1)</t>
  </si>
  <si>
    <t>Закупівля обладнання для КДЛ (додаток 3/1)</t>
  </si>
  <si>
    <t>МП2</t>
  </si>
  <si>
    <t>№ п/п</t>
  </si>
  <si>
    <t>Кабінет ЕКГ (IV-й поверх): заміна дверей, відкоси на вікнах, побілка стелі та стін, заміна сантехніки,встановлення перегородок для кабінок</t>
  </si>
  <si>
    <t>МП3</t>
  </si>
  <si>
    <t>Поточний ремонт кабінету УЗД</t>
  </si>
  <si>
    <t>МП5</t>
  </si>
  <si>
    <t>Ремонт офтальмологічного кабінету</t>
  </si>
  <si>
    <t>Ремонт коридору III-го поверху, двері</t>
  </si>
  <si>
    <t>МДП</t>
  </si>
  <si>
    <t>Часкова заміна каналізаційної системи та с-ми холодного водопостачання у відділенні ЛФК та масажу</t>
  </si>
  <si>
    <t>Часткова заміна відливів в центральному корпусі СП "МДП"</t>
  </si>
  <si>
    <t>Частковий ремонт даху над входом в центральному корпусі СП "МДП"</t>
  </si>
  <si>
    <t>Додаток 7</t>
  </si>
  <si>
    <t>Страхові послуги</t>
  </si>
  <si>
    <t>Код медичної послуги або групи послуг</t>
  </si>
  <si>
    <t>Найменування медичної послуги або групи послуг</t>
  </si>
  <si>
    <t>№ договору</t>
  </si>
  <si>
    <t>I квартал</t>
  </si>
  <si>
    <t>II квартал</t>
  </si>
  <si>
    <t>III квартал</t>
  </si>
  <si>
    <t>IV квартал</t>
  </si>
  <si>
    <t>Мамографія</t>
  </si>
  <si>
    <t>Первинна медична допомога</t>
  </si>
  <si>
    <t>Страхування СК "УПСК"</t>
  </si>
  <si>
    <t>Доходи, в т.ч.:</t>
  </si>
  <si>
    <t>інші доходи у сфері охорони здоров'я (резерв, відсотки банку)</t>
  </si>
  <si>
    <t>в т.ч., окремі заходи з реалізації державних (обласних) програм,  не віднесені до заходів розвитку (отримання стентів, кардіостимуляторів, препаратів інсуліну, тощо)</t>
  </si>
  <si>
    <t>Залишок коштів на початок звітного періоду (НСЗУ)</t>
  </si>
  <si>
    <t>Залишок коштів  на початок звітного періоду (від інших доходів)</t>
  </si>
  <si>
    <t>Капітальні видатки  (Державний бюджет), у т.ч.:</t>
  </si>
  <si>
    <t>1110.11</t>
  </si>
  <si>
    <t>1110.11.1</t>
  </si>
  <si>
    <t>1110.11.2</t>
  </si>
  <si>
    <t>1110.11.3</t>
  </si>
  <si>
    <t>Видатки за Договорами НСЗУ</t>
  </si>
  <si>
    <t>1120.1</t>
  </si>
  <si>
    <t>1120.2</t>
  </si>
  <si>
    <t>1120.3</t>
  </si>
  <si>
    <t>1120.3.1</t>
  </si>
  <si>
    <t>1120.3.2</t>
  </si>
  <si>
    <t>1120.3.3</t>
  </si>
  <si>
    <t>1120.3.4</t>
  </si>
  <si>
    <t>1120.3.5</t>
  </si>
  <si>
    <t>1120.4</t>
  </si>
  <si>
    <t>1120.5</t>
  </si>
  <si>
    <t>1120.6</t>
  </si>
  <si>
    <t>1120.6.1</t>
  </si>
  <si>
    <t>1120.6.2</t>
  </si>
  <si>
    <t>1120.6.3</t>
  </si>
  <si>
    <t>1120.6.4</t>
  </si>
  <si>
    <t>1120.6.5</t>
  </si>
  <si>
    <t>1120.6.6</t>
  </si>
  <si>
    <t>1120.6.7</t>
  </si>
  <si>
    <t>1120.6.8</t>
  </si>
  <si>
    <t>1120.6.9</t>
  </si>
  <si>
    <t>1120.6.10</t>
  </si>
  <si>
    <t>1120.7</t>
  </si>
  <si>
    <t>1120.8</t>
  </si>
  <si>
    <t>1120.9</t>
  </si>
  <si>
    <t>1120.10</t>
  </si>
  <si>
    <t>1120.11</t>
  </si>
  <si>
    <t>1150.4</t>
  </si>
  <si>
    <t>1150.5</t>
  </si>
  <si>
    <t>1150.6</t>
  </si>
  <si>
    <t>1150.7</t>
  </si>
  <si>
    <t>1150.8</t>
  </si>
  <si>
    <t>1150.9</t>
  </si>
  <si>
    <t>1150.10</t>
  </si>
  <si>
    <t>Витрати на комунальних послуг та енергоносіїв</t>
  </si>
  <si>
    <t>1160.1</t>
  </si>
  <si>
    <t>1160.2</t>
  </si>
  <si>
    <t>1160.3</t>
  </si>
  <si>
    <t>1160.4</t>
  </si>
  <si>
    <t>1160.5</t>
  </si>
  <si>
    <t>1170.1</t>
  </si>
  <si>
    <t>1170.2</t>
  </si>
  <si>
    <t>1170.3</t>
  </si>
  <si>
    <t>Залишок коштів на кінець звітного періоду (НСЗУ)</t>
  </si>
  <si>
    <t>Залишок коштів  на кінець звітного періоду (від Інших доходів)</t>
  </si>
  <si>
    <t>Середньомісячні витрати на оплату праці одного працівника,
 у т.ч.:</t>
  </si>
  <si>
    <t>Начальник фінансового управління</t>
  </si>
  <si>
    <t xml:space="preserve"> ФІНАНСОВИЙ ПЛАН                                                                                                                                                                                                                                                   КНП "Центр первинної медичної і консультатвно-діагностичної допомоги Івано-Франківської міської ради"
на 2021 рік</t>
  </si>
  <si>
    <t>вторинка</t>
  </si>
  <si>
    <t>первинка</t>
  </si>
  <si>
    <t>Запланована вартість медичних послуг згідно договору, грн.</t>
  </si>
  <si>
    <t>0000-35К5-М000/09.03.2021</t>
  </si>
  <si>
    <t>Медична допомога дорослим та дітям в амбулаторних умовах (профілактика, спостереження, діагностика, лікування та медична реабілітація)</t>
  </si>
  <si>
    <t>4334-Е421-Р000</t>
  </si>
  <si>
    <t>Езофагогастродуоденоскопія</t>
  </si>
  <si>
    <t>Колоноскопія</t>
  </si>
  <si>
    <t>Цистоскопія</t>
  </si>
  <si>
    <t>Медична реабілітація дорослих та дітей від трьох років з ураженням опорно-рухового апарату</t>
  </si>
  <si>
    <t>Медична реабілітація дорослих та дітей від трьох років з ураженням нервової системи</t>
  </si>
  <si>
    <t>Стоматологічна медична допомога в амбулаторних умовах</t>
  </si>
  <si>
    <t>Ведення вагітності в амбулаторних умовах</t>
  </si>
  <si>
    <t>Супровід та лікування дорослих та дітей, хворих на туберкульоз, на первинному рівні медичної допомоги</t>
  </si>
  <si>
    <t>Оплата водопостачання та водовідведення</t>
  </si>
  <si>
    <t>Оплата електроенергії</t>
  </si>
  <si>
    <t>Оплата інших енергоносіїв та інших комунальних послуг</t>
  </si>
  <si>
    <t>Вакцинація від гострої респіраторної хвороби Covid-19, спричиненої коронавірусом Sars-CoV-2</t>
  </si>
  <si>
    <t>Руслан МАРЦІНКІВ</t>
  </si>
  <si>
    <t xml:space="preserve">                                                       Галина ЯЦКІВ</t>
  </si>
  <si>
    <t xml:space="preserve">                                                      Марія БОЙКО</t>
  </si>
  <si>
    <t xml:space="preserve">                                                      Галина ЯЦКІВ</t>
  </si>
  <si>
    <t>Х</t>
  </si>
  <si>
    <t>Фінансовий план
на 2021 рік  
(зі змінами)</t>
  </si>
  <si>
    <t xml:space="preserve">Факт 
2020 року </t>
  </si>
  <si>
    <r>
      <t>Плановий 
20</t>
    </r>
    <r>
      <rPr>
        <b/>
        <u/>
        <sz val="10"/>
        <rFont val="Times New Roman"/>
        <family val="1"/>
        <charset val="204"/>
      </rPr>
      <t>22</t>
    </r>
    <r>
      <rPr>
        <b/>
        <sz val="10"/>
        <rFont val="Times New Roman"/>
        <family val="1"/>
        <charset val="204"/>
      </rPr>
      <t xml:space="preserve"> рік  
всього</t>
    </r>
  </si>
  <si>
    <t>Директор КНП ЦПМКДД</t>
  </si>
  <si>
    <t>Ольга САВЧУК</t>
  </si>
  <si>
    <t>Головний бухгалтер КНП ЦПМКДД</t>
  </si>
  <si>
    <t>Галина РОДЧУК</t>
  </si>
  <si>
    <t xml:space="preserve">Інформація про плановане укладення договорів між НСЗУ та КНП "ЦПМКДД" згідно Програми медичних гарантій  на  2022 рік </t>
  </si>
  <si>
    <t>Розрахунок обсягу видатків на 2022 рік
для КНП "ЦПМКДД "</t>
  </si>
  <si>
    <t xml:space="preserve"> грн.</t>
  </si>
  <si>
    <t>Загальний фонд</t>
  </si>
  <si>
    <t>Нарахування  на оплату праці</t>
  </si>
  <si>
    <t>Предмети,матеріали,обладнання та інвентар</t>
  </si>
  <si>
    <t>Оплата послуг(крім комунальних)</t>
  </si>
  <si>
    <t>ТЕК</t>
  </si>
  <si>
    <t>Оренда</t>
  </si>
  <si>
    <t>Оплата природнього газу</t>
  </si>
  <si>
    <t>Інші виплати населнню</t>
  </si>
  <si>
    <t>ВСЬОГО ВИДАТКІВ</t>
  </si>
  <si>
    <t xml:space="preserve">Директор КНП ЦПМКДД                                        </t>
  </si>
  <si>
    <t>Прогнозований розрахунок потреби коштів на комунальні послуги КНП "ЦПМКДД" на 2022 рік</t>
  </si>
  <si>
    <t>борг</t>
  </si>
  <si>
    <t>2022р.</t>
  </si>
  <si>
    <t>Теплокомуненерго (теплова енергія)</t>
  </si>
  <si>
    <t>теплове навантаження (0,2243г/кал на год *166970,77=37451,54 -навант, на 1 м/ць</t>
  </si>
  <si>
    <t xml:space="preserve">    - перетоки реактивної енергії</t>
  </si>
  <si>
    <t>Вивіз ТПВ</t>
  </si>
  <si>
    <t>Вивіз ВГС</t>
  </si>
  <si>
    <t>1. Шафи для зберігання  медикаментів- 9 шт. (6500 грн)=58500,00</t>
  </si>
  <si>
    <t>2. Маніпуляційні столики – 20шт. (3500 грн)= 70 000,00</t>
  </si>
  <si>
    <t>3. Інструментальні столики 15 шт.(2500 грн) =37500</t>
  </si>
  <si>
    <t>4. Кушетки оглядові  - 20 шт. (2800 грн)=56 000,00</t>
  </si>
  <si>
    <t>5. Медичні ліжка  - 20 шт. ( 4500 грн)=90 000,00</t>
  </si>
  <si>
    <t>6. Пеленальні  столики  - 20 шт. ( 2900 грн)= 58 000,00</t>
  </si>
  <si>
    <t>Закупівля аптечок - 10 шт.</t>
  </si>
  <si>
    <t>Пробірки лабораторні центрифужні градуйовані – 2500 шт</t>
  </si>
  <si>
    <t>Скло предметне 254876мм 7101  № 50шт/уп- 40 уп</t>
  </si>
  <si>
    <t>Пробірки Відаля – 2000 шт.</t>
  </si>
  <si>
    <t>Пробірки лабораторні центрифужні  не градуйовані- 3000 шт</t>
  </si>
  <si>
    <t>Пробірки біологічні П2 16*150 – 1500 шт</t>
  </si>
  <si>
    <t>Піпетки Панченка – 1000 шт</t>
  </si>
  <si>
    <t>Піпетки  Салі 0,02 – 300 шт</t>
  </si>
  <si>
    <t>Скло покривне 18х18 №100 шт- 30 уп.</t>
  </si>
  <si>
    <t>Скло предметне 25*76 мм з полем для запису 7105 №50шт/уп-12 уп</t>
  </si>
  <si>
    <t>Кювета 5 мм (КФК,ФЕК) – 24 шт</t>
  </si>
  <si>
    <t>Палички скляні 220 мм – 400 шт</t>
  </si>
  <si>
    <t>Стакан В – 100мм ТС- 60 шт</t>
  </si>
  <si>
    <t>Стакан В - 250мм ТС 30 шт</t>
  </si>
  <si>
    <t>Стакан В мірний В га 1000 мм ТС-30 шт</t>
  </si>
  <si>
    <t>Банки з темного скла на 1 л з кришкою-6 шт</t>
  </si>
  <si>
    <t>Циліндр на 50 мм – 12 шт</t>
  </si>
  <si>
    <t>Флакон для біологічних рідин 50 мм (стер)- 1000 шт</t>
  </si>
  <si>
    <t>Піпетка-контейнер 150 мм 1мл стерильна- 70000 шт</t>
  </si>
  <si>
    <t>Наконечники  200 мкл,жовті 1000 шт/уп – 6 уп</t>
  </si>
  <si>
    <t>Йорж для пробірок 10 мм- 15 шт</t>
  </si>
  <si>
    <t>Йорж для пробірок 25 мм-15 шт</t>
  </si>
  <si>
    <t>Корки гумові 14,5- 100 шт</t>
  </si>
  <si>
    <t>Дезінфекційний  засіб для гігієнічної та хірургічної обробки рук, швидкої дезінфекції невеликих за площею об’єктів  1000 мл  - 1000 шт; (180 000, 00)</t>
  </si>
  <si>
    <t>Дезінфекційний  засіб для гігієнічної та хірургічної обробки рук, швидкої дезінфекції невеликих за площею об’єктів   60 мл – 2000 шт; (138 000,00)</t>
  </si>
  <si>
    <t>Дезінфікуючий засіб для обробки рук, шкіри, невеликих за площею поверхонь, некритичних медичних виробів, серветки у банці -  300 шт; (120 000,00)</t>
  </si>
  <si>
    <t>Готовий засіб для швидкої дезінфекції об’єктів із розпилювачем 1000 мл –500 шт; (190 000,00)</t>
  </si>
  <si>
    <t xml:space="preserve">Первинна медична допомога (НСЗУ первинка) :  </t>
  </si>
  <si>
    <t xml:space="preserve">Вторинна  медична допомога (спецфонд, % банку):  </t>
  </si>
  <si>
    <t>2022рік (проект)</t>
  </si>
  <si>
    <t>Кошти НСЗУ (первинка)</t>
  </si>
  <si>
    <t>Капітальний-реконструкція ремонт КДЛ (додаток 3/2)</t>
  </si>
  <si>
    <t>Капітальний-реконструкція ремонт кабінету КТ</t>
  </si>
  <si>
    <t>Принтерів для роботи лікарського складу(к-ть 50шт)</t>
  </si>
  <si>
    <t>Капітальний ремонт електромережі поліклініка СП МП №5</t>
  </si>
  <si>
    <t>Сума, тис.грн. НСЗУ первинка</t>
  </si>
  <si>
    <t>Капітальний ремонт реконструкція приміщення КДЛ (Згідно затвердженої проектно-кошторисної документації)</t>
  </si>
  <si>
    <t>Запланована вартість (спецкошти)</t>
  </si>
  <si>
    <t>Запланована вартість                         ( НСЗУ первинка)</t>
  </si>
  <si>
    <t>Поточний ремонт кабінету отоларинголога</t>
  </si>
  <si>
    <t>Поточний ремонт кабінетів лікувальної фізкультури (реабілітація дитяча) СП МДП</t>
  </si>
  <si>
    <r>
      <rPr>
        <b/>
        <sz val="12"/>
        <color theme="1"/>
        <rFont val="Calibri"/>
        <family val="2"/>
        <charset val="204"/>
        <scheme val="minor"/>
      </rPr>
      <t xml:space="preserve">                      Поточні ремонти на 2022р.        </t>
    </r>
    <r>
      <rPr>
        <b/>
        <sz val="11"/>
        <color theme="1"/>
        <rFont val="Calibri"/>
        <family val="2"/>
        <charset val="204"/>
        <scheme val="minor"/>
      </rPr>
      <t xml:space="preserve">                                                            тис.грн</t>
    </r>
  </si>
  <si>
    <t>Програма ( Обслуговування медікс та інщих програм)</t>
  </si>
  <si>
    <t>Порошок для прання</t>
  </si>
  <si>
    <t>Пластикові бокси для мед.сміття</t>
  </si>
  <si>
    <t>Вторинка (спецфонд)</t>
  </si>
  <si>
    <t>Офісні меблі</t>
  </si>
  <si>
    <t>ВСЬОГО Канцтовари та офісне обладнання</t>
  </si>
  <si>
    <t>Додаток 2/1</t>
  </si>
  <si>
    <t>Додаток 2</t>
  </si>
  <si>
    <t>Додаток 8</t>
  </si>
  <si>
    <t>Потреба лікарських засобів на 2022 рік.</t>
  </si>
  <si>
    <t>Додаток 8/1</t>
  </si>
  <si>
    <t>Додаток 4 і 5</t>
  </si>
  <si>
    <t>додаток 5</t>
  </si>
  <si>
    <t>додаток 6</t>
  </si>
  <si>
    <t>додаток 7</t>
  </si>
  <si>
    <t>додаток 6 і 7</t>
  </si>
  <si>
    <t>Додаток 5/1</t>
  </si>
  <si>
    <t>додаток 5/1</t>
  </si>
  <si>
    <t>додаток 8</t>
  </si>
  <si>
    <t xml:space="preserve">                                                2220-  1 357960,00 грн.</t>
  </si>
  <si>
    <t xml:space="preserve">                                                2220-  1 357960,67 грн.</t>
  </si>
  <si>
    <t xml:space="preserve"> ФІНАНСОВИЙ ПЛАН                                                                                                                                                                                                                                                   КНП "Центр первинної медичної і консультативно-діагностичної допомоги Івано-Франківської міської ради"
на 2022 рік</t>
  </si>
  <si>
    <t>Потреба у видатках на оплату комунальних послуг та енергоносіїв
КНП "ЦПМКДД " на 2022 рік</t>
  </si>
  <si>
    <t>Показники</t>
  </si>
  <si>
    <t>грн</t>
  </si>
  <si>
    <t>ТКЕ</t>
  </si>
  <si>
    <t>Оплата природного газу</t>
  </si>
  <si>
    <t>Потреба в медикаментах програма"Здоров'я населення Івано-Франківської ОТГ" 
КНП "ЦПМКДД" на 2022 рік</t>
  </si>
  <si>
    <t>Назва</t>
  </si>
  <si>
    <t>сума, грн.</t>
  </si>
  <si>
    <t xml:space="preserve">Туберкулін </t>
  </si>
  <si>
    <t>Тест-смужки</t>
  </si>
  <si>
    <t>Місяць здоров'я</t>
  </si>
  <si>
    <t xml:space="preserve"> Розрахунок видатків на заробітну плату на 2022 рік</t>
  </si>
  <si>
    <t xml:space="preserve">                                           КНП "ЦПМКДД (ЛІКАРСЬКА КОМІСІЯ)</t>
  </si>
  <si>
    <t>структура</t>
  </si>
  <si>
    <t>сума. грн.</t>
  </si>
  <si>
    <t>лікарі</t>
  </si>
  <si>
    <t>середній</t>
  </si>
  <si>
    <t>молодші</t>
  </si>
  <si>
    <t>спеціалісти</t>
  </si>
  <si>
    <t>ішні</t>
  </si>
  <si>
    <t xml:space="preserve"> Розрахунок видатків нарахування на заробітну плату на 2022 рік</t>
  </si>
  <si>
    <t>Потреба в ІНШИХ ВИПЛАТАХ НАСЕЛЕННЮ   програма"Здоров'я населення Івано-Франківської ОТГ" 
КНП "ЦПМКДД" на 2022 рік</t>
  </si>
  <si>
    <t>назва препаратів</t>
  </si>
  <si>
    <t xml:space="preserve">КП "Обласний аптечний склад" </t>
  </si>
  <si>
    <t>наркотики</t>
  </si>
  <si>
    <t>Фінілкетонурія</t>
  </si>
  <si>
    <t>ТОВ "Іва-Фарм" (розглядається інша мережа аптек)</t>
  </si>
  <si>
    <t>Пільгові</t>
  </si>
  <si>
    <t>ТОВ "Іва-Фарм"</t>
  </si>
  <si>
    <t>Муковісцидоз</t>
  </si>
  <si>
    <t>Гемолітична анемія</t>
  </si>
  <si>
    <t>Ідіопатичний ювеніальний артрит</t>
  </si>
  <si>
    <t>ТОВ "Подорожник Станіслав"</t>
  </si>
  <si>
    <t>Економіст КНП ЦПМКДД</t>
  </si>
  <si>
    <t>Наталія ПОЦІХОВИЧ</t>
  </si>
  <si>
    <t>ФІНАНСОВИЙ ПЛАН                                                                                                                                                                                                                                                КНП "Центр первинної медичної і консультатвно-діагностичної допомоги Івано-Франківської міської ради"
на 2022 рік</t>
  </si>
  <si>
    <t>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</si>
</sst>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₴_-;\-* #,##0.00\ _₴_-;_-* &quot;-&quot;??\ _₴_-;_-@_-"/>
    <numFmt numFmtId="164" formatCode="_-* #,##0.00\ _₽_-;\-* #,##0.00\ _₽_-;_-* &quot;-&quot;??\ _₽_-;_-@_-"/>
    <numFmt numFmtId="165" formatCode="#,##0.0"/>
    <numFmt numFmtId="166" formatCode="#,##0.000"/>
    <numFmt numFmtId="167" formatCode="0.000"/>
    <numFmt numFmtId="168" formatCode="#,##0.0000"/>
    <numFmt numFmtId="169" formatCode="0.0000"/>
    <numFmt numFmtId="170" formatCode="#,##0.00_ ;[Red]\-#,##0.00\ "/>
  </numFmts>
  <fonts count="62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i/>
      <sz val="12"/>
      <name val="Arial Cyr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 Cyr"/>
      <charset val="204"/>
    </font>
    <font>
      <sz val="14"/>
      <name val="Arial Cyr"/>
      <charset val="204"/>
    </font>
    <font>
      <b/>
      <sz val="10"/>
      <name val="Cambria"/>
      <family val="1"/>
      <charset val="204"/>
    </font>
    <font>
      <b/>
      <sz val="10"/>
      <name val="Cambria"/>
      <family val="1"/>
      <charset val="204"/>
      <scheme val="major"/>
    </font>
    <font>
      <b/>
      <i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b/>
      <sz val="10"/>
      <color rgb="FFFF0000"/>
      <name val="Calibri"/>
      <family val="2"/>
      <charset val="204"/>
    </font>
    <font>
      <b/>
      <sz val="10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7"/>
      <color theme="1"/>
      <name val="Times New Roman"/>
      <family val="1"/>
      <charset val="204"/>
    </font>
    <font>
      <b/>
      <i/>
      <sz val="14"/>
      <color rgb="FF333333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b/>
      <i/>
      <sz val="14"/>
      <color rgb="FF4D5156"/>
      <name val="Times New Roman"/>
      <family val="1"/>
      <charset val="204"/>
    </font>
    <font>
      <b/>
      <i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name val="Times New Roman"/>
      <family val="1"/>
      <charset val="204"/>
    </font>
    <font>
      <i/>
      <sz val="10"/>
      <name val="Calibri"/>
      <family val="2"/>
      <charset val="204"/>
    </font>
    <font>
      <b/>
      <i/>
      <sz val="10"/>
      <name val="Calibri"/>
      <family val="2"/>
      <charset val="204"/>
    </font>
    <font>
      <sz val="10"/>
      <name val="Arial Cyr"/>
      <charset val="204"/>
    </font>
    <font>
      <b/>
      <sz val="18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Arial Cyr"/>
      <charset val="204"/>
    </font>
    <font>
      <b/>
      <sz val="11"/>
      <color theme="1"/>
      <name val="Calibri"/>
      <family val="2"/>
      <scheme val="minor"/>
    </font>
    <font>
      <b/>
      <i/>
      <sz val="1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FFFF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44" fillId="0" borderId="0"/>
    <xf numFmtId="164" fontId="60" fillId="0" borderId="0" applyFont="0" applyFill="0" applyBorder="0" applyAlignment="0" applyProtection="0"/>
    <xf numFmtId="43" fontId="60" fillId="0" borderId="0" applyFont="0" applyFill="0" applyBorder="0" applyAlignment="0" applyProtection="0"/>
  </cellStyleXfs>
  <cellXfs count="740">
    <xf numFmtId="0" fontId="0" fillId="0" borderId="0" xfId="0"/>
    <xf numFmtId="0" fontId="3" fillId="0" borderId="0" xfId="0" applyFont="1" applyFill="1" applyBorder="1" applyAlignment="1">
      <alignment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/>
    </xf>
    <xf numFmtId="0" fontId="9" fillId="0" borderId="40" xfId="0" applyFont="1" applyBorder="1"/>
    <xf numFmtId="0" fontId="9" fillId="0" borderId="40" xfId="0" applyFont="1" applyBorder="1" applyAlignment="1">
      <alignment horizontal="center" vertical="center" textRotation="90" wrapText="1"/>
    </xf>
    <xf numFmtId="0" fontId="3" fillId="0" borderId="40" xfId="0" applyFont="1" applyBorder="1"/>
    <xf numFmtId="0" fontId="9" fillId="0" borderId="40" xfId="0" applyFont="1" applyBorder="1" applyAlignment="1">
      <alignment horizontal="center"/>
    </xf>
    <xf numFmtId="2" fontId="9" fillId="0" borderId="40" xfId="0" applyNumberFormat="1" applyFont="1" applyBorder="1" applyAlignment="1">
      <alignment horizontal="center"/>
    </xf>
    <xf numFmtId="2" fontId="9" fillId="5" borderId="40" xfId="0" applyNumberFormat="1" applyFont="1" applyFill="1" applyBorder="1" applyAlignment="1">
      <alignment horizontal="center"/>
    </xf>
    <xf numFmtId="2" fontId="9" fillId="2" borderId="40" xfId="0" applyNumberFormat="1" applyFont="1" applyFill="1" applyBorder="1" applyAlignment="1">
      <alignment horizontal="center"/>
    </xf>
    <xf numFmtId="0" fontId="10" fillId="0" borderId="40" xfId="0" applyFont="1" applyBorder="1"/>
    <xf numFmtId="2" fontId="11" fillId="2" borderId="40" xfId="0" applyNumberFormat="1" applyFont="1" applyFill="1" applyBorder="1" applyAlignment="1">
      <alignment horizontal="center"/>
    </xf>
    <xf numFmtId="2" fontId="3" fillId="2" borderId="40" xfId="0" applyNumberFormat="1" applyFont="1" applyFill="1" applyBorder="1" applyAlignment="1">
      <alignment horizontal="center"/>
    </xf>
    <xf numFmtId="0" fontId="8" fillId="0" borderId="40" xfId="0" applyFont="1" applyBorder="1"/>
    <xf numFmtId="0" fontId="10" fillId="0" borderId="0" xfId="0" applyFont="1" applyBorder="1"/>
    <xf numFmtId="0" fontId="9" fillId="0" borderId="0" xfId="0" applyFont="1"/>
    <xf numFmtId="0" fontId="0" fillId="0" borderId="40" xfId="0" applyBorder="1"/>
    <xf numFmtId="0" fontId="11" fillId="0" borderId="41" xfId="0" applyFont="1" applyBorder="1"/>
    <xf numFmtId="0" fontId="9" fillId="0" borderId="41" xfId="0" applyFont="1" applyBorder="1"/>
    <xf numFmtId="0" fontId="10" fillId="0" borderId="41" xfId="0" applyFont="1" applyBorder="1"/>
    <xf numFmtId="0" fontId="14" fillId="0" borderId="0" xfId="0" applyFont="1" applyFill="1" applyBorder="1" applyAlignment="1">
      <alignment horizontal="justify" vertical="top" wrapText="1"/>
    </xf>
    <xf numFmtId="0" fontId="19" fillId="0" borderId="40" xfId="0" applyFont="1" applyBorder="1"/>
    <xf numFmtId="0" fontId="11" fillId="0" borderId="40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 textRotation="90" wrapText="1"/>
    </xf>
    <xf numFmtId="0" fontId="11" fillId="0" borderId="40" xfId="0" applyFont="1" applyBorder="1" applyAlignment="1">
      <alignment horizontal="center" vertical="center" textRotation="90" wrapText="1"/>
    </xf>
    <xf numFmtId="0" fontId="14" fillId="0" borderId="40" xfId="0" applyFont="1" applyBorder="1" applyAlignment="1">
      <alignment horizontal="left"/>
    </xf>
    <xf numFmtId="4" fontId="14" fillId="2" borderId="40" xfId="0" applyNumberFormat="1" applyFont="1" applyFill="1" applyBorder="1" applyAlignment="1">
      <alignment horizontal="center"/>
    </xf>
    <xf numFmtId="4" fontId="14" fillId="0" borderId="40" xfId="0" applyNumberFormat="1" applyFont="1" applyBorder="1" applyAlignment="1">
      <alignment horizontal="center"/>
    </xf>
    <xf numFmtId="0" fontId="14" fillId="0" borderId="40" xfId="0" applyFont="1" applyBorder="1" applyAlignment="1">
      <alignment horizontal="left" wrapText="1"/>
    </xf>
    <xf numFmtId="4" fontId="11" fillId="2" borderId="40" xfId="0" applyNumberFormat="1" applyFont="1" applyFill="1" applyBorder="1" applyAlignment="1">
      <alignment horizontal="center"/>
    </xf>
    <xf numFmtId="3" fontId="14" fillId="2" borderId="40" xfId="0" applyNumberFormat="1" applyFont="1" applyFill="1" applyBorder="1" applyAlignment="1">
      <alignment horizontal="center"/>
    </xf>
    <xf numFmtId="0" fontId="14" fillId="0" borderId="40" xfId="0" applyFont="1" applyBorder="1"/>
    <xf numFmtId="0" fontId="1" fillId="0" borderId="40" xfId="0" applyFont="1" applyBorder="1" applyAlignment="1">
      <alignment horizontal="left" wrapText="1"/>
    </xf>
    <xf numFmtId="4" fontId="9" fillId="2" borderId="40" xfId="0" applyNumberFormat="1" applyFont="1" applyFill="1" applyBorder="1" applyAlignment="1">
      <alignment horizontal="center"/>
    </xf>
    <xf numFmtId="0" fontId="11" fillId="0" borderId="40" xfId="0" applyFont="1" applyBorder="1"/>
    <xf numFmtId="4" fontId="11" fillId="0" borderId="40" xfId="0" applyNumberFormat="1" applyFont="1" applyBorder="1" applyAlignment="1">
      <alignment horizontal="center"/>
    </xf>
    <xf numFmtId="0" fontId="11" fillId="0" borderId="40" xfId="0" applyFont="1" applyBorder="1" applyAlignment="1">
      <alignment wrapText="1"/>
    </xf>
    <xf numFmtId="0" fontId="5" fillId="0" borderId="40" xfId="0" applyFont="1" applyBorder="1"/>
    <xf numFmtId="4" fontId="2" fillId="2" borderId="40" xfId="0" applyNumberFormat="1" applyFont="1" applyFill="1" applyBorder="1" applyAlignment="1">
      <alignment horizontal="center"/>
    </xf>
    <xf numFmtId="0" fontId="14" fillId="2" borderId="40" xfId="0" applyFont="1" applyFill="1" applyBorder="1" applyAlignment="1">
      <alignment horizontal="center"/>
    </xf>
    <xf numFmtId="3" fontId="11" fillId="2" borderId="40" xfId="0" applyNumberFormat="1" applyFont="1" applyFill="1" applyBorder="1" applyAlignment="1">
      <alignment horizontal="center"/>
    </xf>
    <xf numFmtId="4" fontId="2" fillId="5" borderId="40" xfId="0" applyNumberFormat="1" applyFont="1" applyFill="1" applyBorder="1" applyAlignment="1">
      <alignment horizontal="center"/>
    </xf>
    <xf numFmtId="165" fontId="9" fillId="2" borderId="40" xfId="0" applyNumberFormat="1" applyFont="1" applyFill="1" applyBorder="1" applyAlignment="1">
      <alignment horizontal="center"/>
    </xf>
    <xf numFmtId="165" fontId="14" fillId="2" borderId="40" xfId="0" applyNumberFormat="1" applyFont="1" applyFill="1" applyBorder="1" applyAlignment="1">
      <alignment horizontal="center"/>
    </xf>
    <xf numFmtId="3" fontId="9" fillId="0" borderId="40" xfId="0" applyNumberFormat="1" applyFont="1" applyBorder="1" applyAlignment="1">
      <alignment horizontal="center"/>
    </xf>
    <xf numFmtId="4" fontId="9" fillId="0" borderId="40" xfId="0" applyNumberFormat="1" applyFont="1" applyBorder="1" applyAlignment="1">
      <alignment horizontal="center"/>
    </xf>
    <xf numFmtId="3" fontId="9" fillId="2" borderId="40" xfId="0" applyNumberFormat="1" applyFont="1" applyFill="1" applyBorder="1" applyAlignment="1">
      <alignment horizontal="center"/>
    </xf>
    <xf numFmtId="0" fontId="9" fillId="2" borderId="40" xfId="0" applyFont="1" applyFill="1" applyBorder="1" applyAlignment="1">
      <alignment horizontal="center"/>
    </xf>
    <xf numFmtId="1" fontId="9" fillId="2" borderId="40" xfId="0" applyNumberFormat="1" applyFont="1" applyFill="1" applyBorder="1" applyAlignment="1">
      <alignment horizontal="center"/>
    </xf>
    <xf numFmtId="4" fontId="3" fillId="2" borderId="40" xfId="0" applyNumberFormat="1" applyFont="1" applyFill="1" applyBorder="1" applyAlignment="1">
      <alignment horizontal="center"/>
    </xf>
    <xf numFmtId="0" fontId="2" fillId="0" borderId="40" xfId="0" applyFont="1" applyBorder="1"/>
    <xf numFmtId="166" fontId="8" fillId="2" borderId="40" xfId="0" applyNumberFormat="1" applyFont="1" applyFill="1" applyBorder="1" applyAlignment="1">
      <alignment horizontal="center"/>
    </xf>
    <xf numFmtId="3" fontId="3" fillId="2" borderId="40" xfId="0" applyNumberFormat="1" applyFont="1" applyFill="1" applyBorder="1" applyAlignment="1">
      <alignment horizontal="center"/>
    </xf>
    <xf numFmtId="165" fontId="2" fillId="2" borderId="40" xfId="0" applyNumberFormat="1" applyFont="1" applyFill="1" applyBorder="1" applyAlignment="1">
      <alignment horizontal="center"/>
    </xf>
    <xf numFmtId="0" fontId="11" fillId="0" borderId="40" xfId="0" applyFont="1" applyBorder="1" applyAlignment="1">
      <alignment horizontal="left" wrapText="1"/>
    </xf>
    <xf numFmtId="3" fontId="8" fillId="2" borderId="40" xfId="0" applyNumberFormat="1" applyFont="1" applyFill="1" applyBorder="1" applyAlignment="1">
      <alignment horizontal="center"/>
    </xf>
    <xf numFmtId="0" fontId="21" fillId="0" borderId="40" xfId="0" applyFont="1" applyBorder="1"/>
    <xf numFmtId="4" fontId="22" fillId="0" borderId="40" xfId="0" applyNumberFormat="1" applyFont="1" applyBorder="1" applyAlignment="1">
      <alignment horizontal="center"/>
    </xf>
    <xf numFmtId="4" fontId="22" fillId="2" borderId="40" xfId="0" applyNumberFormat="1" applyFont="1" applyFill="1" applyBorder="1" applyAlignment="1">
      <alignment horizontal="center"/>
    </xf>
    <xf numFmtId="168" fontId="8" fillId="2" borderId="40" xfId="0" applyNumberFormat="1" applyFont="1" applyFill="1" applyBorder="1" applyAlignment="1">
      <alignment horizontal="center"/>
    </xf>
    <xf numFmtId="165" fontId="23" fillId="2" borderId="40" xfId="0" applyNumberFormat="1" applyFont="1" applyFill="1" applyBorder="1" applyAlignment="1">
      <alignment horizontal="center"/>
    </xf>
    <xf numFmtId="4" fontId="0" fillId="0" borderId="0" xfId="0" applyNumberFormat="1"/>
    <xf numFmtId="0" fontId="1" fillId="0" borderId="40" xfId="0" applyFont="1" applyBorder="1" applyAlignment="1">
      <alignment horizontal="center"/>
    </xf>
    <xf numFmtId="0" fontId="1" fillId="0" borderId="40" xfId="0" applyFont="1" applyBorder="1"/>
    <xf numFmtId="0" fontId="9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0" fontId="3" fillId="2" borderId="6" xfId="0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 shrinkToFit="1"/>
    </xf>
    <xf numFmtId="0" fontId="3" fillId="0" borderId="23" xfId="0" applyFont="1" applyFill="1" applyBorder="1" applyAlignment="1">
      <alignment horizontal="center" vertical="center" wrapText="1" shrinkToFit="1"/>
    </xf>
    <xf numFmtId="0" fontId="3" fillId="0" borderId="10" xfId="0" applyFont="1" applyFill="1" applyBorder="1" applyAlignment="1">
      <alignment horizontal="center" vertical="center" wrapText="1" shrinkToFit="1"/>
    </xf>
    <xf numFmtId="0" fontId="3" fillId="3" borderId="23" xfId="0" applyFont="1" applyFill="1" applyBorder="1" applyAlignment="1">
      <alignment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vertical="center" wrapText="1"/>
    </xf>
    <xf numFmtId="165" fontId="3" fillId="3" borderId="13" xfId="0" applyNumberFormat="1" applyFont="1" applyFill="1" applyBorder="1" applyAlignment="1">
      <alignment vertical="center" wrapText="1"/>
    </xf>
    <xf numFmtId="165" fontId="3" fillId="3" borderId="23" xfId="0" applyNumberFormat="1" applyFont="1" applyFill="1" applyBorder="1" applyAlignment="1">
      <alignment vertical="center" wrapText="1"/>
    </xf>
    <xf numFmtId="0" fontId="3" fillId="2" borderId="11" xfId="0" applyFont="1" applyFill="1" applyBorder="1" applyAlignment="1">
      <alignment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165" fontId="25" fillId="2" borderId="23" xfId="0" applyNumberFormat="1" applyFont="1" applyFill="1" applyBorder="1" applyAlignment="1">
      <alignment vertical="center" wrapText="1"/>
    </xf>
    <xf numFmtId="165" fontId="3" fillId="2" borderId="13" xfId="0" applyNumberFormat="1" applyFont="1" applyFill="1" applyBorder="1" applyAlignment="1">
      <alignment vertical="center" wrapText="1"/>
    </xf>
    <xf numFmtId="165" fontId="3" fillId="2" borderId="23" xfId="0" applyNumberFormat="1" applyFont="1" applyFill="1" applyBorder="1" applyAlignment="1">
      <alignment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165" fontId="3" fillId="2" borderId="27" xfId="0" applyNumberFormat="1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23" fillId="2" borderId="36" xfId="0" applyFont="1" applyFill="1" applyBorder="1" applyAlignment="1">
      <alignment vertical="center" wrapText="1"/>
    </xf>
    <xf numFmtId="0" fontId="23" fillId="2" borderId="28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vertical="center" wrapText="1"/>
    </xf>
    <xf numFmtId="165" fontId="3" fillId="2" borderId="30" xfId="0" applyNumberFormat="1" applyFont="1" applyFill="1" applyBorder="1" applyAlignment="1">
      <alignment vertical="center" wrapText="1"/>
    </xf>
    <xf numFmtId="165" fontId="3" fillId="2" borderId="6" xfId="0" applyNumberFormat="1" applyFont="1" applyFill="1" applyBorder="1" applyAlignment="1">
      <alignment vertical="center" wrapText="1"/>
    </xf>
    <xf numFmtId="0" fontId="23" fillId="2" borderId="37" xfId="0" applyFont="1" applyFill="1" applyBorder="1" applyAlignment="1">
      <alignment vertical="center" wrapText="1"/>
    </xf>
    <xf numFmtId="0" fontId="23" fillId="2" borderId="38" xfId="0" applyFont="1" applyFill="1" applyBorder="1" applyAlignment="1">
      <alignment vertical="center" wrapText="1"/>
    </xf>
    <xf numFmtId="0" fontId="23" fillId="2" borderId="16" xfId="0" applyFont="1" applyFill="1" applyBorder="1" applyAlignment="1">
      <alignment horizontal="center" vertical="center" wrapText="1"/>
    </xf>
    <xf numFmtId="165" fontId="3" fillId="2" borderId="32" xfId="0" applyNumberFormat="1" applyFont="1" applyFill="1" applyBorder="1" applyAlignment="1">
      <alignment vertical="center" wrapText="1"/>
    </xf>
    <xf numFmtId="165" fontId="3" fillId="2" borderId="24" xfId="0" applyNumberFormat="1" applyFont="1" applyFill="1" applyBorder="1" applyAlignment="1">
      <alignment vertical="center" wrapText="1"/>
    </xf>
    <xf numFmtId="0" fontId="23" fillId="2" borderId="6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165" fontId="3" fillId="2" borderId="28" xfId="0" applyNumberFormat="1" applyFont="1" applyFill="1" applyBorder="1" applyAlignment="1">
      <alignment vertical="center" wrapText="1"/>
    </xf>
    <xf numFmtId="0" fontId="8" fillId="2" borderId="21" xfId="0" applyFont="1" applyFill="1" applyBorder="1" applyAlignment="1">
      <alignment horizontal="center" vertical="center" wrapText="1"/>
    </xf>
    <xf numFmtId="165" fontId="3" fillId="2" borderId="9" xfId="0" applyNumberFormat="1" applyFont="1" applyFill="1" applyBorder="1" applyAlignment="1">
      <alignment vertical="center" wrapText="1"/>
    </xf>
    <xf numFmtId="165" fontId="3" fillId="2" borderId="21" xfId="0" applyNumberFormat="1" applyFont="1" applyFill="1" applyBorder="1" applyAlignment="1">
      <alignment vertical="center" wrapText="1"/>
    </xf>
    <xf numFmtId="0" fontId="3" fillId="3" borderId="11" xfId="0" applyFont="1" applyFill="1" applyBorder="1" applyAlignment="1">
      <alignment vertical="center" wrapText="1"/>
    </xf>
    <xf numFmtId="0" fontId="8" fillId="3" borderId="23" xfId="0" applyFont="1" applyFill="1" applyBorder="1" applyAlignment="1">
      <alignment horizontal="center" vertical="center" wrapText="1"/>
    </xf>
    <xf numFmtId="165" fontId="25" fillId="3" borderId="23" xfId="0" applyNumberFormat="1" applyFont="1" applyFill="1" applyBorder="1" applyAlignment="1">
      <alignment vertical="center" wrapText="1"/>
    </xf>
    <xf numFmtId="165" fontId="25" fillId="2" borderId="17" xfId="0" applyNumberFormat="1" applyFont="1" applyFill="1" applyBorder="1" applyAlignment="1">
      <alignment vertical="center" wrapText="1"/>
    </xf>
    <xf numFmtId="165" fontId="25" fillId="2" borderId="30" xfId="0" applyNumberFormat="1" applyFont="1" applyFill="1" applyBorder="1" applyAlignment="1">
      <alignment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36" xfId="0" applyFont="1" applyFill="1" applyBorder="1" applyAlignment="1">
      <alignment vertical="center" wrapText="1"/>
    </xf>
    <xf numFmtId="165" fontId="25" fillId="3" borderId="13" xfId="0" applyNumberFormat="1" applyFont="1" applyFill="1" applyBorder="1" applyAlignment="1">
      <alignment vertical="center" wrapText="1"/>
    </xf>
    <xf numFmtId="0" fontId="3" fillId="2" borderId="38" xfId="0" applyFont="1" applyFill="1" applyBorder="1" applyAlignment="1">
      <alignment vertical="center" wrapText="1"/>
    </xf>
    <xf numFmtId="0" fontId="3" fillId="2" borderId="16" xfId="0" applyFont="1" applyFill="1" applyBorder="1" applyAlignment="1">
      <alignment horizontal="center" vertical="center" wrapText="1"/>
    </xf>
    <xf numFmtId="165" fontId="3" fillId="2" borderId="34" xfId="0" applyNumberFormat="1" applyFont="1" applyFill="1" applyBorder="1" applyAlignment="1">
      <alignment vertical="center" wrapText="1"/>
    </xf>
    <xf numFmtId="0" fontId="8" fillId="2" borderId="37" xfId="0" applyFont="1" applyFill="1" applyBorder="1" applyAlignment="1">
      <alignment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vertical="center" wrapText="1"/>
    </xf>
    <xf numFmtId="0" fontId="3" fillId="3" borderId="14" xfId="0" applyFont="1" applyFill="1" applyBorder="1" applyAlignment="1">
      <alignment horizontal="center" vertical="center" wrapText="1"/>
    </xf>
    <xf numFmtId="165" fontId="3" fillId="3" borderId="14" xfId="0" applyNumberFormat="1" applyFont="1" applyFill="1" applyBorder="1" applyAlignment="1">
      <alignment vertical="center" wrapText="1"/>
    </xf>
    <xf numFmtId="165" fontId="25" fillId="3" borderId="14" xfId="0" applyNumberFormat="1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34" xfId="0" applyFont="1" applyFill="1" applyBorder="1" applyAlignment="1">
      <alignment horizontal="center" vertical="center" wrapText="1"/>
    </xf>
    <xf numFmtId="165" fontId="25" fillId="2" borderId="21" xfId="0" applyNumberFormat="1" applyFont="1" applyFill="1" applyBorder="1" applyAlignment="1">
      <alignment vertical="center" wrapText="1"/>
    </xf>
    <xf numFmtId="165" fontId="28" fillId="2" borderId="34" xfId="0" applyNumberFormat="1" applyFont="1" applyFill="1" applyBorder="1" applyAlignment="1">
      <alignment vertical="center" wrapText="1"/>
    </xf>
    <xf numFmtId="0" fontId="3" fillId="3" borderId="12" xfId="0" applyFont="1" applyFill="1" applyBorder="1" applyAlignment="1">
      <alignment horizontal="center" vertical="center" wrapText="1"/>
    </xf>
    <xf numFmtId="165" fontId="3" fillId="3" borderId="12" xfId="0" applyNumberFormat="1" applyFont="1" applyFill="1" applyBorder="1" applyAlignment="1">
      <alignment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165" fontId="3" fillId="2" borderId="12" xfId="0" applyNumberFormat="1" applyFont="1" applyFill="1" applyBorder="1" applyAlignment="1">
      <alignment vertical="center" wrapText="1"/>
    </xf>
    <xf numFmtId="165" fontId="3" fillId="2" borderId="37" xfId="0" applyNumberFormat="1" applyFont="1" applyFill="1" applyBorder="1" applyAlignment="1">
      <alignment vertical="center" wrapText="1"/>
    </xf>
    <xf numFmtId="165" fontId="3" fillId="2" borderId="29" xfId="0" applyNumberFormat="1" applyFont="1" applyFill="1" applyBorder="1" applyAlignment="1">
      <alignment vertical="center" wrapText="1"/>
    </xf>
    <xf numFmtId="165" fontId="3" fillId="2" borderId="17" xfId="0" applyNumberFormat="1" applyFont="1" applyFill="1" applyBorder="1" applyAlignment="1">
      <alignment vertical="center" wrapText="1"/>
    </xf>
    <xf numFmtId="165" fontId="3" fillId="2" borderId="36" xfId="0" applyNumberFormat="1" applyFont="1" applyFill="1" applyBorder="1" applyAlignment="1">
      <alignment vertical="center" wrapText="1"/>
    </xf>
    <xf numFmtId="165" fontId="3" fillId="2" borderId="31" xfId="0" applyNumberFormat="1" applyFont="1" applyFill="1" applyBorder="1" applyAlignment="1">
      <alignment vertical="center" wrapText="1"/>
    </xf>
    <xf numFmtId="0" fontId="3" fillId="2" borderId="39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 wrapText="1"/>
    </xf>
    <xf numFmtId="165" fontId="3" fillId="2" borderId="39" xfId="0" applyNumberFormat="1" applyFont="1" applyFill="1" applyBorder="1" applyAlignment="1">
      <alignment vertical="center" wrapText="1"/>
    </xf>
    <xf numFmtId="165" fontId="3" fillId="2" borderId="22" xfId="0" applyNumberFormat="1" applyFont="1" applyFill="1" applyBorder="1" applyAlignment="1">
      <alignment vertical="center" wrapText="1"/>
    </xf>
    <xf numFmtId="0" fontId="3" fillId="0" borderId="0" xfId="0" quotePrefix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0" fontId="7" fillId="0" borderId="40" xfId="0" applyFont="1" applyBorder="1"/>
    <xf numFmtId="0" fontId="2" fillId="0" borderId="40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5" fillId="0" borderId="40" xfId="0" applyFont="1" applyBorder="1" applyAlignment="1">
      <alignment horizontal="center"/>
    </xf>
    <xf numFmtId="2" fontId="5" fillId="0" borderId="40" xfId="0" applyNumberFormat="1" applyFont="1" applyBorder="1" applyAlignment="1">
      <alignment horizontal="center"/>
    </xf>
    <xf numFmtId="0" fontId="1" fillId="5" borderId="40" xfId="0" applyFont="1" applyFill="1" applyBorder="1" applyAlignment="1">
      <alignment horizontal="center"/>
    </xf>
    <xf numFmtId="0" fontId="1" fillId="0" borderId="40" xfId="0" applyFont="1" applyBorder="1" applyAlignment="1">
      <alignment horizontal="center" vertical="center"/>
    </xf>
    <xf numFmtId="0" fontId="0" fillId="0" borderId="40" xfId="0" applyBorder="1" applyAlignment="1">
      <alignment horizontal="center"/>
    </xf>
    <xf numFmtId="0" fontId="0" fillId="0" borderId="0" xfId="0" applyBorder="1"/>
    <xf numFmtId="0" fontId="1" fillId="0" borderId="40" xfId="0" applyFont="1" applyFill="1" applyBorder="1" applyAlignment="1">
      <alignment horizontal="center"/>
    </xf>
    <xf numFmtId="0" fontId="2" fillId="0" borderId="40" xfId="0" applyFont="1" applyFill="1" applyBorder="1" applyAlignment="1">
      <alignment horizontal="center"/>
    </xf>
    <xf numFmtId="0" fontId="1" fillId="0" borderId="40" xfId="0" applyFont="1" applyFill="1" applyBorder="1"/>
    <xf numFmtId="0" fontId="4" fillId="0" borderId="40" xfId="0" applyFont="1" applyFill="1" applyBorder="1" applyAlignment="1">
      <alignment horizontal="center"/>
    </xf>
    <xf numFmtId="2" fontId="1" fillId="5" borderId="40" xfId="0" applyNumberFormat="1" applyFont="1" applyFill="1" applyBorder="1" applyAlignment="1">
      <alignment horizontal="center"/>
    </xf>
    <xf numFmtId="0" fontId="24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top" wrapText="1"/>
    </xf>
    <xf numFmtId="0" fontId="30" fillId="0" borderId="56" xfId="0" applyFont="1" applyBorder="1" applyAlignment="1">
      <alignment horizontal="left" vertical="top" wrapText="1" indent="3"/>
    </xf>
    <xf numFmtId="0" fontId="30" fillId="0" borderId="53" xfId="0" applyFont="1" applyBorder="1" applyAlignment="1">
      <alignment horizontal="left" vertical="top" wrapText="1" indent="3"/>
    </xf>
    <xf numFmtId="0" fontId="30" fillId="0" borderId="53" xfId="0" applyFont="1" applyBorder="1" applyAlignment="1">
      <alignment horizontal="center" vertical="top" wrapText="1"/>
    </xf>
    <xf numFmtId="0" fontId="33" fillId="0" borderId="53" xfId="0" applyFont="1" applyBorder="1" applyAlignment="1">
      <alignment horizontal="left" vertical="top" wrapText="1" indent="3"/>
    </xf>
    <xf numFmtId="0" fontId="32" fillId="0" borderId="53" xfId="0" applyFont="1" applyBorder="1" applyAlignment="1">
      <alignment horizontal="left" vertical="top" wrapText="1" indent="3"/>
    </xf>
    <xf numFmtId="0" fontId="35" fillId="0" borderId="0" xfId="0" applyFont="1"/>
    <xf numFmtId="4" fontId="3" fillId="0" borderId="40" xfId="0" applyNumberFormat="1" applyFont="1" applyFill="1" applyBorder="1" applyAlignment="1">
      <alignment horizontal="center"/>
    </xf>
    <xf numFmtId="2" fontId="6" fillId="0" borderId="40" xfId="0" applyNumberFormat="1" applyFont="1" applyBorder="1" applyAlignment="1">
      <alignment horizontal="center"/>
    </xf>
    <xf numFmtId="0" fontId="6" fillId="0" borderId="40" xfId="0" applyFont="1" applyBorder="1" applyAlignment="1">
      <alignment horizontal="center"/>
    </xf>
    <xf numFmtId="4" fontId="5" fillId="0" borderId="40" xfId="0" applyNumberFormat="1" applyFont="1" applyBorder="1" applyAlignment="1">
      <alignment horizontal="center"/>
    </xf>
    <xf numFmtId="0" fontId="0" fillId="0" borderId="0" xfId="0" applyAlignment="1">
      <alignment wrapText="1"/>
    </xf>
    <xf numFmtId="0" fontId="0" fillId="0" borderId="40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0" fontId="14" fillId="0" borderId="40" xfId="0" applyFont="1" applyBorder="1" applyAlignment="1">
      <alignment horizontal="justify" vertical="top" wrapText="1"/>
    </xf>
    <xf numFmtId="4" fontId="16" fillId="0" borderId="40" xfId="0" applyNumberFormat="1" applyFont="1" applyBorder="1" applyAlignment="1">
      <alignment horizontal="center"/>
    </xf>
    <xf numFmtId="4" fontId="16" fillId="0" borderId="28" xfId="0" applyNumberFormat="1" applyFont="1" applyBorder="1" applyAlignment="1"/>
    <xf numFmtId="0" fontId="0" fillId="0" borderId="40" xfId="0" applyBorder="1" applyAlignment="1">
      <alignment vertical="center"/>
    </xf>
    <xf numFmtId="0" fontId="0" fillId="0" borderId="40" xfId="0" applyBorder="1" applyAlignment="1">
      <alignment horizontal="left" vertical="center" wrapText="1"/>
    </xf>
    <xf numFmtId="0" fontId="0" fillId="0" borderId="40" xfId="0" applyBorder="1" applyAlignment="1">
      <alignment horizontal="left" vertical="center"/>
    </xf>
    <xf numFmtId="0" fontId="0" fillId="0" borderId="40" xfId="0" applyBorder="1" applyAlignment="1">
      <alignment horizontal="left" wrapText="1"/>
    </xf>
    <xf numFmtId="165" fontId="3" fillId="2" borderId="35" xfId="0" applyNumberFormat="1" applyFont="1" applyFill="1" applyBorder="1" applyAlignment="1">
      <alignment vertical="center" wrapText="1"/>
    </xf>
    <xf numFmtId="165" fontId="3" fillId="2" borderId="10" xfId="0" applyNumberFormat="1" applyFont="1" applyFill="1" applyBorder="1" applyAlignment="1">
      <alignment vertical="center" wrapText="1"/>
    </xf>
    <xf numFmtId="165" fontId="25" fillId="2" borderId="6" xfId="0" applyNumberFormat="1" applyFont="1" applyFill="1" applyBorder="1" applyAlignment="1">
      <alignment vertical="center" wrapText="1"/>
    </xf>
    <xf numFmtId="165" fontId="25" fillId="2" borderId="28" xfId="0" applyNumberFormat="1" applyFont="1" applyFill="1" applyBorder="1" applyAlignment="1">
      <alignment vertical="center" wrapText="1"/>
    </xf>
    <xf numFmtId="165" fontId="25" fillId="2" borderId="34" xfId="0" applyNumberFormat="1" applyFont="1" applyFill="1" applyBorder="1" applyAlignment="1">
      <alignment vertical="center" wrapText="1"/>
    </xf>
    <xf numFmtId="165" fontId="26" fillId="2" borderId="28" xfId="0" applyNumberFormat="1" applyFont="1" applyFill="1" applyBorder="1" applyAlignment="1">
      <alignment vertical="center" wrapText="1"/>
    </xf>
    <xf numFmtId="165" fontId="26" fillId="2" borderId="6" xfId="0" applyNumberFormat="1" applyFont="1" applyFill="1" applyBorder="1" applyAlignment="1">
      <alignment vertical="center" wrapText="1"/>
    </xf>
    <xf numFmtId="165" fontId="25" fillId="2" borderId="13" xfId="0" applyNumberFormat="1" applyFont="1" applyFill="1" applyBorder="1" applyAlignment="1">
      <alignment vertical="center" wrapText="1"/>
    </xf>
    <xf numFmtId="165" fontId="27" fillId="2" borderId="34" xfId="0" applyNumberFormat="1" applyFont="1" applyFill="1" applyBorder="1" applyAlignment="1">
      <alignment vertical="center" wrapText="1"/>
    </xf>
    <xf numFmtId="165" fontId="25" fillId="2" borderId="27" xfId="0" applyNumberFormat="1" applyFont="1" applyFill="1" applyBorder="1" applyAlignment="1">
      <alignment vertical="center" wrapText="1"/>
    </xf>
    <xf numFmtId="165" fontId="25" fillId="0" borderId="30" xfId="0" applyNumberFormat="1" applyFont="1" applyFill="1" applyBorder="1" applyAlignment="1">
      <alignment vertical="center" wrapText="1"/>
    </xf>
    <xf numFmtId="165" fontId="3" fillId="0" borderId="6" xfId="0" applyNumberFormat="1" applyFont="1" applyFill="1" applyBorder="1" applyAlignment="1">
      <alignment vertical="center" wrapText="1"/>
    </xf>
    <xf numFmtId="165" fontId="3" fillId="3" borderId="35" xfId="0" applyNumberFormat="1" applyFont="1" applyFill="1" applyBorder="1" applyAlignment="1">
      <alignment vertical="center" wrapText="1"/>
    </xf>
    <xf numFmtId="165" fontId="28" fillId="2" borderId="32" xfId="0" applyNumberFormat="1" applyFont="1" applyFill="1" applyBorder="1" applyAlignment="1">
      <alignment vertical="center" wrapText="1"/>
    </xf>
    <xf numFmtId="165" fontId="3" fillId="2" borderId="25" xfId="0" applyNumberFormat="1" applyFont="1" applyFill="1" applyBorder="1" applyAlignment="1">
      <alignment vertical="center" wrapText="1"/>
    </xf>
    <xf numFmtId="165" fontId="3" fillId="2" borderId="62" xfId="0" applyNumberFormat="1" applyFont="1" applyFill="1" applyBorder="1" applyAlignment="1">
      <alignment vertical="center" wrapText="1"/>
    </xf>
    <xf numFmtId="165" fontId="3" fillId="2" borderId="33" xfId="0" applyNumberFormat="1" applyFont="1" applyFill="1" applyBorder="1" applyAlignment="1">
      <alignment vertical="center" wrapText="1"/>
    </xf>
    <xf numFmtId="165" fontId="25" fillId="0" borderId="17" xfId="0" applyNumberFormat="1" applyFont="1" applyFill="1" applyBorder="1" applyAlignment="1">
      <alignment vertical="center" wrapText="1"/>
    </xf>
    <xf numFmtId="165" fontId="0" fillId="0" borderId="0" xfId="0" applyNumberFormat="1"/>
    <xf numFmtId="0" fontId="37" fillId="0" borderId="0" xfId="0" applyFont="1"/>
    <xf numFmtId="2" fontId="39" fillId="0" borderId="45" xfId="0" applyNumberFormat="1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/>
    </xf>
    <xf numFmtId="2" fontId="39" fillId="0" borderId="63" xfId="0" applyNumberFormat="1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4" fontId="36" fillId="0" borderId="0" xfId="0" applyNumberFormat="1" applyFont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/>
    </xf>
    <xf numFmtId="0" fontId="40" fillId="0" borderId="0" xfId="0" applyFont="1"/>
    <xf numFmtId="0" fontId="3" fillId="6" borderId="11" xfId="0" applyFont="1" applyFill="1" applyBorder="1" applyAlignment="1">
      <alignment vertical="center" wrapText="1"/>
    </xf>
    <xf numFmtId="0" fontId="8" fillId="2" borderId="36" xfId="0" applyFont="1" applyFill="1" applyBorder="1" applyAlignment="1">
      <alignment horizontal="center" vertical="center" wrapText="1"/>
    </xf>
    <xf numFmtId="0" fontId="8" fillId="2" borderId="40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165" fontId="3" fillId="0" borderId="13" xfId="0" applyNumberFormat="1" applyFont="1" applyFill="1" applyBorder="1" applyAlignment="1">
      <alignment vertical="center" wrapText="1"/>
    </xf>
    <xf numFmtId="165" fontId="3" fillId="0" borderId="28" xfId="0" applyNumberFormat="1" applyFont="1" applyFill="1" applyBorder="1" applyAlignment="1">
      <alignment vertical="center" wrapText="1"/>
    </xf>
    <xf numFmtId="165" fontId="3" fillId="0" borderId="34" xfId="0" applyNumberFormat="1" applyFont="1" applyFill="1" applyBorder="1" applyAlignment="1">
      <alignment vertical="center" wrapText="1"/>
    </xf>
    <xf numFmtId="165" fontId="3" fillId="0" borderId="9" xfId="0" applyNumberFormat="1" applyFont="1" applyFill="1" applyBorder="1" applyAlignment="1">
      <alignment vertical="center" wrapText="1"/>
    </xf>
    <xf numFmtId="165" fontId="25" fillId="0" borderId="29" xfId="0" applyNumberFormat="1" applyFont="1" applyFill="1" applyBorder="1" applyAlignment="1">
      <alignment vertical="center" wrapText="1"/>
    </xf>
    <xf numFmtId="165" fontId="25" fillId="0" borderId="31" xfId="0" applyNumberFormat="1" applyFont="1" applyFill="1" applyBorder="1" applyAlignment="1">
      <alignment vertical="center" wrapText="1"/>
    </xf>
    <xf numFmtId="165" fontId="3" fillId="0" borderId="31" xfId="0" applyNumberFormat="1" applyFont="1" applyFill="1" applyBorder="1" applyAlignment="1">
      <alignment vertical="center" wrapText="1"/>
    </xf>
    <xf numFmtId="165" fontId="25" fillId="0" borderId="28" xfId="0" applyNumberFormat="1" applyFont="1" applyFill="1" applyBorder="1" applyAlignment="1">
      <alignment vertical="center" wrapText="1"/>
    </xf>
    <xf numFmtId="165" fontId="25" fillId="0" borderId="6" xfId="0" applyNumberFormat="1" applyFont="1" applyFill="1" applyBorder="1" applyAlignment="1">
      <alignment vertical="center" wrapText="1"/>
    </xf>
    <xf numFmtId="165" fontId="26" fillId="0" borderId="28" xfId="0" applyNumberFormat="1" applyFont="1" applyFill="1" applyBorder="1" applyAlignment="1">
      <alignment vertical="center" wrapText="1"/>
    </xf>
    <xf numFmtId="165" fontId="26" fillId="0" borderId="6" xfId="0" applyNumberFormat="1" applyFont="1" applyFill="1" applyBorder="1" applyAlignment="1">
      <alignment vertical="center" wrapText="1"/>
    </xf>
    <xf numFmtId="165" fontId="25" fillId="0" borderId="34" xfId="0" applyNumberFormat="1" applyFont="1" applyFill="1" applyBorder="1" applyAlignment="1">
      <alignment vertical="center" wrapText="1"/>
    </xf>
    <xf numFmtId="165" fontId="28" fillId="0" borderId="34" xfId="0" applyNumberFormat="1" applyFont="1" applyFill="1" applyBorder="1" applyAlignment="1">
      <alignment vertical="center" wrapText="1"/>
    </xf>
    <xf numFmtId="165" fontId="3" fillId="0" borderId="12" xfId="0" applyNumberFormat="1" applyFont="1" applyFill="1" applyBorder="1" applyAlignment="1">
      <alignment vertical="center" wrapText="1"/>
    </xf>
    <xf numFmtId="4" fontId="3" fillId="0" borderId="29" xfId="0" applyNumberFormat="1" applyFont="1" applyFill="1" applyBorder="1" applyAlignment="1">
      <alignment vertical="center" wrapText="1"/>
    </xf>
    <xf numFmtId="4" fontId="3" fillId="0" borderId="31" xfId="0" applyNumberFormat="1" applyFont="1" applyFill="1" applyBorder="1" applyAlignment="1">
      <alignment vertical="center" wrapText="1"/>
    </xf>
    <xf numFmtId="4" fontId="3" fillId="0" borderId="33" xfId="0" applyNumberFormat="1" applyFont="1" applyFill="1" applyBorder="1" applyAlignment="1">
      <alignment vertical="center" wrapText="1"/>
    </xf>
    <xf numFmtId="165" fontId="3" fillId="0" borderId="29" xfId="0" applyNumberFormat="1" applyFont="1" applyFill="1" applyBorder="1" applyAlignment="1">
      <alignment vertical="center" wrapText="1"/>
    </xf>
    <xf numFmtId="165" fontId="3" fillId="0" borderId="33" xfId="0" applyNumberFormat="1" applyFont="1" applyFill="1" applyBorder="1" applyAlignment="1">
      <alignment vertical="center" wrapText="1"/>
    </xf>
    <xf numFmtId="0" fontId="0" fillId="0" borderId="0" xfId="0" applyFill="1"/>
    <xf numFmtId="0" fontId="3" fillId="0" borderId="15" xfId="0" applyFont="1" applyFill="1" applyBorder="1" applyAlignment="1">
      <alignment vertical="center" wrapText="1"/>
    </xf>
    <xf numFmtId="165" fontId="3" fillId="0" borderId="27" xfId="0" applyNumberFormat="1" applyFont="1" applyFill="1" applyBorder="1" applyAlignment="1">
      <alignment vertical="center" wrapText="1"/>
    </xf>
    <xf numFmtId="165" fontId="3" fillId="0" borderId="30" xfId="0" applyNumberFormat="1" applyFont="1" applyFill="1" applyBorder="1" applyAlignment="1">
      <alignment vertical="center" wrapText="1"/>
    </xf>
    <xf numFmtId="165" fontId="3" fillId="0" borderId="32" xfId="0" applyNumberFormat="1" applyFont="1" applyFill="1" applyBorder="1" applyAlignment="1">
      <alignment vertical="center" wrapText="1"/>
    </xf>
    <xf numFmtId="165" fontId="25" fillId="0" borderId="27" xfId="0" applyNumberFormat="1" applyFont="1" applyFill="1" applyBorder="1" applyAlignment="1">
      <alignment vertical="center" wrapText="1"/>
    </xf>
    <xf numFmtId="165" fontId="25" fillId="0" borderId="32" xfId="0" applyNumberFormat="1" applyFont="1" applyFill="1" applyBorder="1" applyAlignment="1">
      <alignment vertical="center" wrapText="1"/>
    </xf>
    <xf numFmtId="165" fontId="25" fillId="0" borderId="21" xfId="0" applyNumberFormat="1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3" fillId="0" borderId="40" xfId="0" applyFont="1" applyBorder="1"/>
    <xf numFmtId="165" fontId="8" fillId="2" borderId="6" xfId="0" applyNumberFormat="1" applyFont="1" applyFill="1" applyBorder="1" applyAlignment="1">
      <alignment vertical="center" wrapText="1"/>
    </xf>
    <xf numFmtId="165" fontId="42" fillId="0" borderId="31" xfId="0" applyNumberFormat="1" applyFont="1" applyFill="1" applyBorder="1" applyAlignment="1">
      <alignment vertical="center" wrapText="1"/>
    </xf>
    <xf numFmtId="165" fontId="42" fillId="0" borderId="30" xfId="0" applyNumberFormat="1" applyFont="1" applyFill="1" applyBorder="1" applyAlignment="1">
      <alignment vertical="center" wrapText="1"/>
    </xf>
    <xf numFmtId="165" fontId="8" fillId="0" borderId="6" xfId="0" applyNumberFormat="1" applyFont="1" applyFill="1" applyBorder="1" applyAlignment="1">
      <alignment vertical="center" wrapText="1"/>
    </xf>
    <xf numFmtId="0" fontId="8" fillId="3" borderId="35" xfId="0" applyFont="1" applyFill="1" applyBorder="1" applyAlignment="1">
      <alignment horizontal="center" vertical="center" wrapText="1"/>
    </xf>
    <xf numFmtId="165" fontId="25" fillId="3" borderId="40" xfId="0" applyNumberFormat="1" applyFont="1" applyFill="1" applyBorder="1" applyAlignment="1">
      <alignment vertical="center" wrapText="1"/>
    </xf>
    <xf numFmtId="165" fontId="3" fillId="3" borderId="40" xfId="0" applyNumberFormat="1" applyFont="1" applyFill="1" applyBorder="1" applyAlignment="1">
      <alignment vertical="center" wrapText="1"/>
    </xf>
    <xf numFmtId="0" fontId="3" fillId="3" borderId="10" xfId="0" applyFont="1" applyFill="1" applyBorder="1" applyAlignment="1">
      <alignment horizontal="center" vertical="center" wrapText="1"/>
    </xf>
    <xf numFmtId="165" fontId="25" fillId="3" borderId="35" xfId="0" applyNumberFormat="1" applyFont="1" applyFill="1" applyBorder="1" applyAlignment="1">
      <alignment vertical="center" wrapText="1"/>
    </xf>
    <xf numFmtId="0" fontId="3" fillId="2" borderId="40" xfId="0" applyFont="1" applyFill="1" applyBorder="1" applyAlignment="1">
      <alignment vertical="center" wrapText="1"/>
    </xf>
    <xf numFmtId="0" fontId="3" fillId="2" borderId="40" xfId="0" applyFont="1" applyFill="1" applyBorder="1" applyAlignment="1">
      <alignment horizontal="center" vertical="center" wrapText="1"/>
    </xf>
    <xf numFmtId="165" fontId="25" fillId="2" borderId="40" xfId="0" applyNumberFormat="1" applyFont="1" applyFill="1" applyBorder="1" applyAlignment="1">
      <alignment vertical="center" wrapText="1"/>
    </xf>
    <xf numFmtId="165" fontId="3" fillId="0" borderId="40" xfId="0" applyNumberFormat="1" applyFont="1" applyFill="1" applyBorder="1" applyAlignment="1">
      <alignment vertical="center" wrapText="1"/>
    </xf>
    <xf numFmtId="165" fontId="3" fillId="2" borderId="40" xfId="0" applyNumberFormat="1" applyFont="1" applyFill="1" applyBorder="1" applyAlignment="1">
      <alignment vertical="center" wrapText="1"/>
    </xf>
    <xf numFmtId="0" fontId="3" fillId="3" borderId="40" xfId="0" applyFont="1" applyFill="1" applyBorder="1" applyAlignment="1">
      <alignment vertical="center" wrapText="1"/>
    </xf>
    <xf numFmtId="0" fontId="8" fillId="3" borderId="40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8" fillId="0" borderId="0" xfId="0" applyFont="1"/>
    <xf numFmtId="0" fontId="36" fillId="0" borderId="60" xfId="0" applyNumberFormat="1" applyFont="1" applyFill="1" applyBorder="1" applyAlignment="1">
      <alignment horizontal="center" vertical="center" wrapText="1"/>
    </xf>
    <xf numFmtId="4" fontId="36" fillId="0" borderId="60" xfId="0" applyNumberFormat="1" applyFont="1" applyFill="1" applyBorder="1" applyAlignment="1">
      <alignment vertical="center" wrapText="1"/>
    </xf>
    <xf numFmtId="4" fontId="36" fillId="0" borderId="40" xfId="0" applyNumberFormat="1" applyFont="1" applyFill="1" applyBorder="1" applyAlignment="1">
      <alignment vertical="center" wrapText="1"/>
    </xf>
    <xf numFmtId="0" fontId="36" fillId="0" borderId="40" xfId="0" applyNumberFormat="1" applyFont="1" applyFill="1" applyBorder="1" applyAlignment="1">
      <alignment horizontal="center" vertical="center" wrapText="1"/>
    </xf>
    <xf numFmtId="0" fontId="1" fillId="0" borderId="40" xfId="0" applyNumberFormat="1" applyFont="1" applyFill="1" applyBorder="1" applyAlignment="1">
      <alignment horizontal="center"/>
    </xf>
    <xf numFmtId="4" fontId="1" fillId="0" borderId="40" xfId="0" applyNumberFormat="1" applyFont="1" applyFill="1" applyBorder="1" applyAlignment="1"/>
    <xf numFmtId="4" fontId="1" fillId="0" borderId="40" xfId="0" applyNumberFormat="1" applyFont="1" applyFill="1" applyBorder="1" applyAlignment="1">
      <alignment wrapText="1"/>
    </xf>
    <xf numFmtId="4" fontId="36" fillId="0" borderId="0" xfId="0" applyNumberFormat="1" applyFont="1" applyFill="1" applyBorder="1" applyAlignment="1">
      <alignment vertical="center" wrapText="1"/>
    </xf>
    <xf numFmtId="4" fontId="39" fillId="0" borderId="0" xfId="0" applyNumberFormat="1" applyFont="1" applyFill="1" applyBorder="1" applyAlignment="1">
      <alignment vertical="center" wrapText="1"/>
    </xf>
    <xf numFmtId="0" fontId="36" fillId="0" borderId="0" xfId="0" applyFont="1"/>
    <xf numFmtId="4" fontId="36" fillId="0" borderId="0" xfId="0" applyNumberFormat="1" applyFont="1"/>
    <xf numFmtId="165" fontId="9" fillId="0" borderId="27" xfId="0" applyNumberFormat="1" applyFont="1" applyFill="1" applyBorder="1" applyAlignment="1">
      <alignment vertical="center" wrapText="1"/>
    </xf>
    <xf numFmtId="165" fontId="9" fillId="0" borderId="30" xfId="0" applyNumberFormat="1" applyFont="1" applyFill="1" applyBorder="1" applyAlignment="1">
      <alignment vertical="center" wrapText="1"/>
    </xf>
    <xf numFmtId="165" fontId="9" fillId="0" borderId="28" xfId="0" applyNumberFormat="1" applyFont="1" applyFill="1" applyBorder="1" applyAlignment="1">
      <alignment vertical="center" wrapText="1"/>
    </xf>
    <xf numFmtId="165" fontId="9" fillId="0" borderId="6" xfId="0" applyNumberFormat="1" applyFont="1" applyFill="1" applyBorder="1" applyAlignment="1">
      <alignment vertical="center" wrapText="1"/>
    </xf>
    <xf numFmtId="4" fontId="3" fillId="0" borderId="27" xfId="0" applyNumberFormat="1" applyFont="1" applyFill="1" applyBorder="1" applyAlignment="1">
      <alignment vertical="center" wrapText="1"/>
    </xf>
    <xf numFmtId="4" fontId="3" fillId="0" borderId="28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>
      <alignment vertical="center" wrapText="1"/>
    </xf>
    <xf numFmtId="4" fontId="3" fillId="0" borderId="32" xfId="0" applyNumberFormat="1" applyFont="1" applyFill="1" applyBorder="1" applyAlignment="1">
      <alignment vertical="center" wrapText="1"/>
    </xf>
    <xf numFmtId="165" fontId="3" fillId="0" borderId="11" xfId="0" applyNumberFormat="1" applyFont="1" applyFill="1" applyBorder="1" applyAlignment="1">
      <alignment vertical="center" wrapText="1"/>
    </xf>
    <xf numFmtId="165" fontId="3" fillId="0" borderId="37" xfId="0" applyNumberFormat="1" applyFont="1" applyFill="1" applyBorder="1" applyAlignment="1">
      <alignment vertical="center" wrapText="1"/>
    </xf>
    <xf numFmtId="165" fontId="3" fillId="0" borderId="36" xfId="0" applyNumberFormat="1" applyFont="1" applyFill="1" applyBorder="1" applyAlignment="1">
      <alignment vertical="center" wrapText="1"/>
    </xf>
    <xf numFmtId="165" fontId="3" fillId="0" borderId="38" xfId="0" applyNumberFormat="1" applyFont="1" applyFill="1" applyBorder="1" applyAlignment="1">
      <alignment vertical="center" wrapText="1"/>
    </xf>
    <xf numFmtId="165" fontId="3" fillId="0" borderId="23" xfId="0" applyNumberFormat="1" applyFont="1" applyFill="1" applyBorder="1" applyAlignment="1">
      <alignment vertical="center" wrapText="1"/>
    </xf>
    <xf numFmtId="165" fontId="3" fillId="0" borderId="21" xfId="0" applyNumberFormat="1" applyFont="1" applyFill="1" applyBorder="1" applyAlignment="1">
      <alignment vertical="center" wrapText="1"/>
    </xf>
    <xf numFmtId="165" fontId="25" fillId="0" borderId="25" xfId="0" applyNumberFormat="1" applyFont="1" applyFill="1" applyBorder="1" applyAlignment="1">
      <alignment vertical="center" wrapText="1"/>
    </xf>
    <xf numFmtId="165" fontId="25" fillId="0" borderId="23" xfId="0" applyNumberFormat="1" applyFont="1" applyFill="1" applyBorder="1" applyAlignment="1">
      <alignment vertical="center" wrapText="1"/>
    </xf>
    <xf numFmtId="0" fontId="0" fillId="0" borderId="0" xfId="0" applyFill="1" applyBorder="1"/>
    <xf numFmtId="165" fontId="25" fillId="0" borderId="9" xfId="0" applyNumberFormat="1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vertical="center" wrapText="1"/>
    </xf>
    <xf numFmtId="4" fontId="25" fillId="0" borderId="31" xfId="0" applyNumberFormat="1" applyFont="1" applyFill="1" applyBorder="1" applyAlignment="1">
      <alignment vertical="center" wrapText="1"/>
    </xf>
    <xf numFmtId="0" fontId="23" fillId="2" borderId="40" xfId="0" applyFont="1" applyFill="1" applyBorder="1" applyAlignment="1">
      <alignment horizontal="center" vertical="center" wrapText="1"/>
    </xf>
    <xf numFmtId="0" fontId="3" fillId="2" borderId="54" xfId="0" applyFont="1" applyFill="1" applyBorder="1" applyAlignment="1">
      <alignment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0" fillId="0" borderId="60" xfId="0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30" fillId="0" borderId="52" xfId="0" applyFont="1" applyBorder="1" applyAlignment="1">
      <alignment horizontal="center" vertical="top" wrapText="1"/>
    </xf>
    <xf numFmtId="49" fontId="3" fillId="0" borderId="14" xfId="0" applyNumberFormat="1" applyFont="1" applyBorder="1" applyAlignment="1">
      <alignment horizontal="right" vertical="center" wrapText="1"/>
    </xf>
    <xf numFmtId="165" fontId="25" fillId="0" borderId="40" xfId="0" applyNumberFormat="1" applyFont="1" applyFill="1" applyBorder="1" applyAlignment="1">
      <alignment vertical="center" wrapText="1"/>
    </xf>
    <xf numFmtId="165" fontId="28" fillId="0" borderId="32" xfId="0" applyNumberFormat="1" applyFont="1" applyFill="1" applyBorder="1" applyAlignment="1">
      <alignment vertical="center" wrapText="1"/>
    </xf>
    <xf numFmtId="4" fontId="25" fillId="0" borderId="27" xfId="0" applyNumberFormat="1" applyFont="1" applyFill="1" applyBorder="1" applyAlignment="1">
      <alignment vertical="center" wrapText="1"/>
    </xf>
    <xf numFmtId="4" fontId="25" fillId="0" borderId="30" xfId="0" applyNumberFormat="1" applyFont="1" applyFill="1" applyBorder="1" applyAlignment="1">
      <alignment vertical="center" wrapText="1"/>
    </xf>
    <xf numFmtId="165" fontId="3" fillId="0" borderId="25" xfId="0" applyNumberFormat="1" applyFont="1" applyFill="1" applyBorder="1" applyAlignment="1">
      <alignment vertical="center" wrapText="1"/>
    </xf>
    <xf numFmtId="165" fontId="3" fillId="0" borderId="62" xfId="0" applyNumberFormat="1" applyFont="1" applyFill="1" applyBorder="1" applyAlignment="1">
      <alignment vertical="center" wrapText="1"/>
    </xf>
    <xf numFmtId="165" fontId="3" fillId="0" borderId="17" xfId="0" applyNumberFormat="1" applyFont="1" applyFill="1" applyBorder="1" applyAlignment="1">
      <alignment vertical="center" wrapText="1"/>
    </xf>
    <xf numFmtId="165" fontId="3" fillId="0" borderId="0" xfId="0" applyNumberFormat="1" applyFont="1" applyFill="1" applyBorder="1" applyAlignment="1">
      <alignment vertical="center" wrapText="1"/>
    </xf>
    <xf numFmtId="165" fontId="0" fillId="0" borderId="0" xfId="0" applyNumberFormat="1" applyFill="1"/>
    <xf numFmtId="165" fontId="0" fillId="0" borderId="0" xfId="0" applyNumberFormat="1" applyBorder="1"/>
    <xf numFmtId="165" fontId="3" fillId="3" borderId="41" xfId="0" applyNumberFormat="1" applyFont="1" applyFill="1" applyBorder="1" applyAlignment="1">
      <alignment vertical="center" wrapText="1"/>
    </xf>
    <xf numFmtId="165" fontId="3" fillId="0" borderId="54" xfId="0" applyNumberFormat="1" applyFont="1" applyFill="1" applyBorder="1" applyAlignment="1">
      <alignment vertical="center" wrapText="1"/>
    </xf>
    <xf numFmtId="165" fontId="3" fillId="2" borderId="60" xfId="0" applyNumberFormat="1" applyFont="1" applyFill="1" applyBorder="1" applyAlignment="1">
      <alignment vertical="center" wrapText="1"/>
    </xf>
    <xf numFmtId="4" fontId="3" fillId="3" borderId="17" xfId="0" applyNumberFormat="1" applyFont="1" applyFill="1" applyBorder="1" applyAlignment="1">
      <alignment vertical="center" wrapText="1"/>
    </xf>
    <xf numFmtId="4" fontId="3" fillId="2" borderId="27" xfId="0" applyNumberFormat="1" applyFont="1" applyFill="1" applyBorder="1" applyAlignment="1">
      <alignment vertical="center" wrapText="1"/>
    </xf>
    <xf numFmtId="4" fontId="3" fillId="2" borderId="30" xfId="0" applyNumberFormat="1" applyFont="1" applyFill="1" applyBorder="1" applyAlignment="1">
      <alignment vertical="center" wrapText="1"/>
    </xf>
    <xf numFmtId="4" fontId="3" fillId="2" borderId="32" xfId="0" applyNumberFormat="1" applyFont="1" applyFill="1" applyBorder="1" applyAlignment="1">
      <alignment vertical="center" wrapText="1"/>
    </xf>
    <xf numFmtId="165" fontId="0" fillId="0" borderId="0" xfId="0" applyNumberFormat="1" applyFill="1" applyBorder="1"/>
    <xf numFmtId="4" fontId="25" fillId="0" borderId="17" xfId="0" applyNumberFormat="1" applyFont="1" applyFill="1" applyBorder="1" applyAlignment="1">
      <alignment vertical="center" wrapText="1"/>
    </xf>
    <xf numFmtId="4" fontId="3" fillId="0" borderId="6" xfId="0" applyNumberFormat="1" applyFont="1" applyFill="1" applyBorder="1" applyAlignment="1">
      <alignment vertical="center" wrapText="1"/>
    </xf>
    <xf numFmtId="4" fontId="3" fillId="0" borderId="34" xfId="0" applyNumberFormat="1" applyFont="1" applyFill="1" applyBorder="1" applyAlignment="1">
      <alignment vertical="center" wrapText="1"/>
    </xf>
    <xf numFmtId="165" fontId="3" fillId="0" borderId="35" xfId="0" applyNumberFormat="1" applyFont="1" applyFill="1" applyBorder="1" applyAlignment="1">
      <alignment vertical="center" wrapText="1"/>
    </xf>
    <xf numFmtId="165" fontId="3" fillId="0" borderId="10" xfId="0" applyNumberFormat="1" applyFont="1" applyFill="1" applyBorder="1" applyAlignment="1">
      <alignment vertical="center" wrapText="1"/>
    </xf>
    <xf numFmtId="4" fontId="0" fillId="0" borderId="0" xfId="0" applyNumberFormat="1" applyFill="1"/>
    <xf numFmtId="165" fontId="43" fillId="0" borderId="30" xfId="0" applyNumberFormat="1" applyFont="1" applyFill="1" applyBorder="1" applyAlignment="1">
      <alignment vertical="center" wrapText="1"/>
    </xf>
    <xf numFmtId="0" fontId="46" fillId="0" borderId="40" xfId="0" applyFont="1" applyBorder="1" applyAlignment="1">
      <alignment horizontal="center" vertical="center" wrapText="1"/>
    </xf>
    <xf numFmtId="0" fontId="47" fillId="0" borderId="40" xfId="0" applyFont="1" applyBorder="1" applyAlignment="1">
      <alignment horizontal="right" vertical="center" wrapText="1"/>
    </xf>
    <xf numFmtId="0" fontId="39" fillId="0" borderId="40" xfId="0" applyFont="1" applyBorder="1" applyAlignment="1">
      <alignment wrapText="1"/>
    </xf>
    <xf numFmtId="165" fontId="39" fillId="0" borderId="40" xfId="0" applyNumberFormat="1" applyFont="1" applyBorder="1" applyAlignment="1">
      <alignment vertical="center"/>
    </xf>
    <xf numFmtId="0" fontId="36" fillId="0" borderId="40" xfId="0" applyFont="1" applyBorder="1" applyAlignment="1">
      <alignment wrapText="1"/>
    </xf>
    <xf numFmtId="165" fontId="36" fillId="0" borderId="40" xfId="0" applyNumberFormat="1" applyFont="1" applyBorder="1" applyAlignment="1">
      <alignment vertical="center"/>
    </xf>
    <xf numFmtId="0" fontId="48" fillId="0" borderId="40" xfId="0" applyFont="1" applyBorder="1" applyAlignment="1">
      <alignment horizontal="left" wrapText="1"/>
    </xf>
    <xf numFmtId="165" fontId="48" fillId="0" borderId="40" xfId="0" applyNumberFormat="1" applyFont="1" applyBorder="1" applyAlignment="1">
      <alignment vertical="center"/>
    </xf>
    <xf numFmtId="0" fontId="36" fillId="0" borderId="40" xfId="0" applyFont="1" applyBorder="1" applyAlignment="1">
      <alignment horizontal="left" wrapText="1"/>
    </xf>
    <xf numFmtId="165" fontId="0" fillId="0" borderId="40" xfId="0" applyNumberFormat="1" applyBorder="1"/>
    <xf numFmtId="0" fontId="39" fillId="0" borderId="40" xfId="0" applyFont="1" applyBorder="1" applyAlignment="1">
      <alignment horizontal="left" wrapText="1"/>
    </xf>
    <xf numFmtId="0" fontId="49" fillId="0" borderId="40" xfId="0" applyFont="1" applyBorder="1" applyAlignment="1">
      <alignment wrapText="1"/>
    </xf>
    <xf numFmtId="165" fontId="49" fillId="0" borderId="40" xfId="0" applyNumberFormat="1" applyFont="1" applyBorder="1" applyAlignment="1">
      <alignment vertical="center"/>
    </xf>
    <xf numFmtId="0" fontId="16" fillId="0" borderId="0" xfId="0" applyFont="1"/>
    <xf numFmtId="165" fontId="16" fillId="0" borderId="0" xfId="0" applyNumberFormat="1" applyFont="1"/>
    <xf numFmtId="0" fontId="39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9" fillId="8" borderId="40" xfId="0" applyNumberFormat="1" applyFont="1" applyFill="1" applyBorder="1" applyAlignment="1">
      <alignment horizontal="center"/>
    </xf>
    <xf numFmtId="2" fontId="9" fillId="9" borderId="40" xfId="0" applyNumberFormat="1" applyFont="1" applyFill="1" applyBorder="1" applyAlignment="1">
      <alignment horizontal="center"/>
    </xf>
    <xf numFmtId="0" fontId="9" fillId="0" borderId="40" xfId="0" applyFont="1" applyBorder="1" applyAlignment="1">
      <alignment wrapText="1"/>
    </xf>
    <xf numFmtId="2" fontId="50" fillId="7" borderId="40" xfId="0" applyNumberFormat="1" applyFont="1" applyFill="1" applyBorder="1" applyAlignment="1">
      <alignment horizontal="center"/>
    </xf>
    <xf numFmtId="2" fontId="50" fillId="2" borderId="40" xfId="0" applyNumberFormat="1" applyFont="1" applyFill="1" applyBorder="1" applyAlignment="1">
      <alignment horizontal="center"/>
    </xf>
    <xf numFmtId="1" fontId="12" fillId="2" borderId="40" xfId="0" applyNumberFormat="1" applyFont="1" applyFill="1" applyBorder="1" applyAlignment="1">
      <alignment horizontal="center"/>
    </xf>
    <xf numFmtId="1" fontId="9" fillId="8" borderId="40" xfId="0" applyNumberFormat="1" applyFont="1" applyFill="1" applyBorder="1" applyAlignment="1">
      <alignment horizontal="center"/>
    </xf>
    <xf numFmtId="2" fontId="8" fillId="5" borderId="40" xfId="0" applyNumberFormat="1" applyFont="1" applyFill="1" applyBorder="1" applyAlignment="1">
      <alignment horizontal="center"/>
    </xf>
    <xf numFmtId="2" fontId="8" fillId="2" borderId="40" xfId="0" applyNumberFormat="1" applyFont="1" applyFill="1" applyBorder="1" applyAlignment="1">
      <alignment horizontal="center"/>
    </xf>
    <xf numFmtId="0" fontId="10" fillId="2" borderId="40" xfId="0" applyFont="1" applyFill="1" applyBorder="1" applyAlignment="1">
      <alignment horizontal="center"/>
    </xf>
    <xf numFmtId="2" fontId="28" fillId="7" borderId="40" xfId="0" applyNumberFormat="1" applyFont="1" applyFill="1" applyBorder="1" applyAlignment="1">
      <alignment horizontal="center"/>
    </xf>
    <xf numFmtId="2" fontId="28" fillId="2" borderId="40" xfId="0" applyNumberFormat="1" applyFont="1" applyFill="1" applyBorder="1" applyAlignment="1">
      <alignment horizontal="center"/>
    </xf>
    <xf numFmtId="2" fontId="23" fillId="2" borderId="40" xfId="0" applyNumberFormat="1" applyFont="1" applyFill="1" applyBorder="1" applyAlignment="1">
      <alignment horizontal="center"/>
    </xf>
    <xf numFmtId="169" fontId="8" fillId="5" borderId="40" xfId="0" applyNumberFormat="1" applyFont="1" applyFill="1" applyBorder="1" applyAlignment="1">
      <alignment horizontal="center"/>
    </xf>
    <xf numFmtId="169" fontId="8" fillId="2" borderId="40" xfId="0" applyNumberFormat="1" applyFont="1" applyFill="1" applyBorder="1" applyAlignment="1">
      <alignment horizontal="center"/>
    </xf>
    <xf numFmtId="1" fontId="10" fillId="2" borderId="40" xfId="0" applyNumberFormat="1" applyFont="1" applyFill="1" applyBorder="1" applyAlignment="1">
      <alignment horizontal="center"/>
    </xf>
    <xf numFmtId="0" fontId="9" fillId="2" borderId="40" xfId="0" applyFont="1" applyFill="1" applyBorder="1"/>
    <xf numFmtId="167" fontId="9" fillId="2" borderId="40" xfId="0" applyNumberFormat="1" applyFont="1" applyFill="1" applyBorder="1" applyAlignment="1">
      <alignment horizontal="center"/>
    </xf>
    <xf numFmtId="169" fontId="9" fillId="2" borderId="40" xfId="0" applyNumberFormat="1" applyFont="1" applyFill="1" applyBorder="1" applyAlignment="1">
      <alignment horizontal="center"/>
    </xf>
    <xf numFmtId="2" fontId="28" fillId="7" borderId="40" xfId="0" applyNumberFormat="1" applyFont="1" applyFill="1" applyBorder="1"/>
    <xf numFmtId="2" fontId="28" fillId="2" borderId="40" xfId="0" applyNumberFormat="1" applyFont="1" applyFill="1" applyBorder="1"/>
    <xf numFmtId="2" fontId="3" fillId="2" borderId="40" xfId="0" applyNumberFormat="1" applyFont="1" applyFill="1" applyBorder="1"/>
    <xf numFmtId="2" fontId="10" fillId="2" borderId="40" xfId="0" applyNumberFormat="1" applyFont="1" applyFill="1" applyBorder="1" applyAlignment="1">
      <alignment horizontal="center"/>
    </xf>
    <xf numFmtId="1" fontId="9" fillId="2" borderId="40" xfId="0" applyNumberFormat="1" applyFont="1" applyFill="1" applyBorder="1"/>
    <xf numFmtId="2" fontId="9" fillId="2" borderId="40" xfId="0" applyNumberFormat="1" applyFont="1" applyFill="1" applyBorder="1"/>
    <xf numFmtId="2" fontId="50" fillId="7" borderId="40" xfId="0" applyNumberFormat="1" applyFont="1" applyFill="1" applyBorder="1"/>
    <xf numFmtId="2" fontId="50" fillId="2" borderId="40" xfId="0" applyNumberFormat="1" applyFont="1" applyFill="1" applyBorder="1"/>
    <xf numFmtId="165" fontId="25" fillId="5" borderId="27" xfId="0" applyNumberFormat="1" applyFont="1" applyFill="1" applyBorder="1" applyAlignment="1">
      <alignment vertical="center" wrapText="1"/>
    </xf>
    <xf numFmtId="165" fontId="9" fillId="5" borderId="27" xfId="0" applyNumberFormat="1" applyFont="1" applyFill="1" applyBorder="1" applyAlignment="1">
      <alignment vertical="center" wrapText="1"/>
    </xf>
    <xf numFmtId="165" fontId="9" fillId="5" borderId="28" xfId="0" applyNumberFormat="1" applyFont="1" applyFill="1" applyBorder="1" applyAlignment="1">
      <alignment vertical="center" wrapText="1"/>
    </xf>
    <xf numFmtId="165" fontId="25" fillId="5" borderId="30" xfId="0" applyNumberFormat="1" applyFont="1" applyFill="1" applyBorder="1" applyAlignment="1">
      <alignment vertical="center" wrapText="1"/>
    </xf>
    <xf numFmtId="165" fontId="9" fillId="5" borderId="30" xfId="0" applyNumberFormat="1" applyFont="1" applyFill="1" applyBorder="1" applyAlignment="1">
      <alignment vertical="center" wrapText="1"/>
    </xf>
    <xf numFmtId="165" fontId="9" fillId="5" borderId="6" xfId="0" applyNumberFormat="1" applyFont="1" applyFill="1" applyBorder="1" applyAlignment="1">
      <alignment vertical="center" wrapText="1"/>
    </xf>
    <xf numFmtId="165" fontId="25" fillId="5" borderId="32" xfId="0" applyNumberFormat="1" applyFont="1" applyFill="1" applyBorder="1" applyAlignment="1">
      <alignment vertical="center" wrapText="1"/>
    </xf>
    <xf numFmtId="165" fontId="9" fillId="5" borderId="32" xfId="0" applyNumberFormat="1" applyFont="1" applyFill="1" applyBorder="1" applyAlignment="1">
      <alignment vertical="center" wrapText="1"/>
    </xf>
    <xf numFmtId="165" fontId="9" fillId="5" borderId="34" xfId="0" applyNumberFormat="1" applyFont="1" applyFill="1" applyBorder="1" applyAlignment="1">
      <alignment vertical="center" wrapText="1"/>
    </xf>
    <xf numFmtId="165" fontId="3" fillId="5" borderId="28" xfId="0" applyNumberFormat="1" applyFont="1" applyFill="1" applyBorder="1" applyAlignment="1">
      <alignment vertical="center" wrapText="1"/>
    </xf>
    <xf numFmtId="165" fontId="3" fillId="5" borderId="6" xfId="0" applyNumberFormat="1" applyFont="1" applyFill="1" applyBorder="1" applyAlignment="1">
      <alignment vertical="center" wrapText="1"/>
    </xf>
    <xf numFmtId="165" fontId="3" fillId="5" borderId="32" xfId="0" applyNumberFormat="1" applyFont="1" applyFill="1" applyBorder="1" applyAlignment="1">
      <alignment vertical="center" wrapText="1"/>
    </xf>
    <xf numFmtId="165" fontId="3" fillId="5" borderId="34" xfId="0" applyNumberFormat="1" applyFont="1" applyFill="1" applyBorder="1" applyAlignment="1">
      <alignment vertical="center" wrapText="1"/>
    </xf>
    <xf numFmtId="0" fontId="7" fillId="0" borderId="0" xfId="0" applyFont="1"/>
    <xf numFmtId="0" fontId="6" fillId="2" borderId="51" xfId="0" applyFont="1" applyFill="1" applyBorder="1" applyAlignment="1">
      <alignment vertical="top" wrapText="1"/>
    </xf>
    <xf numFmtId="0" fontId="6" fillId="2" borderId="51" xfId="0" applyFont="1" applyFill="1" applyBorder="1" applyAlignment="1">
      <alignment vertical="center" wrapText="1"/>
    </xf>
    <xf numFmtId="0" fontId="6" fillId="2" borderId="52" xfId="0" applyFont="1" applyFill="1" applyBorder="1" applyAlignment="1">
      <alignment vertical="center" wrapText="1"/>
    </xf>
    <xf numFmtId="0" fontId="5" fillId="2" borderId="58" xfId="0" applyFont="1" applyFill="1" applyBorder="1" applyAlignment="1">
      <alignment vertical="center" wrapText="1"/>
    </xf>
    <xf numFmtId="0" fontId="6" fillId="2" borderId="47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5" fillId="2" borderId="15" xfId="0" applyFont="1" applyFill="1" applyBorder="1" applyAlignment="1">
      <alignment vertical="center" wrapText="1"/>
    </xf>
    <xf numFmtId="0" fontId="6" fillId="2" borderId="11" xfId="0" applyFont="1" applyFill="1" applyBorder="1" applyAlignment="1">
      <alignment vertical="center"/>
    </xf>
    <xf numFmtId="0" fontId="5" fillId="2" borderId="55" xfId="0" applyFont="1" applyFill="1" applyBorder="1"/>
    <xf numFmtId="0" fontId="5" fillId="2" borderId="15" xfId="0" applyFont="1" applyFill="1" applyBorder="1"/>
    <xf numFmtId="0" fontId="53" fillId="0" borderId="0" xfId="0" applyFont="1"/>
    <xf numFmtId="4" fontId="6" fillId="2" borderId="49" xfId="0" applyNumberFormat="1" applyFont="1" applyFill="1" applyBorder="1" applyAlignment="1">
      <alignment horizontal="center" vertical="center" wrapText="1"/>
    </xf>
    <xf numFmtId="4" fontId="6" fillId="2" borderId="49" xfId="0" applyNumberFormat="1" applyFont="1" applyFill="1" applyBorder="1" applyAlignment="1">
      <alignment horizontal="center" vertical="top" wrapText="1"/>
    </xf>
    <xf numFmtId="4" fontId="6" fillId="2" borderId="23" xfId="0" applyNumberFormat="1" applyFont="1" applyFill="1" applyBorder="1" applyAlignment="1">
      <alignment horizontal="center" vertical="center" wrapText="1"/>
    </xf>
    <xf numFmtId="4" fontId="6" fillId="2" borderId="35" xfId="0" applyNumberFormat="1" applyFont="1" applyFill="1" applyBorder="1" applyAlignment="1">
      <alignment horizontal="center" vertical="center" wrapText="1"/>
    </xf>
    <xf numFmtId="0" fontId="5" fillId="2" borderId="48" xfId="0" applyFont="1" applyFill="1" applyBorder="1" applyAlignment="1">
      <alignment horizontal="left" vertical="center" wrapText="1"/>
    </xf>
    <xf numFmtId="4" fontId="5" fillId="2" borderId="23" xfId="0" applyNumberFormat="1" applyFont="1" applyFill="1" applyBorder="1" applyAlignment="1">
      <alignment horizontal="center"/>
    </xf>
    <xf numFmtId="0" fontId="6" fillId="2" borderId="55" xfId="0" applyFont="1" applyFill="1" applyBorder="1"/>
    <xf numFmtId="0" fontId="6" fillId="0" borderId="0" xfId="0" applyFont="1"/>
    <xf numFmtId="0" fontId="6" fillId="2" borderId="0" xfId="0" applyFont="1" applyFill="1" applyBorder="1"/>
    <xf numFmtId="0" fontId="51" fillId="2" borderId="47" xfId="0" applyFont="1" applyFill="1" applyBorder="1" applyAlignment="1">
      <alignment horizontal="left" vertical="center" wrapText="1" indent="4"/>
    </xf>
    <xf numFmtId="0" fontId="6" fillId="2" borderId="47" xfId="0" applyFont="1" applyFill="1" applyBorder="1" applyAlignment="1">
      <alignment horizontal="left" vertical="center" wrapText="1" indent="4"/>
    </xf>
    <xf numFmtId="0" fontId="5" fillId="2" borderId="23" xfId="0" applyFont="1" applyFill="1" applyBorder="1" applyAlignment="1">
      <alignment vertical="center" wrapText="1"/>
    </xf>
    <xf numFmtId="0" fontId="6" fillId="2" borderId="25" xfId="0" applyFont="1" applyFill="1" applyBorder="1" applyAlignment="1">
      <alignment vertical="center" wrapText="1"/>
    </xf>
    <xf numFmtId="0" fontId="6" fillId="2" borderId="24" xfId="0" applyFont="1" applyFill="1" applyBorder="1" applyAlignment="1">
      <alignment vertical="center" wrapText="1"/>
    </xf>
    <xf numFmtId="0" fontId="6" fillId="2" borderId="35" xfId="0" applyFont="1" applyFill="1" applyBorder="1" applyAlignment="1">
      <alignment horizontal="left" vertical="center" wrapText="1"/>
    </xf>
    <xf numFmtId="0" fontId="6" fillId="2" borderId="25" xfId="0" applyFont="1" applyFill="1" applyBorder="1"/>
    <xf numFmtId="0" fontId="6" fillId="2" borderId="24" xfId="0" applyFont="1" applyFill="1" applyBorder="1"/>
    <xf numFmtId="0" fontId="6" fillId="2" borderId="35" xfId="0" applyFont="1" applyFill="1" applyBorder="1"/>
    <xf numFmtId="0" fontId="17" fillId="0" borderId="23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/>
    </xf>
    <xf numFmtId="0" fontId="16" fillId="0" borderId="1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right"/>
    </xf>
    <xf numFmtId="0" fontId="14" fillId="0" borderId="29" xfId="0" applyFont="1" applyBorder="1" applyAlignment="1">
      <alignment vertical="top" wrapText="1"/>
    </xf>
    <xf numFmtId="0" fontId="16" fillId="0" borderId="27" xfId="0" applyFont="1" applyBorder="1" applyAlignment="1">
      <alignment horizontal="center" vertical="center" wrapText="1"/>
    </xf>
    <xf numFmtId="4" fontId="16" fillId="0" borderId="28" xfId="0" applyNumberFormat="1" applyFont="1" applyBorder="1" applyAlignment="1">
      <alignment vertical="center" wrapText="1"/>
    </xf>
    <xf numFmtId="0" fontId="16" fillId="0" borderId="30" xfId="0" applyFont="1" applyBorder="1" applyAlignment="1">
      <alignment horizontal="right"/>
    </xf>
    <xf numFmtId="0" fontId="14" fillId="0" borderId="31" xfId="0" applyFont="1" applyBorder="1" applyAlignment="1">
      <alignment vertical="top" wrapText="1"/>
    </xf>
    <xf numFmtId="0" fontId="16" fillId="0" borderId="30" xfId="0" applyFont="1" applyBorder="1" applyAlignment="1">
      <alignment horizontal="center" vertical="center" wrapText="1"/>
    </xf>
    <xf numFmtId="4" fontId="16" fillId="0" borderId="6" xfId="0" applyNumberFormat="1" applyFont="1" applyBorder="1" applyAlignment="1">
      <alignment vertical="center" wrapText="1"/>
    </xf>
    <xf numFmtId="0" fontId="14" fillId="0" borderId="31" xfId="0" applyFont="1" applyBorder="1" applyAlignment="1">
      <alignment wrapText="1"/>
    </xf>
    <xf numFmtId="0" fontId="16" fillId="0" borderId="31" xfId="0" applyFont="1" applyBorder="1" applyAlignment="1">
      <alignment wrapText="1"/>
    </xf>
    <xf numFmtId="4" fontId="16" fillId="0" borderId="6" xfId="0" applyNumberFormat="1" applyFont="1" applyBorder="1" applyAlignment="1"/>
    <xf numFmtId="0" fontId="14" fillId="0" borderId="31" xfId="0" applyFont="1" applyBorder="1" applyAlignment="1">
      <alignment horizontal="justify" wrapText="1"/>
    </xf>
    <xf numFmtId="0" fontId="14" fillId="0" borderId="29" xfId="0" applyFont="1" applyBorder="1" applyAlignment="1">
      <alignment horizontal="justify" vertical="top" wrapText="1"/>
    </xf>
    <xf numFmtId="0" fontId="14" fillId="0" borderId="31" xfId="0" applyFont="1" applyBorder="1" applyAlignment="1">
      <alignment horizontal="justify" vertical="top" wrapText="1"/>
    </xf>
    <xf numFmtId="0" fontId="16" fillId="0" borderId="30" xfId="0" applyFont="1" applyBorder="1"/>
    <xf numFmtId="0" fontId="16" fillId="0" borderId="32" xfId="0" applyFont="1" applyBorder="1"/>
    <xf numFmtId="0" fontId="14" fillId="0" borderId="33" xfId="0" applyFont="1" applyBorder="1" applyAlignment="1">
      <alignment horizontal="justify" vertical="top" wrapText="1"/>
    </xf>
    <xf numFmtId="0" fontId="16" fillId="0" borderId="32" xfId="0" applyFont="1" applyBorder="1" applyAlignment="1">
      <alignment horizontal="center" vertical="center" wrapText="1"/>
    </xf>
    <xf numFmtId="4" fontId="16" fillId="0" borderId="34" xfId="0" applyNumberFormat="1" applyFont="1" applyBorder="1" applyAlignment="1"/>
    <xf numFmtId="0" fontId="0" fillId="0" borderId="23" xfId="0" applyBorder="1"/>
    <xf numFmtId="0" fontId="18" fillId="0" borderId="12" xfId="0" applyFont="1" applyBorder="1"/>
    <xf numFmtId="0" fontId="0" fillId="0" borderId="23" xfId="0" applyBorder="1" applyAlignment="1">
      <alignment horizontal="center"/>
    </xf>
    <xf numFmtId="0" fontId="0" fillId="0" borderId="66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/>
    </xf>
    <xf numFmtId="0" fontId="0" fillId="0" borderId="67" xfId="0" applyBorder="1" applyAlignment="1">
      <alignment horizontal="center" vertical="center" wrapText="1"/>
    </xf>
    <xf numFmtId="0" fontId="0" fillId="0" borderId="43" xfId="0" applyFill="1" applyBorder="1" applyAlignment="1">
      <alignment horizontal="center" vertical="center" wrapText="1"/>
    </xf>
    <xf numFmtId="0" fontId="0" fillId="0" borderId="36" xfId="0" applyBorder="1" applyAlignment="1">
      <alignment horizontal="center"/>
    </xf>
    <xf numFmtId="4" fontId="0" fillId="0" borderId="6" xfId="0" applyNumberForma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55" fillId="0" borderId="46" xfId="0" applyFont="1" applyBorder="1" applyAlignment="1">
      <alignment horizontal="center"/>
    </xf>
    <xf numFmtId="0" fontId="13" fillId="0" borderId="46" xfId="0" applyFont="1" applyBorder="1" applyAlignment="1">
      <alignment horizontal="center"/>
    </xf>
    <xf numFmtId="4" fontId="13" fillId="0" borderId="8" xfId="0" applyNumberFormat="1" applyFont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9" xfId="0" applyBorder="1"/>
    <xf numFmtId="0" fontId="0" fillId="0" borderId="60" xfId="0" applyBorder="1" applyAlignment="1">
      <alignment wrapText="1"/>
    </xf>
    <xf numFmtId="4" fontId="0" fillId="0" borderId="60" xfId="0" applyNumberFormat="1" applyBorder="1" applyAlignment="1">
      <alignment horizontal="center"/>
    </xf>
    <xf numFmtId="4" fontId="0" fillId="0" borderId="59" xfId="0" applyNumberFormat="1" applyBorder="1" applyAlignment="1">
      <alignment horizontal="center" vertical="center"/>
    </xf>
    <xf numFmtId="0" fontId="13" fillId="0" borderId="18" xfId="0" applyFont="1" applyBorder="1" applyAlignment="1">
      <alignment horizontal="center"/>
    </xf>
    <xf numFmtId="0" fontId="55" fillId="0" borderId="19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4" fontId="13" fillId="0" borderId="20" xfId="0" applyNumberFormat="1" applyFont="1" applyBorder="1" applyAlignment="1">
      <alignment horizont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wrapText="1"/>
    </xf>
    <xf numFmtId="0" fontId="13" fillId="0" borderId="20" xfId="0" applyFont="1" applyBorder="1" applyAlignment="1">
      <alignment horizontal="center" wrapText="1"/>
    </xf>
    <xf numFmtId="0" fontId="0" fillId="0" borderId="4" xfId="0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4" fontId="0" fillId="0" borderId="5" xfId="0" applyNumberFormat="1" applyBorder="1" applyAlignment="1">
      <alignment horizontal="center"/>
    </xf>
    <xf numFmtId="0" fontId="0" fillId="0" borderId="69" xfId="0" applyBorder="1" applyAlignment="1">
      <alignment horizontal="center" vertical="center"/>
    </xf>
    <xf numFmtId="2" fontId="0" fillId="0" borderId="60" xfId="0" applyNumberFormat="1" applyBorder="1" applyAlignment="1">
      <alignment vertical="center"/>
    </xf>
    <xf numFmtId="2" fontId="55" fillId="0" borderId="23" xfId="0" applyNumberFormat="1" applyFont="1" applyBorder="1" applyAlignment="1"/>
    <xf numFmtId="4" fontId="55" fillId="0" borderId="13" xfId="0" applyNumberFormat="1" applyFont="1" applyBorder="1" applyAlignment="1">
      <alignment horizontal="center" vertical="center"/>
    </xf>
    <xf numFmtId="0" fontId="11" fillId="0" borderId="4" xfId="0" applyFont="1" applyBorder="1"/>
    <xf numFmtId="0" fontId="9" fillId="0" borderId="5" xfId="0" applyFont="1" applyBorder="1" applyAlignment="1">
      <alignment horizontal="center"/>
    </xf>
    <xf numFmtId="0" fontId="9" fillId="0" borderId="4" xfId="0" applyFont="1" applyBorder="1"/>
    <xf numFmtId="0" fontId="0" fillId="0" borderId="55" xfId="0" applyBorder="1"/>
    <xf numFmtId="0" fontId="9" fillId="2" borderId="5" xfId="0" applyFont="1" applyFill="1" applyBorder="1" applyAlignment="1">
      <alignment horizontal="center"/>
    </xf>
    <xf numFmtId="0" fontId="1" fillId="0" borderId="4" xfId="0" applyFont="1" applyBorder="1"/>
    <xf numFmtId="1" fontId="9" fillId="2" borderId="5" xfId="0" applyNumberFormat="1" applyFont="1" applyFill="1" applyBorder="1" applyAlignment="1">
      <alignment horizontal="center"/>
    </xf>
    <xf numFmtId="3" fontId="9" fillId="2" borderId="5" xfId="0" applyNumberFormat="1" applyFont="1" applyFill="1" applyBorder="1" applyAlignment="1">
      <alignment horizontal="center"/>
    </xf>
    <xf numFmtId="4" fontId="3" fillId="2" borderId="5" xfId="0" applyNumberFormat="1" applyFont="1" applyFill="1" applyBorder="1" applyAlignment="1">
      <alignment horizontal="center"/>
    </xf>
    <xf numFmtId="0" fontId="2" fillId="0" borderId="4" xfId="0" applyFont="1" applyBorder="1"/>
    <xf numFmtId="3" fontId="11" fillId="2" borderId="5" xfId="0" applyNumberFormat="1" applyFont="1" applyFill="1" applyBorder="1" applyAlignment="1">
      <alignment horizontal="center"/>
    </xf>
    <xf numFmtId="167" fontId="11" fillId="2" borderId="40" xfId="0" applyNumberFormat="1" applyFont="1" applyFill="1" applyBorder="1" applyAlignment="1">
      <alignment horizontal="center"/>
    </xf>
    <xf numFmtId="167" fontId="11" fillId="2" borderId="5" xfId="0" applyNumberFormat="1" applyFont="1" applyFill="1" applyBorder="1" applyAlignment="1">
      <alignment horizontal="center"/>
    </xf>
    <xf numFmtId="0" fontId="11" fillId="0" borderId="4" xfId="0" applyFont="1" applyBorder="1" applyAlignment="1">
      <alignment horizontal="left" wrapText="1"/>
    </xf>
    <xf numFmtId="0" fontId="0" fillId="0" borderId="16" xfId="0" applyBorder="1"/>
    <xf numFmtId="0" fontId="2" fillId="0" borderId="7" xfId="0" applyFont="1" applyBorder="1"/>
    <xf numFmtId="0" fontId="9" fillId="0" borderId="46" xfId="0" applyFont="1" applyBorder="1" applyAlignment="1">
      <alignment horizontal="center"/>
    </xf>
    <xf numFmtId="3" fontId="3" fillId="2" borderId="46" xfId="0" applyNumberFormat="1" applyFont="1" applyFill="1" applyBorder="1" applyAlignment="1">
      <alignment horizontal="center"/>
    </xf>
    <xf numFmtId="4" fontId="11" fillId="2" borderId="46" xfId="0" applyNumberFormat="1" applyFont="1" applyFill="1" applyBorder="1" applyAlignment="1">
      <alignment horizontal="center"/>
    </xf>
    <xf numFmtId="4" fontId="11" fillId="2" borderId="8" xfId="0" applyNumberFormat="1" applyFont="1" applyFill="1" applyBorder="1" applyAlignment="1">
      <alignment horizontal="center"/>
    </xf>
    <xf numFmtId="0" fontId="11" fillId="0" borderId="44" xfId="0" applyFont="1" applyBorder="1"/>
    <xf numFmtId="0" fontId="9" fillId="0" borderId="45" xfId="0" applyFont="1" applyBorder="1" applyAlignment="1">
      <alignment horizontal="center"/>
    </xf>
    <xf numFmtId="3" fontId="9" fillId="0" borderId="45" xfId="0" applyNumberFormat="1" applyFont="1" applyBorder="1" applyAlignment="1">
      <alignment horizontal="center"/>
    </xf>
    <xf numFmtId="4" fontId="9" fillId="0" borderId="45" xfId="0" applyNumberFormat="1" applyFont="1" applyBorder="1" applyAlignment="1">
      <alignment horizontal="center"/>
    </xf>
    <xf numFmtId="3" fontId="9" fillId="2" borderId="45" xfId="0" applyNumberFormat="1" applyFont="1" applyFill="1" applyBorder="1" applyAlignment="1">
      <alignment horizontal="center"/>
    </xf>
    <xf numFmtId="0" fontId="9" fillId="0" borderId="61" xfId="0" applyFont="1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8" xfId="0" applyBorder="1"/>
    <xf numFmtId="0" fontId="2" fillId="0" borderId="19" xfId="0" applyFont="1" applyBorder="1" applyAlignment="1">
      <alignment horizontal="center" vertical="center"/>
    </xf>
    <xf numFmtId="0" fontId="3" fillId="0" borderId="19" xfId="0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 textRotation="90" wrapText="1"/>
    </xf>
    <xf numFmtId="0" fontId="3" fillId="0" borderId="20" xfId="0" applyFont="1" applyBorder="1" applyAlignment="1">
      <alignment horizontal="center" vertical="center" textRotation="90" wrapText="1"/>
    </xf>
    <xf numFmtId="0" fontId="0" fillId="0" borderId="44" xfId="0" applyBorder="1"/>
    <xf numFmtId="0" fontId="2" fillId="0" borderId="45" xfId="0" applyFont="1" applyBorder="1"/>
    <xf numFmtId="0" fontId="0" fillId="0" borderId="4" xfId="0" applyBorder="1"/>
    <xf numFmtId="4" fontId="11" fillId="2" borderId="5" xfId="0" applyNumberFormat="1" applyFont="1" applyFill="1" applyBorder="1" applyAlignment="1">
      <alignment horizontal="center"/>
    </xf>
    <xf numFmtId="0" fontId="11" fillId="0" borderId="40" xfId="0" applyFont="1" applyBorder="1" applyAlignment="1">
      <alignment horizontal="center"/>
    </xf>
    <xf numFmtId="4" fontId="22" fillId="2" borderId="5" xfId="0" applyNumberFormat="1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center"/>
    </xf>
    <xf numFmtId="0" fontId="9" fillId="0" borderId="60" xfId="0" applyFont="1" applyBorder="1"/>
    <xf numFmtId="0" fontId="9" fillId="0" borderId="60" xfId="0" applyFont="1" applyBorder="1" applyAlignment="1">
      <alignment horizontal="center"/>
    </xf>
    <xf numFmtId="3" fontId="9" fillId="2" borderId="60" xfId="0" applyNumberFormat="1" applyFont="1" applyFill="1" applyBorder="1" applyAlignment="1">
      <alignment horizontal="center"/>
    </xf>
    <xf numFmtId="3" fontId="9" fillId="2" borderId="59" xfId="0" applyNumberFormat="1" applyFont="1" applyFill="1" applyBorder="1" applyAlignment="1">
      <alignment horizontal="center"/>
    </xf>
    <xf numFmtId="0" fontId="57" fillId="0" borderId="18" xfId="0" applyFont="1" applyBorder="1"/>
    <xf numFmtId="0" fontId="52" fillId="0" borderId="19" xfId="0" applyFont="1" applyBorder="1"/>
    <xf numFmtId="0" fontId="3" fillId="0" borderId="19" xfId="0" applyFont="1" applyBorder="1" applyAlignment="1">
      <alignment horizontal="center"/>
    </xf>
    <xf numFmtId="166" fontId="23" fillId="2" borderId="19" xfId="0" applyNumberFormat="1" applyFont="1" applyFill="1" applyBorder="1" applyAlignment="1">
      <alignment horizontal="center"/>
    </xf>
    <xf numFmtId="166" fontId="58" fillId="2" borderId="19" xfId="0" applyNumberFormat="1" applyFont="1" applyFill="1" applyBorder="1" applyAlignment="1">
      <alignment horizontal="center"/>
    </xf>
    <xf numFmtId="4" fontId="58" fillId="2" borderId="19" xfId="0" applyNumberFormat="1" applyFont="1" applyFill="1" applyBorder="1" applyAlignment="1">
      <alignment horizontal="center"/>
    </xf>
    <xf numFmtId="4" fontId="58" fillId="2" borderId="20" xfId="0" applyNumberFormat="1" applyFont="1" applyFill="1" applyBorder="1" applyAlignment="1">
      <alignment horizontal="center"/>
    </xf>
    <xf numFmtId="4" fontId="36" fillId="5" borderId="64" xfId="0" applyNumberFormat="1" applyFont="1" applyFill="1" applyBorder="1" applyAlignment="1">
      <alignment horizontal="right" wrapText="1"/>
    </xf>
    <xf numFmtId="4" fontId="36" fillId="5" borderId="40" xfId="0" applyNumberFormat="1" applyFont="1" applyFill="1" applyBorder="1" applyAlignment="1">
      <alignment horizontal="right" wrapText="1"/>
    </xf>
    <xf numFmtId="4" fontId="24" fillId="5" borderId="40" xfId="0" applyNumberFormat="1" applyFont="1" applyFill="1" applyBorder="1" applyAlignment="1">
      <alignment horizontal="right" wrapText="1"/>
    </xf>
    <xf numFmtId="4" fontId="1" fillId="5" borderId="40" xfId="0" applyNumberFormat="1" applyFont="1" applyFill="1" applyBorder="1" applyAlignment="1">
      <alignment horizontal="right" wrapText="1"/>
    </xf>
    <xf numFmtId="0" fontId="36" fillId="0" borderId="0" xfId="0" applyFont="1" applyAlignment="1">
      <alignment horizontal="center"/>
    </xf>
    <xf numFmtId="0" fontId="0" fillId="0" borderId="0" xfId="0" applyFont="1"/>
    <xf numFmtId="0" fontId="59" fillId="0" borderId="0" xfId="0" applyFont="1"/>
    <xf numFmtId="0" fontId="59" fillId="0" borderId="0" xfId="0" applyFont="1" applyAlignment="1">
      <alignment horizontal="right"/>
    </xf>
    <xf numFmtId="165" fontId="25" fillId="5" borderId="25" xfId="0" applyNumberFormat="1" applyFont="1" applyFill="1" applyBorder="1" applyAlignment="1">
      <alignment vertical="center" wrapText="1"/>
    </xf>
    <xf numFmtId="165" fontId="3" fillId="5" borderId="30" xfId="0" applyNumberFormat="1" applyFont="1" applyFill="1" applyBorder="1" applyAlignment="1">
      <alignment vertical="center" wrapText="1"/>
    </xf>
    <xf numFmtId="165" fontId="25" fillId="5" borderId="28" xfId="0" applyNumberFormat="1" applyFont="1" applyFill="1" applyBorder="1" applyAlignment="1">
      <alignment vertical="center" wrapText="1"/>
    </xf>
    <xf numFmtId="165" fontId="3" fillId="5" borderId="27" xfId="0" applyNumberFormat="1" applyFont="1" applyFill="1" applyBorder="1" applyAlignment="1">
      <alignment vertical="center" wrapText="1"/>
    </xf>
    <xf numFmtId="4" fontId="25" fillId="2" borderId="6" xfId="0" applyNumberFormat="1" applyFont="1" applyFill="1" applyBorder="1" applyAlignment="1">
      <alignment vertical="center" wrapText="1"/>
    </xf>
    <xf numFmtId="4" fontId="25" fillId="2" borderId="27" xfId="0" applyNumberFormat="1" applyFont="1" applyFill="1" applyBorder="1" applyAlignment="1">
      <alignment vertical="center" wrapText="1"/>
    </xf>
    <xf numFmtId="4" fontId="25" fillId="2" borderId="30" xfId="0" applyNumberFormat="1" applyFont="1" applyFill="1" applyBorder="1" applyAlignment="1">
      <alignment vertical="center" wrapText="1"/>
    </xf>
    <xf numFmtId="4" fontId="25" fillId="2" borderId="21" xfId="0" applyNumberFormat="1" applyFont="1" applyFill="1" applyBorder="1" applyAlignment="1">
      <alignment vertical="center" wrapText="1"/>
    </xf>
    <xf numFmtId="4" fontId="16" fillId="0" borderId="6" xfId="0" applyNumberFormat="1" applyFont="1" applyBorder="1"/>
    <xf numFmtId="4" fontId="11" fillId="0" borderId="13" xfId="0" applyNumberFormat="1" applyFont="1" applyBorder="1"/>
    <xf numFmtId="0" fontId="39" fillId="0" borderId="0" xfId="0" applyFont="1" applyAlignment="1">
      <alignment horizont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wrapText="1"/>
    </xf>
    <xf numFmtId="0" fontId="61" fillId="0" borderId="0" xfId="0" applyFont="1" applyBorder="1" applyAlignment="1">
      <alignment horizontal="center" wrapText="1"/>
    </xf>
    <xf numFmtId="0" fontId="36" fillId="0" borderId="40" xfId="0" applyFont="1" applyBorder="1"/>
    <xf numFmtId="4" fontId="36" fillId="0" borderId="40" xfId="0" applyNumberFormat="1" applyFont="1" applyBorder="1"/>
    <xf numFmtId="4" fontId="39" fillId="0" borderId="40" xfId="0" applyNumberFormat="1" applyFont="1" applyBorder="1"/>
    <xf numFmtId="0" fontId="39" fillId="0" borderId="0" xfId="0" applyFont="1" applyBorder="1" applyAlignment="1">
      <alignment wrapText="1"/>
    </xf>
    <xf numFmtId="0" fontId="39" fillId="0" borderId="0" xfId="0" applyFont="1" applyBorder="1"/>
    <xf numFmtId="0" fontId="36" fillId="0" borderId="0" xfId="0" applyFont="1" applyBorder="1"/>
    <xf numFmtId="0" fontId="39" fillId="0" borderId="0" xfId="0" applyFont="1" applyAlignment="1">
      <alignment vertical="center" wrapText="1"/>
    </xf>
    <xf numFmtId="0" fontId="39" fillId="0" borderId="0" xfId="0" applyFont="1" applyBorder="1" applyAlignment="1">
      <alignment vertical="center" wrapText="1"/>
    </xf>
    <xf numFmtId="0" fontId="39" fillId="0" borderId="40" xfId="0" applyFont="1" applyBorder="1" applyAlignment="1">
      <alignment horizontal="center" vertical="center"/>
    </xf>
    <xf numFmtId="0" fontId="39" fillId="0" borderId="40" xfId="0" applyFont="1" applyBorder="1"/>
    <xf numFmtId="0" fontId="36" fillId="0" borderId="40" xfId="0" applyFont="1" applyBorder="1" applyAlignment="1">
      <alignment horizontal="center" wrapText="1"/>
    </xf>
    <xf numFmtId="43" fontId="36" fillId="0" borderId="40" xfId="2" applyNumberFormat="1" applyFont="1" applyBorder="1" applyAlignment="1">
      <alignment horizontal="center"/>
    </xf>
    <xf numFmtId="0" fontId="36" fillId="0" borderId="0" xfId="0" applyFont="1" applyBorder="1" applyAlignment="1">
      <alignment horizontal="center"/>
    </xf>
    <xf numFmtId="2" fontId="36" fillId="0" borderId="0" xfId="0" applyNumberFormat="1" applyFont="1" applyBorder="1" applyAlignment="1">
      <alignment horizontal="center"/>
    </xf>
    <xf numFmtId="43" fontId="36" fillId="0" borderId="0" xfId="2" applyNumberFormat="1" applyFont="1" applyBorder="1" applyAlignment="1">
      <alignment horizontal="center"/>
    </xf>
    <xf numFmtId="0" fontId="39" fillId="0" borderId="40" xfId="0" applyFont="1" applyBorder="1" applyAlignment="1">
      <alignment horizontal="center" wrapText="1"/>
    </xf>
    <xf numFmtId="43" fontId="39" fillId="0" borderId="40" xfId="2" applyNumberFormat="1" applyFont="1" applyBorder="1" applyAlignment="1">
      <alignment horizontal="center"/>
    </xf>
    <xf numFmtId="43" fontId="39" fillId="0" borderId="0" xfId="2" applyNumberFormat="1" applyFont="1" applyBorder="1" applyAlignment="1">
      <alignment horizontal="center"/>
    </xf>
    <xf numFmtId="0" fontId="2" fillId="0" borderId="0" xfId="0" applyFont="1" applyAlignment="1">
      <alignment vertical="center"/>
    </xf>
    <xf numFmtId="0" fontId="2" fillId="0" borderId="40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9" fillId="0" borderId="40" xfId="0" applyFont="1" applyBorder="1" applyAlignment="1">
      <alignment vertical="center"/>
    </xf>
    <xf numFmtId="0" fontId="1" fillId="0" borderId="40" xfId="0" applyFont="1" applyBorder="1" applyAlignment="1">
      <alignment vertical="center" wrapText="1"/>
    </xf>
    <xf numFmtId="4" fontId="1" fillId="0" borderId="40" xfId="0" applyNumberFormat="1" applyFont="1" applyBorder="1" applyAlignment="1">
      <alignment vertical="center"/>
    </xf>
    <xf numFmtId="0" fontId="1" fillId="0" borderId="40" xfId="0" applyFont="1" applyFill="1" applyBorder="1" applyAlignment="1">
      <alignment horizontal="center" vertical="center" wrapText="1"/>
    </xf>
    <xf numFmtId="0" fontId="36" fillId="2" borderId="40" xfId="0" applyFont="1" applyFill="1" applyBorder="1" applyAlignment="1">
      <alignment vertical="center"/>
    </xf>
    <xf numFmtId="0" fontId="2" fillId="0" borderId="40" xfId="0" applyFont="1" applyBorder="1" applyAlignment="1">
      <alignment horizontal="left" vertical="center"/>
    </xf>
    <xf numFmtId="170" fontId="2" fillId="0" borderId="40" xfId="0" applyNumberFormat="1" applyFont="1" applyFill="1" applyBorder="1" applyAlignment="1">
      <alignment vertical="center"/>
    </xf>
    <xf numFmtId="170" fontId="2" fillId="0" borderId="0" xfId="0" applyNumberFormat="1" applyFont="1" applyFill="1" applyBorder="1" applyAlignment="1">
      <alignment vertical="center"/>
    </xf>
    <xf numFmtId="0" fontId="39" fillId="0" borderId="41" xfId="0" applyFont="1" applyBorder="1" applyAlignment="1">
      <alignment wrapText="1"/>
    </xf>
    <xf numFmtId="0" fontId="36" fillId="0" borderId="41" xfId="0" applyFont="1" applyBorder="1" applyAlignment="1">
      <alignment horizontal="center"/>
    </xf>
    <xf numFmtId="43" fontId="36" fillId="0" borderId="40" xfId="2" applyNumberFormat="1" applyFont="1" applyBorder="1" applyAlignment="1">
      <alignment horizontal="right"/>
    </xf>
    <xf numFmtId="0" fontId="36" fillId="0" borderId="40" xfId="0" applyFont="1" applyBorder="1" applyAlignment="1">
      <alignment horizontal="center"/>
    </xf>
    <xf numFmtId="0" fontId="36" fillId="0" borderId="41" xfId="0" applyFont="1" applyBorder="1" applyAlignment="1">
      <alignment horizontal="center" wrapText="1"/>
    </xf>
    <xf numFmtId="43" fontId="36" fillId="0" borderId="40" xfId="3" applyFont="1" applyBorder="1" applyAlignment="1">
      <alignment horizontal="right"/>
    </xf>
    <xf numFmtId="43" fontId="39" fillId="0" borderId="40" xfId="0" applyNumberFormat="1" applyFont="1" applyBorder="1"/>
    <xf numFmtId="43" fontId="36" fillId="0" borderId="0" xfId="0" applyNumberFormat="1" applyFont="1" applyBorder="1"/>
    <xf numFmtId="0" fontId="39" fillId="0" borderId="0" xfId="0" applyFont="1" applyAlignment="1"/>
    <xf numFmtId="0" fontId="2" fillId="0" borderId="40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 wrapText="1"/>
    </xf>
    <xf numFmtId="0" fontId="3" fillId="2" borderId="60" xfId="0" applyFont="1" applyFill="1" applyBorder="1" applyAlignment="1">
      <alignment vertical="center" wrapText="1"/>
    </xf>
    <xf numFmtId="0" fontId="8" fillId="2" borderId="60" xfId="0" applyFont="1" applyFill="1" applyBorder="1" applyAlignment="1">
      <alignment horizontal="center" vertical="center" wrapText="1"/>
    </xf>
    <xf numFmtId="0" fontId="3" fillId="2" borderId="60" xfId="0" applyFont="1" applyFill="1" applyBorder="1" applyAlignment="1">
      <alignment horizontal="center" vertical="center" wrapText="1"/>
    </xf>
    <xf numFmtId="165" fontId="25" fillId="0" borderId="36" xfId="0" applyNumberFormat="1" applyFont="1" applyFill="1" applyBorder="1" applyAlignment="1">
      <alignment vertical="center" wrapText="1"/>
    </xf>
    <xf numFmtId="0" fontId="3" fillId="2" borderId="41" xfId="0" applyFont="1" applyFill="1" applyBorder="1" applyAlignment="1">
      <alignment horizontal="center" vertical="center" wrapText="1"/>
    </xf>
    <xf numFmtId="165" fontId="3" fillId="3" borderId="21" xfId="0" applyNumberFormat="1" applyFont="1" applyFill="1" applyBorder="1" applyAlignment="1">
      <alignment vertical="center" wrapText="1"/>
    </xf>
    <xf numFmtId="165" fontId="25" fillId="3" borderId="15" xfId="0" applyNumberFormat="1" applyFont="1" applyFill="1" applyBorder="1" applyAlignment="1">
      <alignment vertical="center" wrapText="1"/>
    </xf>
    <xf numFmtId="165" fontId="25" fillId="2" borderId="1" xfId="0" applyNumberFormat="1" applyFont="1" applyFill="1" applyBorder="1" applyAlignment="1">
      <alignment vertical="center" wrapText="1"/>
    </xf>
    <xf numFmtId="165" fontId="25" fillId="2" borderId="36" xfId="0" applyNumberFormat="1" applyFont="1" applyFill="1" applyBorder="1" applyAlignment="1">
      <alignment vertical="center" wrapText="1"/>
    </xf>
    <xf numFmtId="165" fontId="26" fillId="0" borderId="27" xfId="0" applyNumberFormat="1" applyFont="1" applyFill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left" vertical="center"/>
    </xf>
    <xf numFmtId="0" fontId="3" fillId="4" borderId="12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55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29" xfId="0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39" fillId="0" borderId="40" xfId="0" applyFont="1" applyBorder="1" applyAlignment="1">
      <alignment horizontal="center" vertical="center" wrapText="1"/>
    </xf>
    <xf numFmtId="4" fontId="39" fillId="0" borderId="41" xfId="0" applyNumberFormat="1" applyFont="1" applyFill="1" applyBorder="1" applyAlignment="1">
      <alignment vertical="center" wrapText="1"/>
    </xf>
    <xf numFmtId="4" fontId="39" fillId="0" borderId="31" xfId="0" applyNumberFormat="1" applyFont="1" applyFill="1" applyBorder="1" applyAlignment="1">
      <alignment vertical="center" wrapText="1"/>
    </xf>
    <xf numFmtId="4" fontId="39" fillId="0" borderId="3" xfId="0" applyNumberFormat="1" applyFont="1" applyFill="1" applyBorder="1" applyAlignment="1">
      <alignment vertical="center" wrapText="1"/>
    </xf>
    <xf numFmtId="4" fontId="37" fillId="0" borderId="0" xfId="0" applyNumberFormat="1" applyFont="1" applyAlignment="1">
      <alignment horizontal="left"/>
    </xf>
    <xf numFmtId="0" fontId="37" fillId="0" borderId="0" xfId="0" applyFont="1" applyAlignment="1">
      <alignment horizontal="left"/>
    </xf>
    <xf numFmtId="0" fontId="45" fillId="0" borderId="40" xfId="0" applyFont="1" applyBorder="1" applyAlignment="1">
      <alignment horizontal="center" vertical="center" wrapText="1"/>
    </xf>
    <xf numFmtId="0" fontId="36" fillId="0" borderId="0" xfId="0" applyFont="1" applyAlignment="1">
      <alignment horizontal="left"/>
    </xf>
    <xf numFmtId="0" fontId="39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36" fillId="0" borderId="40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 wrapText="1"/>
    </xf>
    <xf numFmtId="0" fontId="36" fillId="0" borderId="60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 wrapText="1"/>
    </xf>
    <xf numFmtId="0" fontId="39" fillId="0" borderId="0" xfId="0" applyFont="1" applyBorder="1" applyAlignment="1">
      <alignment horizontal="left"/>
    </xf>
    <xf numFmtId="0" fontId="39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 wrapText="1"/>
    </xf>
    <xf numFmtId="0" fontId="0" fillId="0" borderId="29" xfId="0" applyBorder="1" applyAlignment="1">
      <alignment horizontal="center"/>
    </xf>
    <xf numFmtId="0" fontId="17" fillId="0" borderId="62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35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35" xfId="0" applyFont="1" applyBorder="1" applyAlignment="1">
      <alignment horizontal="center" vertical="center" wrapText="1"/>
    </xf>
    <xf numFmtId="0" fontId="59" fillId="0" borderId="42" xfId="0" applyFont="1" applyBorder="1" applyAlignment="1">
      <alignment horizontal="right"/>
    </xf>
    <xf numFmtId="0" fontId="59" fillId="0" borderId="29" xfId="0" applyFont="1" applyBorder="1" applyAlignment="1">
      <alignment horizontal="right"/>
    </xf>
    <xf numFmtId="0" fontId="59" fillId="0" borderId="0" xfId="0" applyFont="1" applyAlignment="1">
      <alignment horizontal="right"/>
    </xf>
    <xf numFmtId="0" fontId="54" fillId="0" borderId="65" xfId="0" applyFont="1" applyBorder="1" applyAlignment="1">
      <alignment horizontal="center"/>
    </xf>
    <xf numFmtId="0" fontId="54" fillId="0" borderId="33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68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6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55" fillId="0" borderId="11" xfId="0" applyFont="1" applyBorder="1" applyAlignment="1">
      <alignment horizontal="center"/>
    </xf>
    <xf numFmtId="0" fontId="55" fillId="0" borderId="12" xfId="0" applyFont="1" applyBorder="1" applyAlignment="1">
      <alignment horizontal="center"/>
    </xf>
    <xf numFmtId="0" fontId="59" fillId="0" borderId="65" xfId="0" applyFont="1" applyBorder="1" applyAlignment="1">
      <alignment horizontal="right"/>
    </xf>
    <xf numFmtId="0" fontId="59" fillId="0" borderId="33" xfId="0" applyFont="1" applyBorder="1" applyAlignment="1">
      <alignment horizontal="right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/>
    </xf>
    <xf numFmtId="0" fontId="13" fillId="0" borderId="29" xfId="0" applyFont="1" applyBorder="1" applyAlignment="1">
      <alignment horizontal="center"/>
    </xf>
    <xf numFmtId="0" fontId="13" fillId="0" borderId="28" xfId="0" applyFont="1" applyBorder="1" applyAlignment="1">
      <alignment horizontal="center"/>
    </xf>
    <xf numFmtId="0" fontId="13" fillId="0" borderId="36" xfId="0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29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4" fontId="6" fillId="2" borderId="50" xfId="0" applyNumberFormat="1" applyFont="1" applyFill="1" applyBorder="1" applyAlignment="1">
      <alignment horizontal="center" vertical="center" wrapText="1"/>
    </xf>
    <xf numFmtId="4" fontId="6" fillId="2" borderId="51" xfId="0" applyNumberFormat="1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left" vertical="center" wrapText="1"/>
    </xf>
    <xf numFmtId="0" fontId="49" fillId="0" borderId="24" xfId="0" applyFont="1" applyBorder="1" applyAlignment="1">
      <alignment horizontal="left"/>
    </xf>
    <xf numFmtId="4" fontId="6" fillId="2" borderId="25" xfId="0" applyNumberFormat="1" applyFont="1" applyFill="1" applyBorder="1" applyAlignment="1">
      <alignment horizontal="center" vertical="center" wrapText="1"/>
    </xf>
    <xf numFmtId="4" fontId="6" fillId="2" borderId="24" xfId="0" applyNumberFormat="1" applyFont="1" applyFill="1" applyBorder="1" applyAlignment="1">
      <alignment horizontal="center" vertical="center" wrapText="1"/>
    </xf>
    <xf numFmtId="4" fontId="6" fillId="2" borderId="35" xfId="0" applyNumberFormat="1" applyFont="1" applyFill="1" applyBorder="1" applyAlignment="1">
      <alignment horizontal="center" vertical="center" wrapText="1"/>
    </xf>
    <xf numFmtId="0" fontId="5" fillId="2" borderId="5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29" fillId="0" borderId="0" xfId="0" applyFont="1" applyAlignment="1">
      <alignment horizontal="right" vertical="center"/>
    </xf>
    <xf numFmtId="0" fontId="29" fillId="0" borderId="57" xfId="0" applyFont="1" applyBorder="1" applyAlignment="1">
      <alignment horizontal="right" vertical="center"/>
    </xf>
    <xf numFmtId="0" fontId="30" fillId="0" borderId="50" xfId="0" applyFont="1" applyBorder="1" applyAlignment="1">
      <alignment horizontal="center" vertical="top" wrapText="1"/>
    </xf>
    <xf numFmtId="0" fontId="30" fillId="0" borderId="52" xfId="0" applyFont="1" applyBorder="1" applyAlignment="1">
      <alignment horizontal="center" vertical="top" wrapText="1"/>
    </xf>
    <xf numFmtId="0" fontId="30" fillId="0" borderId="50" xfId="0" applyFont="1" applyBorder="1" applyAlignment="1">
      <alignment horizontal="left" vertical="top" wrapText="1" indent="3"/>
    </xf>
    <xf numFmtId="0" fontId="30" fillId="0" borderId="52" xfId="0" applyFont="1" applyBorder="1" applyAlignment="1">
      <alignment horizontal="left" vertical="top" wrapText="1" indent="3"/>
    </xf>
    <xf numFmtId="0" fontId="32" fillId="0" borderId="50" xfId="0" applyFont="1" applyBorder="1" applyAlignment="1">
      <alignment horizontal="left" vertical="top" wrapText="1" indent="3"/>
    </xf>
    <xf numFmtId="0" fontId="32" fillId="0" borderId="52" xfId="0" applyFont="1" applyBorder="1" applyAlignment="1">
      <alignment horizontal="left" vertical="top" wrapText="1" indent="3"/>
    </xf>
  </cellXfs>
  <cellStyles count="4">
    <cellStyle name="Обычный" xfId="0" builtinId="0"/>
    <cellStyle name="Обычный 2" xfId="1"/>
    <cellStyle name="Финансовый" xfId="2" builtinId="3"/>
    <cellStyle name="Финансов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5"/>
  <sheetViews>
    <sheetView view="pageLayout" topLeftCell="A170" zoomScaleNormal="100" workbookViewId="0">
      <selection activeCell="G110" sqref="G110:J110"/>
    </sheetView>
  </sheetViews>
  <sheetFormatPr defaultRowHeight="15" x14ac:dyDescent="0.25"/>
  <cols>
    <col min="1" max="1" width="54.28515625" customWidth="1"/>
    <col min="6" max="6" width="17.140625" customWidth="1"/>
    <col min="7" max="7" width="13.28515625" customWidth="1"/>
    <col min="8" max="8" width="14" customWidth="1"/>
    <col min="9" max="9" width="13.140625" customWidth="1"/>
    <col min="10" max="10" width="13.7109375" customWidth="1"/>
    <col min="11" max="11" width="10.85546875" bestFit="1" customWidth="1"/>
    <col min="12" max="12" width="17" customWidth="1"/>
    <col min="13" max="13" width="15" customWidth="1"/>
    <col min="14" max="14" width="12.28515625" customWidth="1"/>
    <col min="15" max="15" width="11.7109375" customWidth="1"/>
  </cols>
  <sheetData>
    <row r="1" spans="1:11" ht="36" customHeight="1" x14ac:dyDescent="0.25">
      <c r="A1" s="68"/>
      <c r="B1" s="69"/>
      <c r="C1" s="70"/>
      <c r="D1" s="70"/>
      <c r="E1" s="70"/>
      <c r="F1" s="68"/>
      <c r="G1" s="634" t="s">
        <v>0</v>
      </c>
      <c r="H1" s="634"/>
      <c r="I1" s="634"/>
      <c r="J1" s="634"/>
      <c r="K1" s="634"/>
    </row>
    <row r="2" spans="1:11" x14ac:dyDescent="0.25">
      <c r="A2" s="1"/>
      <c r="B2" s="69"/>
      <c r="C2" s="71"/>
      <c r="D2" s="71"/>
      <c r="E2" s="71"/>
      <c r="F2" s="1"/>
      <c r="G2" s="72"/>
      <c r="H2" s="72"/>
      <c r="I2" s="72"/>
      <c r="J2" s="72"/>
      <c r="K2" s="72"/>
    </row>
    <row r="3" spans="1:11" x14ac:dyDescent="0.25">
      <c r="A3" s="1"/>
      <c r="B3" s="69"/>
      <c r="C3" s="71"/>
      <c r="D3" s="73"/>
      <c r="E3" s="71"/>
      <c r="F3" s="74"/>
      <c r="G3" s="74" t="s">
        <v>1</v>
      </c>
      <c r="H3" s="74"/>
      <c r="I3" s="74"/>
      <c r="J3" s="74"/>
      <c r="K3" s="1"/>
    </row>
    <row r="4" spans="1:11" x14ac:dyDescent="0.25">
      <c r="A4" s="1" t="s">
        <v>2</v>
      </c>
      <c r="B4" s="69"/>
      <c r="C4" s="71"/>
      <c r="D4" s="73"/>
      <c r="E4" s="71"/>
      <c r="F4" s="74"/>
      <c r="G4" s="74"/>
      <c r="H4" s="74"/>
      <c r="I4" s="74"/>
      <c r="J4" s="74"/>
      <c r="K4" s="1"/>
    </row>
    <row r="5" spans="1:11" x14ac:dyDescent="0.25">
      <c r="A5" s="1" t="s">
        <v>676</v>
      </c>
      <c r="B5" s="69"/>
      <c r="C5" s="71"/>
      <c r="D5" s="73"/>
      <c r="E5" s="71"/>
      <c r="F5" s="74"/>
      <c r="G5" s="74" t="s">
        <v>3</v>
      </c>
      <c r="H5" s="74"/>
      <c r="I5" s="74"/>
      <c r="J5" s="645" t="s">
        <v>696</v>
      </c>
      <c r="K5" s="645"/>
    </row>
    <row r="6" spans="1:11" x14ac:dyDescent="0.25">
      <c r="A6" s="1" t="s">
        <v>9</v>
      </c>
      <c r="B6" s="69"/>
      <c r="C6" s="71"/>
      <c r="D6" s="73"/>
      <c r="E6" s="71"/>
      <c r="F6" s="74"/>
      <c r="G6" s="74"/>
      <c r="H6" s="74"/>
      <c r="I6" s="74"/>
      <c r="J6" s="74"/>
      <c r="K6" s="1"/>
    </row>
    <row r="7" spans="1:11" ht="15.75" thickBot="1" x14ac:dyDescent="0.3">
      <c r="A7" s="1" t="s">
        <v>699</v>
      </c>
      <c r="B7" s="69"/>
      <c r="C7" s="71"/>
      <c r="D7" s="73"/>
      <c r="E7" s="71"/>
      <c r="F7" s="74"/>
      <c r="G7" s="74"/>
      <c r="H7" s="74"/>
      <c r="I7" s="74"/>
      <c r="J7" s="74"/>
      <c r="K7" s="1"/>
    </row>
    <row r="8" spans="1:11" x14ac:dyDescent="0.25">
      <c r="A8" s="1" t="s">
        <v>4</v>
      </c>
      <c r="B8" s="69"/>
      <c r="C8" s="71"/>
      <c r="D8" s="73"/>
      <c r="E8" s="71"/>
      <c r="F8" s="74"/>
      <c r="G8" s="74"/>
      <c r="H8" s="1"/>
      <c r="I8" s="635" t="s">
        <v>5</v>
      </c>
      <c r="J8" s="636"/>
      <c r="K8" s="230" t="s">
        <v>700</v>
      </c>
    </row>
    <row r="9" spans="1:11" x14ac:dyDescent="0.25">
      <c r="A9" s="1" t="s">
        <v>2</v>
      </c>
      <c r="B9" s="69"/>
      <c r="C9" s="71"/>
      <c r="D9" s="73"/>
      <c r="E9" s="71"/>
      <c r="F9" s="74"/>
      <c r="G9" s="74"/>
      <c r="H9" s="1"/>
      <c r="I9" s="637" t="s">
        <v>6</v>
      </c>
      <c r="J9" s="638"/>
      <c r="K9" s="75"/>
    </row>
    <row r="10" spans="1:11" x14ac:dyDescent="0.25">
      <c r="A10" s="1" t="s">
        <v>7</v>
      </c>
      <c r="B10" s="69"/>
      <c r="C10" s="71"/>
      <c r="D10" s="73"/>
      <c r="E10" s="71"/>
      <c r="F10" s="74"/>
      <c r="G10" s="74"/>
      <c r="H10" s="1"/>
      <c r="I10" s="637" t="s">
        <v>8</v>
      </c>
      <c r="J10" s="638"/>
      <c r="K10" s="75"/>
    </row>
    <row r="11" spans="1:11" x14ac:dyDescent="0.25">
      <c r="A11" s="1" t="s">
        <v>9</v>
      </c>
      <c r="B11" s="69"/>
      <c r="C11" s="71"/>
      <c r="D11" s="73"/>
      <c r="E11" s="71"/>
      <c r="F11" s="74"/>
      <c r="G11" s="74"/>
      <c r="H11" s="1"/>
      <c r="I11" s="637" t="s">
        <v>10</v>
      </c>
      <c r="J11" s="638"/>
      <c r="K11" s="75"/>
    </row>
    <row r="12" spans="1:11" ht="15.75" thickBot="1" x14ac:dyDescent="0.3">
      <c r="A12" s="1" t="s">
        <v>698</v>
      </c>
      <c r="B12" s="69"/>
      <c r="C12" s="71"/>
      <c r="D12" s="73"/>
      <c r="E12" s="71"/>
      <c r="F12" s="74"/>
      <c r="G12" s="74"/>
      <c r="H12" s="1"/>
      <c r="I12" s="639" t="s">
        <v>11</v>
      </c>
      <c r="J12" s="640"/>
      <c r="K12" s="76"/>
    </row>
    <row r="13" spans="1:11" x14ac:dyDescent="0.25">
      <c r="A13" s="1" t="s">
        <v>4</v>
      </c>
      <c r="B13" s="69"/>
      <c r="C13" s="71"/>
      <c r="D13" s="73"/>
      <c r="E13" s="71"/>
      <c r="F13" s="74"/>
      <c r="G13" s="74"/>
      <c r="H13" s="74"/>
      <c r="I13" s="74"/>
      <c r="J13" s="74"/>
      <c r="K13" s="1"/>
    </row>
    <row r="14" spans="1:11" ht="15.75" thickBot="1" x14ac:dyDescent="0.3">
      <c r="A14" s="1"/>
      <c r="B14" s="69"/>
      <c r="C14" s="77"/>
      <c r="D14" s="77"/>
      <c r="E14" s="77"/>
      <c r="F14" s="77"/>
      <c r="G14" s="74"/>
      <c r="H14" s="74"/>
      <c r="I14" s="641"/>
      <c r="J14" s="641"/>
      <c r="K14" s="1"/>
    </row>
    <row r="15" spans="1:11" ht="15.75" thickBot="1" x14ac:dyDescent="0.3">
      <c r="A15" s="78" t="s">
        <v>12</v>
      </c>
      <c r="B15" s="642">
        <v>2022</v>
      </c>
      <c r="C15" s="643"/>
      <c r="D15" s="643"/>
      <c r="E15" s="643"/>
      <c r="F15" s="643"/>
      <c r="G15" s="643"/>
      <c r="H15" s="644"/>
      <c r="I15" s="629" t="s">
        <v>13</v>
      </c>
      <c r="J15" s="630"/>
      <c r="K15" s="631"/>
    </row>
    <row r="16" spans="1:11" ht="15.75" thickBot="1" x14ac:dyDescent="0.3">
      <c r="A16" s="79" t="s">
        <v>14</v>
      </c>
      <c r="B16" s="629" t="s">
        <v>248</v>
      </c>
      <c r="C16" s="630"/>
      <c r="D16" s="630"/>
      <c r="E16" s="630"/>
      <c r="F16" s="630"/>
      <c r="G16" s="630"/>
      <c r="H16" s="631"/>
      <c r="I16" s="632" t="s">
        <v>15</v>
      </c>
      <c r="J16" s="633"/>
      <c r="K16" s="80">
        <v>42352786</v>
      </c>
    </row>
    <row r="17" spans="1:11" ht="15.75" thickBot="1" x14ac:dyDescent="0.3">
      <c r="A17" s="79" t="s">
        <v>16</v>
      </c>
      <c r="B17" s="629" t="s">
        <v>249</v>
      </c>
      <c r="C17" s="630"/>
      <c r="D17" s="630"/>
      <c r="E17" s="630"/>
      <c r="F17" s="630"/>
      <c r="G17" s="630"/>
      <c r="H17" s="631"/>
      <c r="I17" s="632" t="s">
        <v>17</v>
      </c>
      <c r="J17" s="633"/>
      <c r="K17" s="80">
        <v>150</v>
      </c>
    </row>
    <row r="18" spans="1:11" ht="15.75" thickBot="1" x14ac:dyDescent="0.3">
      <c r="A18" s="79" t="s">
        <v>18</v>
      </c>
      <c r="B18" s="629" t="s">
        <v>250</v>
      </c>
      <c r="C18" s="630"/>
      <c r="D18" s="630"/>
      <c r="E18" s="630"/>
      <c r="F18" s="630"/>
      <c r="G18" s="630"/>
      <c r="H18" s="631"/>
      <c r="I18" s="632" t="s">
        <v>19</v>
      </c>
      <c r="J18" s="633"/>
      <c r="K18" s="324">
        <v>2610100000</v>
      </c>
    </row>
    <row r="19" spans="1:11" ht="15.75" thickBot="1" x14ac:dyDescent="0.3">
      <c r="A19" s="79" t="s">
        <v>20</v>
      </c>
      <c r="B19" s="629"/>
      <c r="C19" s="630"/>
      <c r="D19" s="630"/>
      <c r="E19" s="630"/>
      <c r="F19" s="630"/>
      <c r="G19" s="630"/>
      <c r="H19" s="631"/>
      <c r="I19" s="632" t="s">
        <v>21</v>
      </c>
      <c r="J19" s="633"/>
      <c r="K19" s="80"/>
    </row>
    <row r="20" spans="1:11" ht="15.75" thickBot="1" x14ac:dyDescent="0.3">
      <c r="A20" s="79" t="s">
        <v>22</v>
      </c>
      <c r="B20" s="629" t="s">
        <v>251</v>
      </c>
      <c r="C20" s="630"/>
      <c r="D20" s="630"/>
      <c r="E20" s="630"/>
      <c r="F20" s="630"/>
      <c r="G20" s="630"/>
      <c r="H20" s="631"/>
      <c r="I20" s="632" t="s">
        <v>23</v>
      </c>
      <c r="J20" s="633"/>
      <c r="K20" s="80"/>
    </row>
    <row r="21" spans="1:11" ht="15.75" thickBot="1" x14ac:dyDescent="0.3">
      <c r="A21" s="79" t="s">
        <v>24</v>
      </c>
      <c r="B21" s="629" t="s">
        <v>252</v>
      </c>
      <c r="C21" s="630"/>
      <c r="D21" s="630"/>
      <c r="E21" s="630"/>
      <c r="F21" s="630"/>
      <c r="G21" s="630"/>
      <c r="H21" s="631"/>
      <c r="I21" s="632" t="s">
        <v>25</v>
      </c>
      <c r="J21" s="633"/>
      <c r="K21" s="80" t="s">
        <v>256</v>
      </c>
    </row>
    <row r="22" spans="1:11" ht="15.75" thickBot="1" x14ac:dyDescent="0.3">
      <c r="A22" s="79" t="s">
        <v>26</v>
      </c>
      <c r="B22" s="646" t="s">
        <v>27</v>
      </c>
      <c r="C22" s="647"/>
      <c r="D22" s="647"/>
      <c r="E22" s="647"/>
      <c r="F22" s="647"/>
      <c r="G22" s="647"/>
      <c r="H22" s="648"/>
      <c r="I22" s="81"/>
      <c r="J22" s="82"/>
      <c r="K22" s="80"/>
    </row>
    <row r="23" spans="1:11" ht="15.75" thickBot="1" x14ac:dyDescent="0.3">
      <c r="A23" s="79" t="s">
        <v>28</v>
      </c>
      <c r="B23" s="629" t="s">
        <v>253</v>
      </c>
      <c r="C23" s="630"/>
      <c r="D23" s="630"/>
      <c r="E23" s="630"/>
      <c r="F23" s="630"/>
      <c r="G23" s="630"/>
      <c r="H23" s="631"/>
      <c r="I23" s="81"/>
      <c r="J23" s="82"/>
      <c r="K23" s="80"/>
    </row>
    <row r="24" spans="1:11" ht="15.75" thickBot="1" x14ac:dyDescent="0.3">
      <c r="A24" s="258" t="s">
        <v>219</v>
      </c>
      <c r="B24" s="629">
        <v>1121.5</v>
      </c>
      <c r="C24" s="630"/>
      <c r="D24" s="630"/>
      <c r="E24" s="630"/>
      <c r="F24" s="630"/>
      <c r="G24" s="630"/>
      <c r="H24" s="631"/>
      <c r="I24" s="632" t="s">
        <v>29</v>
      </c>
      <c r="J24" s="633"/>
      <c r="K24" s="80"/>
    </row>
    <row r="25" spans="1:11" ht="15.75" thickBot="1" x14ac:dyDescent="0.3">
      <c r="A25" s="79" t="s">
        <v>30</v>
      </c>
      <c r="B25" s="629" t="s">
        <v>254</v>
      </c>
      <c r="C25" s="630"/>
      <c r="D25" s="630"/>
      <c r="E25" s="630"/>
      <c r="F25" s="630"/>
      <c r="G25" s="630"/>
      <c r="H25" s="631"/>
      <c r="I25" s="632" t="s">
        <v>31</v>
      </c>
      <c r="J25" s="633"/>
      <c r="K25" s="80"/>
    </row>
    <row r="26" spans="1:11" ht="15.75" thickBot="1" x14ac:dyDescent="0.3">
      <c r="A26" s="79" t="s">
        <v>32</v>
      </c>
      <c r="B26" s="629" t="s">
        <v>255</v>
      </c>
      <c r="C26" s="630"/>
      <c r="D26" s="630"/>
      <c r="E26" s="630"/>
      <c r="F26" s="630"/>
      <c r="G26" s="630"/>
      <c r="H26" s="631"/>
      <c r="I26" s="83"/>
      <c r="J26" s="83"/>
      <c r="K26" s="83"/>
    </row>
    <row r="27" spans="1:11" ht="15.75" thickBot="1" x14ac:dyDescent="0.3">
      <c r="A27" s="79" t="s">
        <v>33</v>
      </c>
      <c r="B27" s="629" t="s">
        <v>247</v>
      </c>
      <c r="C27" s="630"/>
      <c r="D27" s="630"/>
      <c r="E27" s="630"/>
      <c r="F27" s="630"/>
      <c r="G27" s="630"/>
      <c r="H27" s="631"/>
      <c r="I27" s="1"/>
      <c r="J27" s="1"/>
      <c r="K27" s="1"/>
    </row>
    <row r="28" spans="1:11" x14ac:dyDescent="0.25">
      <c r="A28" s="84"/>
      <c r="B28" s="85"/>
      <c r="C28" s="71"/>
      <c r="D28" s="71"/>
      <c r="E28" s="71"/>
      <c r="F28" s="1"/>
      <c r="G28" s="1"/>
      <c r="H28" s="1"/>
      <c r="I28" s="1"/>
      <c r="J28" s="1"/>
      <c r="K28" s="1"/>
    </row>
    <row r="29" spans="1:11" ht="18.75" x14ac:dyDescent="0.25">
      <c r="A29" s="657" t="s">
        <v>677</v>
      </c>
      <c r="B29" s="657"/>
      <c r="C29" s="657"/>
      <c r="D29" s="657"/>
      <c r="E29" s="657"/>
      <c r="F29" s="657"/>
      <c r="G29" s="657"/>
      <c r="H29" s="657"/>
      <c r="I29" s="657"/>
      <c r="J29" s="657"/>
      <c r="K29" s="1"/>
    </row>
    <row r="30" spans="1:11" ht="15.75" thickBot="1" x14ac:dyDescent="0.3">
      <c r="A30" s="86"/>
      <c r="B30" s="87"/>
      <c r="C30" s="86"/>
      <c r="D30" s="86"/>
      <c r="E30" s="86"/>
      <c r="F30" s="86"/>
      <c r="G30" s="86"/>
      <c r="H30" s="86"/>
      <c r="I30" s="86"/>
      <c r="J30" s="88" t="s">
        <v>34</v>
      </c>
      <c r="K30" s="1"/>
    </row>
    <row r="31" spans="1:11" ht="15.75" thickBot="1" x14ac:dyDescent="0.3">
      <c r="A31" s="649" t="s">
        <v>35</v>
      </c>
      <c r="B31" s="651" t="s">
        <v>118</v>
      </c>
      <c r="C31" s="653" t="s">
        <v>36</v>
      </c>
      <c r="D31" s="655" t="s">
        <v>702</v>
      </c>
      <c r="E31" s="653" t="s">
        <v>701</v>
      </c>
      <c r="F31" s="655" t="s">
        <v>703</v>
      </c>
      <c r="G31" s="661" t="s">
        <v>37</v>
      </c>
      <c r="H31" s="662"/>
      <c r="I31" s="662"/>
      <c r="J31" s="663"/>
      <c r="K31" s="653" t="s">
        <v>38</v>
      </c>
    </row>
    <row r="32" spans="1:11" ht="24" customHeight="1" thickBot="1" x14ac:dyDescent="0.3">
      <c r="A32" s="650"/>
      <c r="B32" s="652"/>
      <c r="C32" s="654"/>
      <c r="D32" s="656"/>
      <c r="E32" s="654"/>
      <c r="F32" s="656"/>
      <c r="G32" s="89" t="s">
        <v>39</v>
      </c>
      <c r="H32" s="90" t="s">
        <v>40</v>
      </c>
      <c r="I32" s="91" t="s">
        <v>41</v>
      </c>
      <c r="J32" s="90" t="s">
        <v>42</v>
      </c>
      <c r="K32" s="654"/>
    </row>
    <row r="33" spans="1:14" ht="15.75" thickBot="1" x14ac:dyDescent="0.3">
      <c r="A33" s="2">
        <v>1</v>
      </c>
      <c r="B33" s="6"/>
      <c r="C33" s="3">
        <v>2</v>
      </c>
      <c r="D33" s="3">
        <v>3</v>
      </c>
      <c r="E33" s="3"/>
      <c r="F33" s="3">
        <v>5</v>
      </c>
      <c r="G33" s="4">
        <v>6</v>
      </c>
      <c r="H33" s="5">
        <v>7</v>
      </c>
      <c r="I33" s="5">
        <v>8</v>
      </c>
      <c r="J33" s="3">
        <v>9</v>
      </c>
      <c r="K33" s="3">
        <v>10</v>
      </c>
    </row>
    <row r="34" spans="1:14" ht="15.75" thickBot="1" x14ac:dyDescent="0.3">
      <c r="A34" s="92" t="s">
        <v>43</v>
      </c>
      <c r="B34" s="93">
        <v>1</v>
      </c>
      <c r="C34" s="94">
        <v>1000</v>
      </c>
      <c r="D34" s="95"/>
      <c r="E34" s="95"/>
      <c r="F34" s="96"/>
      <c r="G34" s="97"/>
      <c r="H34" s="96"/>
      <c r="I34" s="96"/>
      <c r="J34" s="96"/>
      <c r="K34" s="96"/>
    </row>
    <row r="35" spans="1:14" ht="15.75" thickBot="1" x14ac:dyDescent="0.3">
      <c r="A35" s="98" t="s">
        <v>620</v>
      </c>
      <c r="B35" s="99">
        <f>B34+1</f>
        <v>2</v>
      </c>
      <c r="C35" s="100">
        <v>1010</v>
      </c>
      <c r="D35" s="102"/>
      <c r="E35" s="238"/>
      <c r="F35" s="312">
        <f>SUM(G35:J35)</f>
        <v>173408.5</v>
      </c>
      <c r="G35" s="238">
        <f>SUM(G36,G37:G38,G42:G43)</f>
        <v>41223.9</v>
      </c>
      <c r="H35" s="238">
        <f t="shared" ref="H35:J35" si="0">SUM(H36,H37:H38,H42:H43)</f>
        <v>43461.100000000006</v>
      </c>
      <c r="I35" s="238">
        <f t="shared" si="0"/>
        <v>44353.100000000006</v>
      </c>
      <c r="J35" s="238">
        <f t="shared" si="0"/>
        <v>44370.400000000001</v>
      </c>
      <c r="K35" s="103"/>
    </row>
    <row r="36" spans="1:14" ht="15.75" customHeight="1" x14ac:dyDescent="0.25">
      <c r="A36" s="107" t="s">
        <v>220</v>
      </c>
      <c r="B36" s="104">
        <f t="shared" ref="B36:B99" si="1">B35+1</f>
        <v>3</v>
      </c>
      <c r="C36" s="105">
        <v>1020</v>
      </c>
      <c r="D36" s="121"/>
      <c r="E36" s="239"/>
      <c r="F36" s="560">
        <f>SUM(G36:J36)</f>
        <v>314.39999999999998</v>
      </c>
      <c r="G36" s="561">
        <f>G54</f>
        <v>78</v>
      </c>
      <c r="H36" s="561">
        <f t="shared" ref="H36:J36" si="2">H54</f>
        <v>78</v>
      </c>
      <c r="I36" s="561">
        <f t="shared" si="2"/>
        <v>78</v>
      </c>
      <c r="J36" s="561">
        <f t="shared" si="2"/>
        <v>80.400000000000006</v>
      </c>
      <c r="K36" s="158"/>
      <c r="L36" s="332"/>
      <c r="M36" s="177"/>
      <c r="N36" s="177"/>
    </row>
    <row r="37" spans="1:14" ht="26.25" thickBot="1" x14ac:dyDescent="0.3">
      <c r="A37" s="107" t="s">
        <v>92</v>
      </c>
      <c r="B37" s="108">
        <f t="shared" si="1"/>
        <v>4</v>
      </c>
      <c r="C37" s="105">
        <v>1030</v>
      </c>
      <c r="D37" s="121"/>
      <c r="E37" s="239"/>
      <c r="F37" s="560">
        <f t="shared" ref="F37:F114" si="3">G37+H37+I37+J37</f>
        <v>156124.9</v>
      </c>
      <c r="G37" s="561">
        <v>36903.599999999999</v>
      </c>
      <c r="H37" s="561">
        <v>39140.800000000003</v>
      </c>
      <c r="I37" s="561">
        <v>40032.800000000003</v>
      </c>
      <c r="J37" s="561">
        <v>40047.699999999997</v>
      </c>
      <c r="K37" s="205"/>
      <c r="L37" s="177"/>
      <c r="M37" s="177"/>
      <c r="N37" s="177"/>
    </row>
    <row r="38" spans="1:14" x14ac:dyDescent="0.25">
      <c r="A38" s="107" t="s">
        <v>133</v>
      </c>
      <c r="B38" s="108">
        <f t="shared" si="1"/>
        <v>5</v>
      </c>
      <c r="C38" s="105">
        <v>1040</v>
      </c>
      <c r="D38" s="121"/>
      <c r="E38" s="239"/>
      <c r="F38" s="560">
        <f>SUM(F39:F41)</f>
        <v>1149.2</v>
      </c>
      <c r="G38" s="561">
        <f>SUM(G39:G41)</f>
        <v>287.3</v>
      </c>
      <c r="H38" s="561">
        <f t="shared" ref="H38:J38" si="4">SUM(H39:H41)</f>
        <v>287.3</v>
      </c>
      <c r="I38" s="561">
        <f t="shared" si="4"/>
        <v>287.3</v>
      </c>
      <c r="J38" s="561">
        <f t="shared" si="4"/>
        <v>287.3</v>
      </c>
      <c r="K38" s="106"/>
    </row>
    <row r="39" spans="1:14" x14ac:dyDescent="0.25">
      <c r="A39" s="109" t="s">
        <v>134</v>
      </c>
      <c r="B39" s="108">
        <f t="shared" si="1"/>
        <v>6</v>
      </c>
      <c r="C39" s="110" t="s">
        <v>135</v>
      </c>
      <c r="D39" s="121"/>
      <c r="E39" s="239"/>
      <c r="F39" s="560">
        <f t="shared" si="3"/>
        <v>0</v>
      </c>
      <c r="G39" s="561">
        <f>G119</f>
        <v>0</v>
      </c>
      <c r="H39" s="561">
        <f>H119</f>
        <v>0</v>
      </c>
      <c r="I39" s="561">
        <f>I119</f>
        <v>0</v>
      </c>
      <c r="J39" s="561">
        <f>J119</f>
        <v>0</v>
      </c>
      <c r="K39" s="106"/>
    </row>
    <row r="40" spans="1:14" x14ac:dyDescent="0.25">
      <c r="A40" s="109" t="s">
        <v>136</v>
      </c>
      <c r="B40" s="108">
        <f t="shared" si="1"/>
        <v>7</v>
      </c>
      <c r="C40" s="110" t="s">
        <v>137</v>
      </c>
      <c r="D40" s="121"/>
      <c r="E40" s="239"/>
      <c r="F40" s="560">
        <f t="shared" si="3"/>
        <v>0</v>
      </c>
      <c r="G40" s="561">
        <f>G125</f>
        <v>0</v>
      </c>
      <c r="H40" s="561">
        <f t="shared" ref="H40:J40" si="5">H125</f>
        <v>0</v>
      </c>
      <c r="I40" s="561">
        <f t="shared" si="5"/>
        <v>0</v>
      </c>
      <c r="J40" s="561">
        <f t="shared" si="5"/>
        <v>0</v>
      </c>
      <c r="K40" s="106"/>
    </row>
    <row r="41" spans="1:14" x14ac:dyDescent="0.25">
      <c r="A41" s="109" t="s">
        <v>138</v>
      </c>
      <c r="B41" s="108">
        <f t="shared" si="1"/>
        <v>8</v>
      </c>
      <c r="C41" s="110" t="s">
        <v>139</v>
      </c>
      <c r="D41" s="121"/>
      <c r="E41" s="239"/>
      <c r="F41" s="560">
        <f>G41+H41+I41+J41</f>
        <v>1149.2</v>
      </c>
      <c r="G41" s="561">
        <f>G109+G110+G111+G113+G114+G115+G116+G118</f>
        <v>287.3</v>
      </c>
      <c r="H41" s="561">
        <f t="shared" ref="H41:J41" si="6">H109+H110+H111+H113+H114+H115+H116+H118</f>
        <v>287.3</v>
      </c>
      <c r="I41" s="561">
        <f t="shared" si="6"/>
        <v>287.3</v>
      </c>
      <c r="J41" s="561">
        <f t="shared" si="6"/>
        <v>287.3</v>
      </c>
      <c r="K41" s="106"/>
    </row>
    <row r="42" spans="1:14" ht="25.5" x14ac:dyDescent="0.25">
      <c r="A42" s="111" t="s">
        <v>140</v>
      </c>
      <c r="B42" s="108">
        <f t="shared" si="1"/>
        <v>9</v>
      </c>
      <c r="C42" s="105">
        <v>1050</v>
      </c>
      <c r="D42" s="113"/>
      <c r="E42" s="216"/>
      <c r="F42" s="560">
        <f t="shared" si="3"/>
        <v>10620</v>
      </c>
      <c r="G42" s="559">
        <f>G112+G117</f>
        <v>2655</v>
      </c>
      <c r="H42" s="559">
        <f t="shared" ref="H42:J42" si="7">H112+H117</f>
        <v>2655</v>
      </c>
      <c r="I42" s="559">
        <f t="shared" si="7"/>
        <v>2655</v>
      </c>
      <c r="J42" s="559">
        <f t="shared" si="7"/>
        <v>2655</v>
      </c>
      <c r="K42" s="112"/>
    </row>
    <row r="43" spans="1:14" x14ac:dyDescent="0.25">
      <c r="A43" s="111" t="s">
        <v>89</v>
      </c>
      <c r="B43" s="108">
        <f t="shared" si="1"/>
        <v>10</v>
      </c>
      <c r="C43" s="105">
        <v>1060</v>
      </c>
      <c r="D43" s="113"/>
      <c r="E43" s="216"/>
      <c r="F43" s="245">
        <f t="shared" si="3"/>
        <v>5200</v>
      </c>
      <c r="G43" s="216">
        <f>SUM(G44:G50)</f>
        <v>1300</v>
      </c>
      <c r="H43" s="216">
        <f t="shared" ref="H43:J43" si="8">SUM(H44:H50)</f>
        <v>1300</v>
      </c>
      <c r="I43" s="216">
        <f t="shared" si="8"/>
        <v>1300</v>
      </c>
      <c r="J43" s="216">
        <f t="shared" si="8"/>
        <v>1300</v>
      </c>
      <c r="K43" s="112"/>
    </row>
    <row r="44" spans="1:14" x14ac:dyDescent="0.25">
      <c r="A44" s="109" t="s">
        <v>44</v>
      </c>
      <c r="B44" s="233">
        <f t="shared" si="1"/>
        <v>11</v>
      </c>
      <c r="C44" s="317" t="s">
        <v>109</v>
      </c>
      <c r="D44" s="281"/>
      <c r="E44" s="280"/>
      <c r="F44" s="325">
        <f t="shared" si="3"/>
        <v>0</v>
      </c>
      <c r="G44" s="216"/>
      <c r="H44" s="260"/>
      <c r="I44" s="260"/>
      <c r="J44" s="260"/>
      <c r="K44" s="112"/>
    </row>
    <row r="45" spans="1:14" x14ac:dyDescent="0.25">
      <c r="A45" s="109" t="s">
        <v>45</v>
      </c>
      <c r="B45" s="108">
        <f t="shared" si="1"/>
        <v>12</v>
      </c>
      <c r="C45" s="110" t="s">
        <v>141</v>
      </c>
      <c r="D45" s="113"/>
      <c r="E45" s="216"/>
      <c r="F45" s="245">
        <f t="shared" si="3"/>
        <v>0</v>
      </c>
      <c r="G45" s="260"/>
      <c r="H45" s="260"/>
      <c r="I45" s="260"/>
      <c r="J45" s="260"/>
      <c r="K45" s="112"/>
    </row>
    <row r="46" spans="1:14" x14ac:dyDescent="0.25">
      <c r="A46" s="109" t="s">
        <v>621</v>
      </c>
      <c r="B46" s="108">
        <f t="shared" si="1"/>
        <v>13</v>
      </c>
      <c r="C46" s="110" t="s">
        <v>142</v>
      </c>
      <c r="D46" s="113"/>
      <c r="E46" s="216"/>
      <c r="F46" s="560">
        <f t="shared" si="3"/>
        <v>5200</v>
      </c>
      <c r="G46" s="559">
        <f>G156</f>
        <v>1300</v>
      </c>
      <c r="H46" s="404">
        <f>H156</f>
        <v>1300</v>
      </c>
      <c r="I46" s="404">
        <f t="shared" ref="I46:J46" si="9">I156</f>
        <v>1300</v>
      </c>
      <c r="J46" s="404">
        <f t="shared" si="9"/>
        <v>1300</v>
      </c>
      <c r="K46" s="112"/>
    </row>
    <row r="47" spans="1:14" ht="16.5" customHeight="1" x14ac:dyDescent="0.25">
      <c r="A47" s="114" t="s">
        <v>93</v>
      </c>
      <c r="B47" s="108">
        <f t="shared" si="1"/>
        <v>14</v>
      </c>
      <c r="C47" s="110" t="s">
        <v>143</v>
      </c>
      <c r="D47" s="113"/>
      <c r="E47" s="216"/>
      <c r="F47" s="245">
        <f t="shared" si="3"/>
        <v>0</v>
      </c>
      <c r="G47" s="260"/>
      <c r="H47" s="260"/>
      <c r="I47" s="260"/>
      <c r="J47" s="260"/>
      <c r="K47" s="112"/>
    </row>
    <row r="48" spans="1:14" x14ac:dyDescent="0.25">
      <c r="A48" s="115" t="s">
        <v>144</v>
      </c>
      <c r="B48" s="108">
        <f t="shared" si="1"/>
        <v>15</v>
      </c>
      <c r="C48" s="116" t="s">
        <v>145</v>
      </c>
      <c r="D48" s="136"/>
      <c r="E48" s="240"/>
      <c r="F48" s="245">
        <f t="shared" si="3"/>
        <v>0</v>
      </c>
      <c r="G48" s="261"/>
      <c r="H48" s="261"/>
      <c r="I48" s="261"/>
      <c r="J48" s="261"/>
      <c r="K48" s="118"/>
    </row>
    <row r="49" spans="1:11" ht="38.25" x14ac:dyDescent="0.25">
      <c r="A49" s="132" t="s">
        <v>622</v>
      </c>
      <c r="B49" s="108">
        <f t="shared" si="1"/>
        <v>16</v>
      </c>
      <c r="C49" s="119" t="s">
        <v>146</v>
      </c>
      <c r="D49" s="113"/>
      <c r="E49" s="216"/>
      <c r="F49" s="245">
        <f t="shared" si="3"/>
        <v>0</v>
      </c>
      <c r="G49" s="260"/>
      <c r="H49" s="260"/>
      <c r="I49" s="260"/>
      <c r="J49" s="260"/>
      <c r="K49" s="112"/>
    </row>
    <row r="50" spans="1:11" ht="40.5" x14ac:dyDescent="0.25">
      <c r="A50" s="109" t="s">
        <v>147</v>
      </c>
      <c r="B50" s="120">
        <f t="shared" si="1"/>
        <v>17</v>
      </c>
      <c r="C50" s="110" t="s">
        <v>148</v>
      </c>
      <c r="D50" s="113"/>
      <c r="E50" s="216"/>
      <c r="F50" s="245">
        <f t="shared" si="3"/>
        <v>0</v>
      </c>
      <c r="G50" s="260"/>
      <c r="H50" s="260"/>
      <c r="I50" s="260"/>
      <c r="J50" s="260"/>
      <c r="K50" s="112"/>
    </row>
    <row r="51" spans="1:11" x14ac:dyDescent="0.25">
      <c r="A51" s="111" t="s">
        <v>623</v>
      </c>
      <c r="B51" s="108">
        <v>18</v>
      </c>
      <c r="C51" s="105">
        <v>1070</v>
      </c>
      <c r="D51" s="121"/>
      <c r="E51" s="239"/>
      <c r="F51" s="245">
        <v>116759.5</v>
      </c>
      <c r="G51" s="239"/>
      <c r="H51" s="239"/>
      <c r="I51" s="239"/>
      <c r="J51" s="239"/>
      <c r="K51" s="106"/>
    </row>
    <row r="52" spans="1:11" ht="26.25" thickBot="1" x14ac:dyDescent="0.3">
      <c r="A52" s="107" t="s">
        <v>624</v>
      </c>
      <c r="B52" s="122">
        <v>19</v>
      </c>
      <c r="C52" s="265">
        <v>1080</v>
      </c>
      <c r="D52" s="123"/>
      <c r="E52" s="241"/>
      <c r="F52" s="314">
        <v>0</v>
      </c>
      <c r="G52" s="241"/>
      <c r="H52" s="241"/>
      <c r="I52" s="241"/>
      <c r="J52" s="241"/>
      <c r="K52" s="124"/>
    </row>
    <row r="53" spans="1:11" ht="15.75" thickBot="1" x14ac:dyDescent="0.3">
      <c r="A53" s="125" t="s">
        <v>107</v>
      </c>
      <c r="B53" s="126">
        <v>20</v>
      </c>
      <c r="C53" s="94">
        <v>1100</v>
      </c>
      <c r="D53" s="96"/>
      <c r="E53" s="96"/>
      <c r="F53" s="127">
        <f t="shared" si="3"/>
        <v>156908.5</v>
      </c>
      <c r="G53" s="96">
        <f>G54+G69+G107+G96</f>
        <v>37223.9</v>
      </c>
      <c r="H53" s="96">
        <f>H54+H69+H107+H96</f>
        <v>39461.100000000006</v>
      </c>
      <c r="I53" s="96">
        <f>I54+I69+I107+I96</f>
        <v>40353.100000000006</v>
      </c>
      <c r="J53" s="96">
        <f>J54+J69+J107+J96</f>
        <v>39870.400000000001</v>
      </c>
      <c r="K53" s="97"/>
    </row>
    <row r="54" spans="1:11" ht="15.75" thickBot="1" x14ac:dyDescent="0.3">
      <c r="A54" s="232" t="s">
        <v>220</v>
      </c>
      <c r="B54" s="126">
        <f t="shared" si="1"/>
        <v>21</v>
      </c>
      <c r="C54" s="94">
        <v>1110</v>
      </c>
      <c r="D54" s="96"/>
      <c r="E54" s="133"/>
      <c r="F54" s="127">
        <f t="shared" ref="F54:J54" si="10">SUM(F55:F64)</f>
        <v>314.39999999999998</v>
      </c>
      <c r="G54" s="97">
        <f t="shared" si="10"/>
        <v>78</v>
      </c>
      <c r="H54" s="96">
        <f t="shared" si="10"/>
        <v>78</v>
      </c>
      <c r="I54" s="96">
        <f t="shared" si="10"/>
        <v>78</v>
      </c>
      <c r="J54" s="96">
        <f t="shared" si="10"/>
        <v>80.400000000000006</v>
      </c>
      <c r="K54" s="96"/>
    </row>
    <row r="55" spans="1:11" x14ac:dyDescent="0.25">
      <c r="A55" s="107" t="s">
        <v>90</v>
      </c>
      <c r="B55" s="104">
        <f t="shared" si="1"/>
        <v>22</v>
      </c>
      <c r="C55" s="105" t="s">
        <v>110</v>
      </c>
      <c r="D55" s="121"/>
      <c r="E55" s="242"/>
      <c r="F55" s="222">
        <f t="shared" si="3"/>
        <v>245.09999999999997</v>
      </c>
      <c r="G55" s="239">
        <v>60.8</v>
      </c>
      <c r="H55" s="239">
        <v>60.8</v>
      </c>
      <c r="I55" s="239">
        <v>60.8</v>
      </c>
      <c r="J55" s="239">
        <v>62.7</v>
      </c>
      <c r="K55" s="121"/>
    </row>
    <row r="56" spans="1:11" x14ac:dyDescent="0.25">
      <c r="A56" s="111" t="s">
        <v>91</v>
      </c>
      <c r="B56" s="108">
        <f t="shared" si="1"/>
        <v>23</v>
      </c>
      <c r="C56" s="105" t="s">
        <v>111</v>
      </c>
      <c r="D56" s="113"/>
      <c r="E56" s="243"/>
      <c r="F56" s="215">
        <f>SUM(G56:J56)</f>
        <v>69.3</v>
      </c>
      <c r="G56" s="216">
        <v>17.2</v>
      </c>
      <c r="H56" s="216">
        <v>17.2</v>
      </c>
      <c r="I56" s="216">
        <v>17.2</v>
      </c>
      <c r="J56" s="216">
        <v>17.7</v>
      </c>
      <c r="K56" s="113"/>
    </row>
    <row r="57" spans="1:11" x14ac:dyDescent="0.25">
      <c r="A57" s="111" t="s">
        <v>149</v>
      </c>
      <c r="B57" s="108">
        <f t="shared" si="1"/>
        <v>24</v>
      </c>
      <c r="C57" s="105" t="s">
        <v>153</v>
      </c>
      <c r="D57" s="113"/>
      <c r="E57" s="243"/>
      <c r="F57" s="215">
        <f t="shared" si="3"/>
        <v>0</v>
      </c>
      <c r="G57" s="216"/>
      <c r="H57" s="216"/>
      <c r="I57" s="216"/>
      <c r="J57" s="216"/>
      <c r="K57" s="113"/>
    </row>
    <row r="58" spans="1:11" x14ac:dyDescent="0.25">
      <c r="A58" s="111" t="s">
        <v>46</v>
      </c>
      <c r="B58" s="108">
        <f t="shared" si="1"/>
        <v>25</v>
      </c>
      <c r="C58" s="105" t="s">
        <v>154</v>
      </c>
      <c r="D58" s="113"/>
      <c r="E58" s="243"/>
      <c r="F58" s="215">
        <f t="shared" si="3"/>
        <v>0</v>
      </c>
      <c r="G58" s="216"/>
      <c r="H58" s="216"/>
      <c r="I58" s="216"/>
      <c r="J58" s="216"/>
      <c r="K58" s="113"/>
    </row>
    <row r="59" spans="1:11" x14ac:dyDescent="0.25">
      <c r="A59" s="111" t="s">
        <v>47</v>
      </c>
      <c r="B59" s="108">
        <f t="shared" si="1"/>
        <v>26</v>
      </c>
      <c r="C59" s="105" t="s">
        <v>155</v>
      </c>
      <c r="D59" s="207"/>
      <c r="E59" s="244"/>
      <c r="F59" s="215">
        <f t="shared" si="3"/>
        <v>0</v>
      </c>
      <c r="G59" s="216"/>
      <c r="H59" s="216"/>
      <c r="I59" s="216"/>
      <c r="J59" s="216"/>
      <c r="K59" s="113"/>
    </row>
    <row r="60" spans="1:11" x14ac:dyDescent="0.25">
      <c r="A60" s="111" t="s">
        <v>150</v>
      </c>
      <c r="B60" s="108">
        <f t="shared" si="1"/>
        <v>27</v>
      </c>
      <c r="C60" s="105" t="s">
        <v>156</v>
      </c>
      <c r="D60" s="207"/>
      <c r="E60" s="244"/>
      <c r="F60" s="215">
        <f t="shared" si="3"/>
        <v>0</v>
      </c>
      <c r="G60" s="216"/>
      <c r="H60" s="216"/>
      <c r="I60" s="216"/>
      <c r="J60" s="216"/>
      <c r="K60" s="113"/>
    </row>
    <row r="61" spans="1:11" x14ac:dyDescent="0.25">
      <c r="A61" s="111" t="s">
        <v>101</v>
      </c>
      <c r="B61" s="108">
        <f t="shared" si="1"/>
        <v>28</v>
      </c>
      <c r="C61" s="105" t="s">
        <v>157</v>
      </c>
      <c r="D61" s="207"/>
      <c r="E61" s="243"/>
      <c r="F61" s="215">
        <f t="shared" si="3"/>
        <v>0</v>
      </c>
      <c r="G61" s="216"/>
      <c r="H61" s="216"/>
      <c r="I61" s="216"/>
      <c r="J61" s="216"/>
      <c r="K61" s="113"/>
    </row>
    <row r="62" spans="1:11" x14ac:dyDescent="0.25">
      <c r="A62" s="111" t="s">
        <v>102</v>
      </c>
      <c r="B62" s="108">
        <f t="shared" si="1"/>
        <v>29</v>
      </c>
      <c r="C62" s="105" t="s">
        <v>158</v>
      </c>
      <c r="D62" s="207"/>
      <c r="E62" s="243"/>
      <c r="F62" s="215">
        <f t="shared" si="3"/>
        <v>0</v>
      </c>
      <c r="G62" s="216"/>
      <c r="H62" s="216"/>
      <c r="I62" s="216"/>
      <c r="J62" s="216"/>
      <c r="K62" s="113"/>
    </row>
    <row r="63" spans="1:11" x14ac:dyDescent="0.25">
      <c r="A63" s="111" t="s">
        <v>48</v>
      </c>
      <c r="B63" s="108">
        <f t="shared" si="1"/>
        <v>30</v>
      </c>
      <c r="C63" s="105" t="s">
        <v>159</v>
      </c>
      <c r="D63" s="207"/>
      <c r="E63" s="243"/>
      <c r="F63" s="215">
        <f t="shared" si="3"/>
        <v>0</v>
      </c>
      <c r="G63" s="216"/>
      <c r="H63" s="216"/>
      <c r="I63" s="216"/>
      <c r="J63" s="216"/>
      <c r="K63" s="113"/>
    </row>
    <row r="64" spans="1:11" x14ac:dyDescent="0.25">
      <c r="A64" s="111" t="s">
        <v>151</v>
      </c>
      <c r="B64" s="108">
        <f t="shared" si="1"/>
        <v>31</v>
      </c>
      <c r="C64" s="105" t="s">
        <v>160</v>
      </c>
      <c r="D64" s="207"/>
      <c r="E64" s="243"/>
      <c r="F64" s="215">
        <f t="shared" si="3"/>
        <v>0</v>
      </c>
      <c r="G64" s="216"/>
      <c r="H64" s="216"/>
      <c r="I64" s="216"/>
      <c r="J64" s="216"/>
      <c r="K64" s="113"/>
    </row>
    <row r="65" spans="1:16" x14ac:dyDescent="0.25">
      <c r="A65" s="111" t="s">
        <v>625</v>
      </c>
      <c r="B65" s="108">
        <v>32</v>
      </c>
      <c r="C65" s="105" t="s">
        <v>626</v>
      </c>
      <c r="D65" s="207"/>
      <c r="E65" s="243"/>
      <c r="F65" s="215"/>
      <c r="G65" s="216"/>
      <c r="H65" s="216"/>
      <c r="I65" s="216"/>
      <c r="J65" s="216"/>
      <c r="K65" s="113"/>
    </row>
    <row r="66" spans="1:16" x14ac:dyDescent="0.25">
      <c r="A66" s="137" t="s">
        <v>103</v>
      </c>
      <c r="B66" s="108">
        <v>33</v>
      </c>
      <c r="C66" s="130" t="s">
        <v>627</v>
      </c>
      <c r="D66" s="208"/>
      <c r="E66" s="239"/>
      <c r="F66" s="262">
        <f t="shared" ref="F66:F68" si="11">G66+H66+I66+J66</f>
        <v>0</v>
      </c>
      <c r="G66" s="259"/>
      <c r="H66" s="239"/>
      <c r="I66" s="239"/>
      <c r="J66" s="239"/>
      <c r="K66" s="121"/>
    </row>
    <row r="67" spans="1:16" x14ac:dyDescent="0.25">
      <c r="A67" s="132" t="s">
        <v>104</v>
      </c>
      <c r="B67" s="108">
        <v>34</v>
      </c>
      <c r="C67" s="131" t="s">
        <v>628</v>
      </c>
      <c r="D67" s="207"/>
      <c r="E67" s="216"/>
      <c r="F67" s="215">
        <f t="shared" si="11"/>
        <v>0</v>
      </c>
      <c r="G67" s="260"/>
      <c r="H67" s="216"/>
      <c r="I67" s="216"/>
      <c r="J67" s="216"/>
      <c r="K67" s="113"/>
    </row>
    <row r="68" spans="1:16" ht="15.75" thickBot="1" x14ac:dyDescent="0.3">
      <c r="A68" s="132" t="s">
        <v>105</v>
      </c>
      <c r="B68" s="122">
        <v>35</v>
      </c>
      <c r="C68" s="131" t="s">
        <v>629</v>
      </c>
      <c r="D68" s="207"/>
      <c r="E68" s="216"/>
      <c r="F68" s="129">
        <f t="shared" si="11"/>
        <v>0</v>
      </c>
      <c r="G68" s="112"/>
      <c r="H68" s="113"/>
      <c r="I68" s="113"/>
      <c r="J68" s="113"/>
      <c r="K68" s="113"/>
    </row>
    <row r="69" spans="1:16" ht="15.75" thickBot="1" x14ac:dyDescent="0.3">
      <c r="A69" s="125" t="s">
        <v>630</v>
      </c>
      <c r="B69" s="126">
        <v>36</v>
      </c>
      <c r="C69" s="94">
        <v>1120</v>
      </c>
      <c r="D69" s="96"/>
      <c r="E69" s="133"/>
      <c r="F69" s="127">
        <f t="shared" si="3"/>
        <v>144824.9</v>
      </c>
      <c r="G69" s="97">
        <f>SUM(G70:G72,G78:G80,G91:G95)</f>
        <v>34203.599999999999</v>
      </c>
      <c r="H69" s="96">
        <f>SUM(H70:H72,H78:H80,H91:H95)</f>
        <v>36440.800000000003</v>
      </c>
      <c r="I69" s="96">
        <f>SUM(I70:I72,I78:I80,I91:I95)</f>
        <v>37332.800000000003</v>
      </c>
      <c r="J69" s="96">
        <f>SUM(J70:J71,J72,J78:J80,J91:J95)</f>
        <v>36847.699999999997</v>
      </c>
      <c r="K69" s="96"/>
    </row>
    <row r="70" spans="1:16" x14ac:dyDescent="0.25">
      <c r="A70" s="107" t="s">
        <v>90</v>
      </c>
      <c r="B70" s="104">
        <f t="shared" si="1"/>
        <v>37</v>
      </c>
      <c r="C70" s="105" t="s">
        <v>631</v>
      </c>
      <c r="D70" s="121"/>
      <c r="E70" s="242"/>
      <c r="F70" s="222">
        <f t="shared" si="3"/>
        <v>104363.49999999999</v>
      </c>
      <c r="G70" s="239">
        <v>26060.1</v>
      </c>
      <c r="H70" s="239">
        <v>26060.1</v>
      </c>
      <c r="I70" s="239">
        <v>26060.1</v>
      </c>
      <c r="J70" s="239">
        <v>26183.200000000001</v>
      </c>
      <c r="K70" s="121"/>
      <c r="L70" s="257"/>
      <c r="M70" s="257"/>
      <c r="N70" s="257"/>
      <c r="O70" s="257"/>
      <c r="P70" s="257"/>
    </row>
    <row r="71" spans="1:16" x14ac:dyDescent="0.25">
      <c r="A71" s="111" t="s">
        <v>91</v>
      </c>
      <c r="B71" s="108">
        <f t="shared" si="1"/>
        <v>38</v>
      </c>
      <c r="C71" s="105" t="s">
        <v>632</v>
      </c>
      <c r="D71" s="113"/>
      <c r="E71" s="243"/>
      <c r="F71" s="215">
        <f t="shared" si="3"/>
        <v>22959.899999999998</v>
      </c>
      <c r="G71" s="216">
        <v>5733.2</v>
      </c>
      <c r="H71" s="216">
        <v>5733.2</v>
      </c>
      <c r="I71" s="216">
        <v>5733.2</v>
      </c>
      <c r="J71" s="216">
        <v>5760.3</v>
      </c>
      <c r="K71" s="113"/>
      <c r="L71" s="257"/>
      <c r="M71" s="257"/>
      <c r="N71" s="257"/>
      <c r="O71" s="257"/>
      <c r="P71" s="257"/>
    </row>
    <row r="72" spans="1:16" x14ac:dyDescent="0.25">
      <c r="A72" s="111" t="s">
        <v>149</v>
      </c>
      <c r="B72" s="108">
        <f t="shared" si="1"/>
        <v>39</v>
      </c>
      <c r="C72" s="105" t="s">
        <v>633</v>
      </c>
      <c r="D72" s="113"/>
      <c r="E72" s="243"/>
      <c r="F72" s="215">
        <f t="shared" si="3"/>
        <v>894.7</v>
      </c>
      <c r="G72" s="216">
        <f>SUM(G73:G77)</f>
        <v>232.5</v>
      </c>
      <c r="H72" s="216">
        <f>SUM(H73:H77)</f>
        <v>222.5</v>
      </c>
      <c r="I72" s="216">
        <f>SUM(I73:I77)</f>
        <v>222.5</v>
      </c>
      <c r="J72" s="216">
        <f>SUM(J73:J77)</f>
        <v>217.2</v>
      </c>
      <c r="K72" s="113"/>
    </row>
    <row r="73" spans="1:16" x14ac:dyDescent="0.25">
      <c r="A73" s="132" t="s">
        <v>119</v>
      </c>
      <c r="B73" s="108">
        <f t="shared" si="1"/>
        <v>40</v>
      </c>
      <c r="C73" s="130" t="s">
        <v>634</v>
      </c>
      <c r="D73" s="268"/>
      <c r="E73" s="269"/>
      <c r="F73" s="270">
        <f t="shared" si="3"/>
        <v>0</v>
      </c>
      <c r="G73" s="271"/>
      <c r="H73" s="271"/>
      <c r="I73" s="271"/>
      <c r="J73" s="271"/>
      <c r="K73" s="113"/>
    </row>
    <row r="74" spans="1:16" x14ac:dyDescent="0.25">
      <c r="A74" s="132" t="s">
        <v>99</v>
      </c>
      <c r="B74" s="108">
        <f t="shared" si="1"/>
        <v>41</v>
      </c>
      <c r="C74" s="130" t="s">
        <v>635</v>
      </c>
      <c r="D74" s="268"/>
      <c r="E74" s="269"/>
      <c r="F74" s="270">
        <f t="shared" si="3"/>
        <v>202.3</v>
      </c>
      <c r="G74" s="271">
        <v>50.5</v>
      </c>
      <c r="H74" s="271">
        <v>50.5</v>
      </c>
      <c r="I74" s="271">
        <v>50.5</v>
      </c>
      <c r="J74" s="271">
        <v>50.8</v>
      </c>
      <c r="K74" s="113" t="s">
        <v>790</v>
      </c>
    </row>
    <row r="75" spans="1:16" x14ac:dyDescent="0.25">
      <c r="A75" s="132" t="s">
        <v>94</v>
      </c>
      <c r="B75" s="108">
        <f t="shared" si="1"/>
        <v>42</v>
      </c>
      <c r="C75" s="130" t="s">
        <v>636</v>
      </c>
      <c r="D75" s="268"/>
      <c r="E75" s="269"/>
      <c r="F75" s="270">
        <f t="shared" si="3"/>
        <v>50</v>
      </c>
      <c r="G75" s="271">
        <v>20</v>
      </c>
      <c r="H75" s="271">
        <v>10</v>
      </c>
      <c r="I75" s="271">
        <v>10</v>
      </c>
      <c r="J75" s="271">
        <v>10</v>
      </c>
      <c r="K75" s="113" t="s">
        <v>790</v>
      </c>
    </row>
    <row r="76" spans="1:16" ht="16.5" customHeight="1" x14ac:dyDescent="0.25">
      <c r="A76" s="132" t="s">
        <v>116</v>
      </c>
      <c r="B76" s="108">
        <f t="shared" si="1"/>
        <v>43</v>
      </c>
      <c r="C76" s="130" t="s">
        <v>637</v>
      </c>
      <c r="D76" s="268"/>
      <c r="E76" s="269"/>
      <c r="F76" s="270">
        <f t="shared" si="3"/>
        <v>642.4</v>
      </c>
      <c r="G76" s="271">
        <v>162</v>
      </c>
      <c r="H76" s="271">
        <v>162</v>
      </c>
      <c r="I76" s="271">
        <v>162</v>
      </c>
      <c r="J76" s="271">
        <v>156.4</v>
      </c>
      <c r="K76" s="113" t="s">
        <v>791</v>
      </c>
    </row>
    <row r="77" spans="1:16" x14ac:dyDescent="0.25">
      <c r="A77" s="132" t="s">
        <v>117</v>
      </c>
      <c r="B77" s="108">
        <f t="shared" si="1"/>
        <v>44</v>
      </c>
      <c r="C77" s="130" t="s">
        <v>638</v>
      </c>
      <c r="D77" s="268"/>
      <c r="E77" s="269"/>
      <c r="F77" s="270">
        <f t="shared" si="3"/>
        <v>0</v>
      </c>
      <c r="G77" s="271"/>
      <c r="H77" s="271"/>
      <c r="I77" s="271"/>
      <c r="J77" s="271"/>
      <c r="K77" s="113"/>
    </row>
    <row r="78" spans="1:16" x14ac:dyDescent="0.25">
      <c r="A78" s="111" t="s">
        <v>46</v>
      </c>
      <c r="B78" s="108">
        <f t="shared" si="1"/>
        <v>45</v>
      </c>
      <c r="C78" s="105" t="s">
        <v>639</v>
      </c>
      <c r="D78" s="113"/>
      <c r="E78" s="243"/>
      <c r="F78" s="215">
        <f t="shared" si="3"/>
        <v>1358</v>
      </c>
      <c r="G78" s="216">
        <v>339</v>
      </c>
      <c r="H78" s="216">
        <v>339</v>
      </c>
      <c r="I78" s="216">
        <v>340</v>
      </c>
      <c r="J78" s="216">
        <v>340</v>
      </c>
      <c r="K78" s="113" t="s">
        <v>795</v>
      </c>
    </row>
    <row r="79" spans="1:16" x14ac:dyDescent="0.25">
      <c r="A79" s="111" t="s">
        <v>47</v>
      </c>
      <c r="B79" s="108">
        <f t="shared" si="1"/>
        <v>46</v>
      </c>
      <c r="C79" s="105" t="s">
        <v>640</v>
      </c>
      <c r="D79" s="207"/>
      <c r="E79" s="244"/>
      <c r="F79" s="215">
        <f t="shared" si="3"/>
        <v>0</v>
      </c>
      <c r="G79" s="216"/>
      <c r="H79" s="216"/>
      <c r="I79" s="216"/>
      <c r="J79" s="216"/>
      <c r="K79" s="113"/>
    </row>
    <row r="80" spans="1:16" x14ac:dyDescent="0.25">
      <c r="A80" s="111" t="s">
        <v>150</v>
      </c>
      <c r="B80" s="108">
        <f t="shared" si="1"/>
        <v>47</v>
      </c>
      <c r="C80" s="105" t="s">
        <v>641</v>
      </c>
      <c r="D80" s="207"/>
      <c r="E80" s="244"/>
      <c r="F80" s="215">
        <f t="shared" si="3"/>
        <v>2853.8</v>
      </c>
      <c r="G80" s="216">
        <f>SUM(G81:G90)</f>
        <v>487.8</v>
      </c>
      <c r="H80" s="216">
        <f>SUM(H81:H90)</f>
        <v>434</v>
      </c>
      <c r="I80" s="216">
        <f>SUM(I81:I90)</f>
        <v>1236</v>
      </c>
      <c r="J80" s="216">
        <f>SUM(J81:J90)</f>
        <v>696</v>
      </c>
      <c r="K80" s="113" t="s">
        <v>789</v>
      </c>
    </row>
    <row r="81" spans="1:11" x14ac:dyDescent="0.25">
      <c r="A81" s="132" t="s">
        <v>120</v>
      </c>
      <c r="B81" s="108">
        <f t="shared" si="1"/>
        <v>48</v>
      </c>
      <c r="C81" s="130" t="s">
        <v>642</v>
      </c>
      <c r="D81" s="207"/>
      <c r="E81" s="244"/>
      <c r="F81" s="270">
        <f t="shared" si="3"/>
        <v>100</v>
      </c>
      <c r="G81" s="271">
        <v>25</v>
      </c>
      <c r="H81" s="271">
        <v>25</v>
      </c>
      <c r="I81" s="271">
        <v>25</v>
      </c>
      <c r="J81" s="271">
        <v>25</v>
      </c>
      <c r="K81" s="113"/>
    </row>
    <row r="82" spans="1:11" x14ac:dyDescent="0.25">
      <c r="A82" s="132" t="s">
        <v>122</v>
      </c>
      <c r="B82" s="108">
        <f t="shared" si="1"/>
        <v>49</v>
      </c>
      <c r="C82" s="130" t="s">
        <v>643</v>
      </c>
      <c r="D82" s="207"/>
      <c r="E82" s="244"/>
      <c r="F82" s="270">
        <f t="shared" si="3"/>
        <v>150</v>
      </c>
      <c r="G82" s="271">
        <v>37</v>
      </c>
      <c r="H82" s="271">
        <v>37</v>
      </c>
      <c r="I82" s="271">
        <v>38</v>
      </c>
      <c r="J82" s="271">
        <v>38</v>
      </c>
      <c r="K82" s="113"/>
    </row>
    <row r="83" spans="1:11" x14ac:dyDescent="0.25">
      <c r="A83" s="132" t="s">
        <v>121</v>
      </c>
      <c r="B83" s="108">
        <f t="shared" si="1"/>
        <v>50</v>
      </c>
      <c r="C83" s="130" t="s">
        <v>644</v>
      </c>
      <c r="D83" s="207"/>
      <c r="E83" s="244"/>
      <c r="F83" s="270">
        <f t="shared" si="3"/>
        <v>100</v>
      </c>
      <c r="G83" s="271">
        <v>25</v>
      </c>
      <c r="H83" s="271">
        <v>25</v>
      </c>
      <c r="I83" s="271">
        <v>25</v>
      </c>
      <c r="J83" s="271">
        <v>25</v>
      </c>
      <c r="K83" s="113"/>
    </row>
    <row r="84" spans="1:11" x14ac:dyDescent="0.25">
      <c r="A84" s="132" t="s">
        <v>95</v>
      </c>
      <c r="B84" s="108">
        <f t="shared" si="1"/>
        <v>51</v>
      </c>
      <c r="C84" s="130" t="s">
        <v>645</v>
      </c>
      <c r="D84" s="207"/>
      <c r="E84" s="244"/>
      <c r="F84" s="270">
        <f t="shared" si="3"/>
        <v>1710</v>
      </c>
      <c r="G84" s="271">
        <v>200</v>
      </c>
      <c r="H84" s="271">
        <v>150</v>
      </c>
      <c r="I84" s="271">
        <v>950</v>
      </c>
      <c r="J84" s="271">
        <v>410</v>
      </c>
      <c r="K84" s="113"/>
    </row>
    <row r="85" spans="1:11" x14ac:dyDescent="0.25">
      <c r="A85" s="132" t="s">
        <v>96</v>
      </c>
      <c r="B85" s="108">
        <f t="shared" si="1"/>
        <v>52</v>
      </c>
      <c r="C85" s="130" t="s">
        <v>646</v>
      </c>
      <c r="D85" s="207"/>
      <c r="E85" s="244"/>
      <c r="F85" s="270">
        <f t="shared" si="3"/>
        <v>23.8</v>
      </c>
      <c r="G85" s="271">
        <v>8.8000000000000007</v>
      </c>
      <c r="H85" s="271">
        <v>5</v>
      </c>
      <c r="I85" s="271">
        <v>5</v>
      </c>
      <c r="J85" s="271">
        <v>5</v>
      </c>
      <c r="K85" s="113" t="s">
        <v>794</v>
      </c>
    </row>
    <row r="86" spans="1:11" ht="25.5" x14ac:dyDescent="0.25">
      <c r="A86" s="132" t="s">
        <v>108</v>
      </c>
      <c r="B86" s="233">
        <f t="shared" si="1"/>
        <v>53</v>
      </c>
      <c r="C86" s="234" t="s">
        <v>647</v>
      </c>
      <c r="D86" s="207"/>
      <c r="E86" s="244"/>
      <c r="F86" s="270">
        <f t="shared" si="3"/>
        <v>525</v>
      </c>
      <c r="G86" s="271">
        <v>131</v>
      </c>
      <c r="H86" s="271">
        <v>131</v>
      </c>
      <c r="I86" s="271">
        <v>132</v>
      </c>
      <c r="J86" s="271">
        <v>131</v>
      </c>
      <c r="K86" s="113"/>
    </row>
    <row r="87" spans="1:11" x14ac:dyDescent="0.25">
      <c r="A87" s="132" t="s">
        <v>97</v>
      </c>
      <c r="B87" s="108">
        <f t="shared" si="1"/>
        <v>54</v>
      </c>
      <c r="C87" s="130" t="s">
        <v>648</v>
      </c>
      <c r="D87" s="207"/>
      <c r="E87" s="244"/>
      <c r="F87" s="270">
        <f t="shared" si="3"/>
        <v>50</v>
      </c>
      <c r="G87" s="271">
        <v>13</v>
      </c>
      <c r="H87" s="271">
        <v>13</v>
      </c>
      <c r="I87" s="271">
        <v>12</v>
      </c>
      <c r="J87" s="271">
        <v>12</v>
      </c>
      <c r="K87" s="113"/>
    </row>
    <row r="88" spans="1:11" x14ac:dyDescent="0.25">
      <c r="A88" s="132" t="s">
        <v>98</v>
      </c>
      <c r="B88" s="108">
        <f t="shared" si="1"/>
        <v>55</v>
      </c>
      <c r="C88" s="130" t="s">
        <v>649</v>
      </c>
      <c r="D88" s="207"/>
      <c r="E88" s="244"/>
      <c r="F88" s="270">
        <f t="shared" si="3"/>
        <v>20</v>
      </c>
      <c r="G88" s="271">
        <v>5</v>
      </c>
      <c r="H88" s="271">
        <v>5</v>
      </c>
      <c r="I88" s="271">
        <v>5</v>
      </c>
      <c r="J88" s="271">
        <v>5</v>
      </c>
      <c r="K88" s="113"/>
    </row>
    <row r="89" spans="1:11" x14ac:dyDescent="0.25">
      <c r="A89" s="132" t="s">
        <v>100</v>
      </c>
      <c r="B89" s="108">
        <f t="shared" si="1"/>
        <v>56</v>
      </c>
      <c r="C89" s="130" t="s">
        <v>650</v>
      </c>
      <c r="D89" s="207"/>
      <c r="E89" s="244"/>
      <c r="F89" s="270">
        <f t="shared" si="3"/>
        <v>0</v>
      </c>
      <c r="G89" s="271"/>
      <c r="H89" s="271"/>
      <c r="I89" s="271"/>
      <c r="J89" s="271"/>
      <c r="K89" s="113"/>
    </row>
    <row r="90" spans="1:11" x14ac:dyDescent="0.25">
      <c r="A90" s="132" t="s">
        <v>117</v>
      </c>
      <c r="B90" s="108">
        <f t="shared" si="1"/>
        <v>57</v>
      </c>
      <c r="C90" s="130" t="s">
        <v>651</v>
      </c>
      <c r="D90" s="207"/>
      <c r="E90" s="244"/>
      <c r="F90" s="270">
        <f t="shared" si="3"/>
        <v>175</v>
      </c>
      <c r="G90" s="271">
        <f>12+31</f>
        <v>43</v>
      </c>
      <c r="H90" s="271">
        <f>12+31</f>
        <v>43</v>
      </c>
      <c r="I90" s="271">
        <f>13+31</f>
        <v>44</v>
      </c>
      <c r="J90" s="271">
        <f>13+32</f>
        <v>45</v>
      </c>
      <c r="K90" s="113"/>
    </row>
    <row r="91" spans="1:11" x14ac:dyDescent="0.25">
      <c r="A91" s="111" t="s">
        <v>101</v>
      </c>
      <c r="B91" s="108">
        <f t="shared" si="1"/>
        <v>58</v>
      </c>
      <c r="C91" s="105" t="s">
        <v>652</v>
      </c>
      <c r="D91" s="207"/>
      <c r="E91" s="243"/>
      <c r="F91" s="215">
        <f t="shared" si="3"/>
        <v>5</v>
      </c>
      <c r="G91" s="216">
        <v>1</v>
      </c>
      <c r="H91" s="216">
        <v>2</v>
      </c>
      <c r="I91" s="216">
        <v>1</v>
      </c>
      <c r="J91" s="216">
        <v>1</v>
      </c>
      <c r="K91" s="113"/>
    </row>
    <row r="92" spans="1:11" x14ac:dyDescent="0.25">
      <c r="A92" s="111" t="s">
        <v>102</v>
      </c>
      <c r="B92" s="108">
        <f t="shared" si="1"/>
        <v>59</v>
      </c>
      <c r="C92" s="105" t="s">
        <v>653</v>
      </c>
      <c r="D92" s="207"/>
      <c r="E92" s="243"/>
      <c r="F92" s="215">
        <f t="shared" si="3"/>
        <v>0</v>
      </c>
      <c r="G92" s="216"/>
      <c r="H92" s="216"/>
      <c r="I92" s="216"/>
      <c r="J92" s="216"/>
      <c r="K92" s="113"/>
    </row>
    <row r="93" spans="1:11" x14ac:dyDescent="0.25">
      <c r="A93" s="111" t="s">
        <v>48</v>
      </c>
      <c r="B93" s="108">
        <f t="shared" si="1"/>
        <v>60</v>
      </c>
      <c r="C93" s="105" t="s">
        <v>654</v>
      </c>
      <c r="D93" s="207"/>
      <c r="E93" s="243"/>
      <c r="F93" s="215">
        <f t="shared" si="3"/>
        <v>0</v>
      </c>
      <c r="G93" s="216"/>
      <c r="H93" s="216"/>
      <c r="I93" s="216"/>
      <c r="J93" s="216"/>
      <c r="K93" s="113"/>
    </row>
    <row r="94" spans="1:11" x14ac:dyDescent="0.25">
      <c r="A94" s="111" t="s">
        <v>151</v>
      </c>
      <c r="B94" s="108">
        <f t="shared" si="1"/>
        <v>61</v>
      </c>
      <c r="C94" s="105" t="s">
        <v>655</v>
      </c>
      <c r="D94" s="207"/>
      <c r="E94" s="243"/>
      <c r="F94" s="215">
        <f t="shared" si="3"/>
        <v>0</v>
      </c>
      <c r="G94" s="216"/>
      <c r="H94" s="216"/>
      <c r="I94" s="216"/>
      <c r="J94" s="216"/>
      <c r="K94" s="113"/>
    </row>
    <row r="95" spans="1:11" ht="15.75" thickBot="1" x14ac:dyDescent="0.3">
      <c r="A95" s="111" t="s">
        <v>152</v>
      </c>
      <c r="B95" s="108">
        <f t="shared" si="1"/>
        <v>62</v>
      </c>
      <c r="C95" s="105" t="s">
        <v>656</v>
      </c>
      <c r="D95" s="207"/>
      <c r="E95" s="243"/>
      <c r="F95" s="215">
        <f>G95+H95+I95+J95</f>
        <v>12390</v>
      </c>
      <c r="G95" s="216">
        <v>1350</v>
      </c>
      <c r="H95" s="216">
        <v>3650</v>
      </c>
      <c r="I95" s="216">
        <v>3740</v>
      </c>
      <c r="J95" s="216">
        <v>3650</v>
      </c>
      <c r="K95" s="113"/>
    </row>
    <row r="96" spans="1:11" ht="15.75" thickBot="1" x14ac:dyDescent="0.3">
      <c r="A96" s="125" t="s">
        <v>106</v>
      </c>
      <c r="B96" s="126">
        <f>B95+1</f>
        <v>63</v>
      </c>
      <c r="C96" s="94">
        <v>1130</v>
      </c>
      <c r="D96" s="96"/>
      <c r="E96" s="133"/>
      <c r="F96" s="127">
        <f t="shared" si="3"/>
        <v>0</v>
      </c>
      <c r="G96" s="97">
        <f>SUM(G97:G106)</f>
        <v>0</v>
      </c>
      <c r="H96" s="96">
        <f>SUM(H97:H106)</f>
        <v>0</v>
      </c>
      <c r="I96" s="96">
        <f>SUM(I97:I106)</f>
        <v>0</v>
      </c>
      <c r="J96" s="96">
        <f>SUM(J97:J106)</f>
        <v>0</v>
      </c>
      <c r="K96" s="96"/>
    </row>
    <row r="97" spans="1:17" x14ac:dyDescent="0.25">
      <c r="A97" s="107" t="s">
        <v>90</v>
      </c>
      <c r="B97" s="104">
        <f t="shared" si="1"/>
        <v>64</v>
      </c>
      <c r="C97" s="105" t="s">
        <v>163</v>
      </c>
      <c r="D97" s="121"/>
      <c r="E97" s="242"/>
      <c r="F97" s="222">
        <f t="shared" si="3"/>
        <v>0</v>
      </c>
      <c r="G97" s="239"/>
      <c r="H97" s="239"/>
      <c r="I97" s="239"/>
      <c r="J97" s="239"/>
      <c r="K97" s="121"/>
    </row>
    <row r="98" spans="1:17" x14ac:dyDescent="0.25">
      <c r="A98" s="111" t="s">
        <v>91</v>
      </c>
      <c r="B98" s="108">
        <f t="shared" si="1"/>
        <v>65</v>
      </c>
      <c r="C98" s="105" t="s">
        <v>164</v>
      </c>
      <c r="D98" s="113"/>
      <c r="E98" s="243"/>
      <c r="F98" s="215">
        <f t="shared" si="3"/>
        <v>0</v>
      </c>
      <c r="G98" s="216"/>
      <c r="H98" s="216"/>
      <c r="I98" s="216"/>
      <c r="J98" s="216"/>
      <c r="K98" s="113"/>
    </row>
    <row r="99" spans="1:17" x14ac:dyDescent="0.25">
      <c r="A99" s="111" t="s">
        <v>149</v>
      </c>
      <c r="B99" s="108">
        <f t="shared" si="1"/>
        <v>66</v>
      </c>
      <c r="C99" s="105" t="s">
        <v>165</v>
      </c>
      <c r="D99" s="113"/>
      <c r="E99" s="243"/>
      <c r="F99" s="215">
        <f t="shared" si="3"/>
        <v>0</v>
      </c>
      <c r="G99" s="216"/>
      <c r="H99" s="216"/>
      <c r="I99" s="216"/>
      <c r="J99" s="216"/>
      <c r="K99" s="113"/>
    </row>
    <row r="100" spans="1:17" x14ac:dyDescent="0.25">
      <c r="A100" s="111" t="s">
        <v>46</v>
      </c>
      <c r="B100" s="108">
        <f t="shared" ref="B100:B106" si="12">B99+1</f>
        <v>67</v>
      </c>
      <c r="C100" s="105" t="s">
        <v>166</v>
      </c>
      <c r="D100" s="113"/>
      <c r="E100" s="243"/>
      <c r="F100" s="215">
        <f t="shared" si="3"/>
        <v>0</v>
      </c>
      <c r="G100" s="216"/>
      <c r="H100" s="216"/>
      <c r="I100" s="216"/>
      <c r="J100" s="216"/>
      <c r="K100" s="113"/>
    </row>
    <row r="101" spans="1:17" x14ac:dyDescent="0.25">
      <c r="A101" s="111" t="s">
        <v>47</v>
      </c>
      <c r="B101" s="108">
        <f t="shared" si="12"/>
        <v>68</v>
      </c>
      <c r="C101" s="105" t="s">
        <v>167</v>
      </c>
      <c r="D101" s="207"/>
      <c r="E101" s="244"/>
      <c r="F101" s="215">
        <f t="shared" si="3"/>
        <v>0</v>
      </c>
      <c r="G101" s="216"/>
      <c r="H101" s="216"/>
      <c r="I101" s="216"/>
      <c r="J101" s="216"/>
      <c r="K101" s="113"/>
    </row>
    <row r="102" spans="1:17" x14ac:dyDescent="0.25">
      <c r="A102" s="111" t="s">
        <v>150</v>
      </c>
      <c r="B102" s="108">
        <f t="shared" si="12"/>
        <v>69</v>
      </c>
      <c r="C102" s="105" t="s">
        <v>168</v>
      </c>
      <c r="D102" s="207"/>
      <c r="E102" s="244"/>
      <c r="F102" s="215">
        <f t="shared" si="3"/>
        <v>0</v>
      </c>
      <c r="G102" s="216"/>
      <c r="H102" s="216"/>
      <c r="I102" s="216"/>
      <c r="J102" s="216"/>
      <c r="K102" s="113"/>
    </row>
    <row r="103" spans="1:17" x14ac:dyDescent="0.25">
      <c r="A103" s="111" t="s">
        <v>101</v>
      </c>
      <c r="B103" s="108">
        <f t="shared" si="12"/>
        <v>70</v>
      </c>
      <c r="C103" s="105" t="s">
        <v>169</v>
      </c>
      <c r="D103" s="207"/>
      <c r="E103" s="243"/>
      <c r="F103" s="215">
        <f t="shared" si="3"/>
        <v>0</v>
      </c>
      <c r="G103" s="216"/>
      <c r="H103" s="216"/>
      <c r="I103" s="216"/>
      <c r="J103" s="216"/>
      <c r="K103" s="113"/>
    </row>
    <row r="104" spans="1:17" x14ac:dyDescent="0.25">
      <c r="A104" s="111" t="s">
        <v>102</v>
      </c>
      <c r="B104" s="108">
        <f t="shared" si="12"/>
        <v>71</v>
      </c>
      <c r="C104" s="105" t="s">
        <v>170</v>
      </c>
      <c r="D104" s="207"/>
      <c r="E104" s="243"/>
      <c r="F104" s="215">
        <f t="shared" si="3"/>
        <v>0</v>
      </c>
      <c r="G104" s="216"/>
      <c r="H104" s="216"/>
      <c r="I104" s="216"/>
      <c r="J104" s="216"/>
      <c r="K104" s="113"/>
    </row>
    <row r="105" spans="1:17" x14ac:dyDescent="0.25">
      <c r="A105" s="111" t="s">
        <v>48</v>
      </c>
      <c r="B105" s="108">
        <f t="shared" si="12"/>
        <v>72</v>
      </c>
      <c r="C105" s="105" t="s">
        <v>171</v>
      </c>
      <c r="D105" s="207"/>
      <c r="E105" s="243"/>
      <c r="F105" s="215">
        <f t="shared" si="3"/>
        <v>0</v>
      </c>
      <c r="G105" s="216"/>
      <c r="H105" s="216"/>
      <c r="I105" s="216"/>
      <c r="J105" s="216"/>
      <c r="K105" s="113"/>
    </row>
    <row r="106" spans="1:17" ht="15.75" thickBot="1" x14ac:dyDescent="0.3">
      <c r="A106" s="111" t="s">
        <v>151</v>
      </c>
      <c r="B106" s="122">
        <f t="shared" si="12"/>
        <v>73</v>
      </c>
      <c r="C106" s="105" t="s">
        <v>172</v>
      </c>
      <c r="D106" s="207"/>
      <c r="E106" s="243"/>
      <c r="F106" s="215">
        <f t="shared" si="3"/>
        <v>0</v>
      </c>
      <c r="G106" s="216"/>
      <c r="H106" s="216"/>
      <c r="I106" s="216"/>
      <c r="J106" s="216"/>
      <c r="K106" s="113"/>
    </row>
    <row r="107" spans="1:17" ht="15.75" thickBot="1" x14ac:dyDescent="0.3">
      <c r="A107" s="125" t="s">
        <v>161</v>
      </c>
      <c r="B107" s="126">
        <f>B106+1</f>
        <v>74</v>
      </c>
      <c r="C107" s="94">
        <v>1140</v>
      </c>
      <c r="D107" s="133"/>
      <c r="E107" s="133"/>
      <c r="F107" s="127">
        <f t="shared" si="3"/>
        <v>11769.2</v>
      </c>
      <c r="G107" s="133">
        <f t="shared" ref="G107:J107" si="13">G108+G119+G125</f>
        <v>2942.3</v>
      </c>
      <c r="H107" s="133">
        <f t="shared" si="13"/>
        <v>2942.3</v>
      </c>
      <c r="I107" s="133">
        <f t="shared" si="13"/>
        <v>2942.3</v>
      </c>
      <c r="J107" s="133">
        <f t="shared" si="13"/>
        <v>2942.3</v>
      </c>
      <c r="K107" s="133"/>
      <c r="L107" s="257"/>
      <c r="M107" s="257"/>
      <c r="N107" s="257"/>
      <c r="O107" s="257"/>
      <c r="P107" s="257"/>
      <c r="Q107" s="257"/>
    </row>
    <row r="108" spans="1:17" ht="15.75" thickBot="1" x14ac:dyDescent="0.3">
      <c r="A108" s="125" t="s">
        <v>162</v>
      </c>
      <c r="B108" s="126">
        <f>B107+1</f>
        <v>75</v>
      </c>
      <c r="C108" s="94">
        <v>1150</v>
      </c>
      <c r="D108" s="133"/>
      <c r="E108" s="133"/>
      <c r="F108" s="127">
        <f>SUM(G108:J108)</f>
        <v>11769.2</v>
      </c>
      <c r="G108" s="133">
        <f>SUM(G109:G118)</f>
        <v>2942.3</v>
      </c>
      <c r="H108" s="133">
        <f>SUM(H109:H118)</f>
        <v>2942.3</v>
      </c>
      <c r="I108" s="133">
        <f>SUM(I109:I118)</f>
        <v>2942.3</v>
      </c>
      <c r="J108" s="133">
        <f>SUM(J109:J118)</f>
        <v>2942.3</v>
      </c>
      <c r="K108" s="133"/>
      <c r="L108" s="257"/>
      <c r="M108" s="257"/>
      <c r="N108" s="257"/>
      <c r="O108" s="257"/>
      <c r="P108" s="257"/>
      <c r="Q108" s="257"/>
    </row>
    <row r="109" spans="1:17" ht="15.75" thickBot="1" x14ac:dyDescent="0.3">
      <c r="A109" s="107" t="s">
        <v>90</v>
      </c>
      <c r="B109" s="104">
        <f>B108+1</f>
        <v>76</v>
      </c>
      <c r="C109" s="105" t="s">
        <v>112</v>
      </c>
      <c r="D109" s="208"/>
      <c r="E109" s="245"/>
      <c r="F109" s="394">
        <f t="shared" si="3"/>
        <v>942</v>
      </c>
      <c r="G109" s="403">
        <v>235.5</v>
      </c>
      <c r="H109" s="403">
        <v>235.5</v>
      </c>
      <c r="I109" s="403">
        <v>235.5</v>
      </c>
      <c r="J109" s="403">
        <v>235.5</v>
      </c>
      <c r="K109" s="103"/>
      <c r="L109" s="659"/>
      <c r="M109" s="659"/>
      <c r="N109" s="659"/>
      <c r="O109" s="659"/>
      <c r="P109" s="659"/>
      <c r="Q109" s="659"/>
    </row>
    <row r="110" spans="1:17" x14ac:dyDescent="0.25">
      <c r="A110" s="111" t="s">
        <v>91</v>
      </c>
      <c r="B110" s="108">
        <f t="shared" ref="B110:B173" si="14">B109+1</f>
        <v>77</v>
      </c>
      <c r="C110" s="105" t="s">
        <v>175</v>
      </c>
      <c r="D110" s="207"/>
      <c r="E110" s="246"/>
      <c r="F110" s="397">
        <f t="shared" si="3"/>
        <v>207.2</v>
      </c>
      <c r="G110" s="404">
        <v>51.8</v>
      </c>
      <c r="H110" s="404">
        <v>51.8</v>
      </c>
      <c r="I110" s="404">
        <v>51.8</v>
      </c>
      <c r="J110" s="404">
        <v>51.8</v>
      </c>
      <c r="K110" s="121"/>
      <c r="L110" s="257"/>
      <c r="M110" s="257"/>
      <c r="N110" s="257"/>
      <c r="O110" s="257"/>
      <c r="P110" s="257"/>
      <c r="Q110" s="257"/>
    </row>
    <row r="111" spans="1:17" x14ac:dyDescent="0.25">
      <c r="A111" s="111" t="s">
        <v>149</v>
      </c>
      <c r="B111" s="108">
        <f t="shared" si="14"/>
        <v>78</v>
      </c>
      <c r="C111" s="105" t="s">
        <v>176</v>
      </c>
      <c r="D111" s="207"/>
      <c r="E111" s="246"/>
      <c r="F111" s="397">
        <f t="shared" si="3"/>
        <v>0</v>
      </c>
      <c r="G111" s="404"/>
      <c r="H111" s="404"/>
      <c r="I111" s="404"/>
      <c r="J111" s="404"/>
      <c r="K111" s="113"/>
    </row>
    <row r="112" spans="1:17" x14ac:dyDescent="0.25">
      <c r="A112" s="111" t="s">
        <v>46</v>
      </c>
      <c r="B112" s="108">
        <f t="shared" si="14"/>
        <v>79</v>
      </c>
      <c r="C112" s="105" t="s">
        <v>657</v>
      </c>
      <c r="D112" s="207"/>
      <c r="E112" s="246"/>
      <c r="F112" s="397">
        <f t="shared" si="3"/>
        <v>0</v>
      </c>
      <c r="G112" s="404"/>
      <c r="H112" s="404"/>
      <c r="I112" s="404"/>
      <c r="J112" s="404"/>
      <c r="K112" s="113"/>
    </row>
    <row r="113" spans="1:11" x14ac:dyDescent="0.25">
      <c r="A113" s="111" t="s">
        <v>47</v>
      </c>
      <c r="B113" s="108">
        <f t="shared" si="14"/>
        <v>80</v>
      </c>
      <c r="C113" s="105" t="s">
        <v>658</v>
      </c>
      <c r="D113" s="207"/>
      <c r="E113" s="246"/>
      <c r="F113" s="397">
        <f t="shared" si="3"/>
        <v>0</v>
      </c>
      <c r="G113" s="404"/>
      <c r="H113" s="404"/>
      <c r="I113" s="404"/>
      <c r="J113" s="404"/>
      <c r="K113" s="113"/>
    </row>
    <row r="114" spans="1:11" x14ac:dyDescent="0.25">
      <c r="A114" s="111" t="s">
        <v>150</v>
      </c>
      <c r="B114" s="108">
        <f t="shared" si="14"/>
        <v>81</v>
      </c>
      <c r="C114" s="105" t="s">
        <v>659</v>
      </c>
      <c r="D114" s="207"/>
      <c r="E114" s="246"/>
      <c r="F114" s="397">
        <f t="shared" si="3"/>
        <v>0</v>
      </c>
      <c r="G114" s="404"/>
      <c r="H114" s="404"/>
      <c r="I114" s="404"/>
      <c r="J114" s="404"/>
      <c r="K114" s="113"/>
    </row>
    <row r="115" spans="1:11" x14ac:dyDescent="0.25">
      <c r="A115" s="111" t="s">
        <v>101</v>
      </c>
      <c r="B115" s="108">
        <f t="shared" si="14"/>
        <v>82</v>
      </c>
      <c r="C115" s="105" t="s">
        <v>660</v>
      </c>
      <c r="D115" s="207"/>
      <c r="E115" s="246"/>
      <c r="F115" s="397">
        <f t="shared" ref="F115:F174" si="15">G115+H115+I115+J115</f>
        <v>0</v>
      </c>
      <c r="G115" s="404"/>
      <c r="H115" s="404"/>
      <c r="I115" s="404"/>
      <c r="J115" s="404"/>
      <c r="K115" s="113"/>
    </row>
    <row r="116" spans="1:11" x14ac:dyDescent="0.25">
      <c r="A116" s="111" t="s">
        <v>102</v>
      </c>
      <c r="B116" s="108">
        <f t="shared" si="14"/>
        <v>83</v>
      </c>
      <c r="C116" s="105" t="s">
        <v>661</v>
      </c>
      <c r="D116" s="207"/>
      <c r="E116" s="243"/>
      <c r="F116" s="397">
        <f t="shared" si="15"/>
        <v>0</v>
      </c>
      <c r="G116" s="404"/>
      <c r="H116" s="404"/>
      <c r="I116" s="404"/>
      <c r="J116" s="404"/>
      <c r="K116" s="113"/>
    </row>
    <row r="117" spans="1:11" x14ac:dyDescent="0.25">
      <c r="A117" s="111" t="s">
        <v>48</v>
      </c>
      <c r="B117" s="108">
        <f t="shared" si="14"/>
        <v>84</v>
      </c>
      <c r="C117" s="105" t="s">
        <v>662</v>
      </c>
      <c r="D117" s="207"/>
      <c r="E117" s="243"/>
      <c r="F117" s="397">
        <f t="shared" si="15"/>
        <v>10620</v>
      </c>
      <c r="G117" s="404">
        <v>2655</v>
      </c>
      <c r="H117" s="404">
        <v>2655</v>
      </c>
      <c r="I117" s="404">
        <v>2655</v>
      </c>
      <c r="J117" s="404">
        <v>2655</v>
      </c>
      <c r="K117" s="113"/>
    </row>
    <row r="118" spans="1:11" ht="15.75" thickBot="1" x14ac:dyDescent="0.3">
      <c r="A118" s="134" t="s">
        <v>151</v>
      </c>
      <c r="B118" s="120">
        <f t="shared" si="14"/>
        <v>85</v>
      </c>
      <c r="C118" s="135" t="s">
        <v>663</v>
      </c>
      <c r="D118" s="209"/>
      <c r="E118" s="240"/>
      <c r="F118" s="400">
        <f t="shared" si="15"/>
        <v>0</v>
      </c>
      <c r="G118" s="405"/>
      <c r="H118" s="406"/>
      <c r="I118" s="406"/>
      <c r="J118" s="406"/>
      <c r="K118" s="136"/>
    </row>
    <row r="119" spans="1:11" ht="15.75" thickBot="1" x14ac:dyDescent="0.3">
      <c r="A119" s="125" t="s">
        <v>664</v>
      </c>
      <c r="B119" s="126">
        <f t="shared" si="14"/>
        <v>86</v>
      </c>
      <c r="C119" s="94">
        <v>1160</v>
      </c>
      <c r="D119" s="133"/>
      <c r="E119" s="133"/>
      <c r="F119" s="127">
        <f t="shared" si="15"/>
        <v>0</v>
      </c>
      <c r="G119" s="133">
        <f t="shared" ref="G119:J119" si="16">G120+G121+G122+G123+G124</f>
        <v>0</v>
      </c>
      <c r="H119" s="133">
        <f t="shared" si="16"/>
        <v>0</v>
      </c>
      <c r="I119" s="133">
        <f t="shared" si="16"/>
        <v>0</v>
      </c>
      <c r="J119" s="133">
        <f t="shared" si="16"/>
        <v>0</v>
      </c>
      <c r="K119" s="133"/>
    </row>
    <row r="120" spans="1:11" x14ac:dyDescent="0.25">
      <c r="A120" s="137" t="s">
        <v>123</v>
      </c>
      <c r="B120" s="138">
        <f t="shared" si="14"/>
        <v>87</v>
      </c>
      <c r="C120" s="130" t="s">
        <v>665</v>
      </c>
      <c r="D120" s="210"/>
      <c r="E120" s="247"/>
      <c r="F120" s="262">
        <f t="shared" si="15"/>
        <v>0</v>
      </c>
      <c r="G120" s="297"/>
      <c r="H120" s="299"/>
      <c r="I120" s="299"/>
      <c r="J120" s="299"/>
      <c r="K120" s="121"/>
    </row>
    <row r="121" spans="1:11" x14ac:dyDescent="0.25">
      <c r="A121" s="132" t="s">
        <v>124</v>
      </c>
      <c r="B121" s="108">
        <f t="shared" si="14"/>
        <v>88</v>
      </c>
      <c r="C121" s="130" t="s">
        <v>666</v>
      </c>
      <c r="D121" s="211"/>
      <c r="E121" s="248"/>
      <c r="F121" s="215">
        <f t="shared" si="15"/>
        <v>0</v>
      </c>
      <c r="G121" s="298"/>
      <c r="H121" s="300"/>
      <c r="I121" s="300"/>
      <c r="J121" s="300"/>
      <c r="K121" s="113"/>
    </row>
    <row r="122" spans="1:11" x14ac:dyDescent="0.25">
      <c r="A122" s="132" t="s">
        <v>125</v>
      </c>
      <c r="B122" s="108">
        <f t="shared" si="14"/>
        <v>89</v>
      </c>
      <c r="C122" s="130" t="s">
        <v>667</v>
      </c>
      <c r="D122" s="211"/>
      <c r="E122" s="248"/>
      <c r="F122" s="215">
        <f t="shared" si="15"/>
        <v>0</v>
      </c>
      <c r="G122" s="298"/>
      <c r="H122" s="300"/>
      <c r="I122" s="300"/>
      <c r="J122" s="300"/>
      <c r="K122" s="113"/>
    </row>
    <row r="123" spans="1:11" x14ac:dyDescent="0.25">
      <c r="A123" s="132" t="s">
        <v>126</v>
      </c>
      <c r="B123" s="108">
        <f t="shared" si="14"/>
        <v>90</v>
      </c>
      <c r="C123" s="130" t="s">
        <v>668</v>
      </c>
      <c r="D123" s="211"/>
      <c r="E123" s="248"/>
      <c r="F123" s="215">
        <f t="shared" si="15"/>
        <v>0</v>
      </c>
      <c r="G123" s="298"/>
      <c r="H123" s="300"/>
      <c r="I123" s="300"/>
      <c r="J123" s="300"/>
      <c r="K123" s="113"/>
    </row>
    <row r="124" spans="1:11" ht="26.25" thickBot="1" x14ac:dyDescent="0.3">
      <c r="A124" s="139" t="s">
        <v>173</v>
      </c>
      <c r="B124" s="120">
        <f t="shared" si="14"/>
        <v>91</v>
      </c>
      <c r="C124" s="140" t="s">
        <v>669</v>
      </c>
      <c r="D124" s="209"/>
      <c r="E124" s="249"/>
      <c r="F124" s="263">
        <f t="shared" si="15"/>
        <v>0</v>
      </c>
      <c r="G124" s="261"/>
      <c r="H124" s="240"/>
      <c r="I124" s="240"/>
      <c r="J124" s="240"/>
      <c r="K124" s="136"/>
    </row>
    <row r="125" spans="1:11" ht="15.75" thickBot="1" x14ac:dyDescent="0.3">
      <c r="A125" s="125" t="s">
        <v>174</v>
      </c>
      <c r="B125" s="126">
        <f t="shared" si="14"/>
        <v>92</v>
      </c>
      <c r="C125" s="94">
        <v>1170</v>
      </c>
      <c r="D125" s="133"/>
      <c r="E125" s="133"/>
      <c r="F125" s="127">
        <f t="shared" si="15"/>
        <v>0</v>
      </c>
      <c r="G125" s="133">
        <f t="shared" ref="G125:J125" si="17">G126+G127+G128</f>
        <v>0</v>
      </c>
      <c r="H125" s="133">
        <f t="shared" si="17"/>
        <v>0</v>
      </c>
      <c r="I125" s="133">
        <f t="shared" si="17"/>
        <v>0</v>
      </c>
      <c r="J125" s="133">
        <f t="shared" si="17"/>
        <v>0</v>
      </c>
      <c r="K125" s="133"/>
    </row>
    <row r="126" spans="1:11" x14ac:dyDescent="0.25">
      <c r="A126" s="137" t="s">
        <v>103</v>
      </c>
      <c r="B126" s="104">
        <f t="shared" si="14"/>
        <v>93</v>
      </c>
      <c r="C126" s="130" t="s">
        <v>670</v>
      </c>
      <c r="D126" s="208"/>
      <c r="E126" s="239"/>
      <c r="F126" s="222">
        <f t="shared" si="15"/>
        <v>0</v>
      </c>
      <c r="G126" s="259"/>
      <c r="H126" s="239"/>
      <c r="I126" s="239"/>
      <c r="J126" s="239"/>
      <c r="K126" s="121"/>
    </row>
    <row r="127" spans="1:11" x14ac:dyDescent="0.25">
      <c r="A127" s="132" t="s">
        <v>104</v>
      </c>
      <c r="B127" s="108">
        <f t="shared" si="14"/>
        <v>94</v>
      </c>
      <c r="C127" s="131" t="s">
        <v>671</v>
      </c>
      <c r="D127" s="207"/>
      <c r="E127" s="216"/>
      <c r="F127" s="129">
        <f t="shared" si="15"/>
        <v>0</v>
      </c>
      <c r="G127" s="112"/>
      <c r="H127" s="113"/>
      <c r="I127" s="113"/>
      <c r="J127" s="113"/>
      <c r="K127" s="113"/>
    </row>
    <row r="128" spans="1:11" ht="15.75" thickBot="1" x14ac:dyDescent="0.3">
      <c r="A128" s="139" t="s">
        <v>105</v>
      </c>
      <c r="B128" s="120">
        <f t="shared" si="14"/>
        <v>95</v>
      </c>
      <c r="C128" s="235" t="s">
        <v>672</v>
      </c>
      <c r="D128" s="207"/>
      <c r="E128" s="216"/>
      <c r="F128" s="129">
        <f t="shared" si="15"/>
        <v>0</v>
      </c>
      <c r="G128" s="112"/>
      <c r="H128" s="113"/>
      <c r="I128" s="113"/>
      <c r="J128" s="113"/>
      <c r="K128" s="113"/>
    </row>
    <row r="129" spans="1:20" ht="15.75" thickBot="1" x14ac:dyDescent="0.3">
      <c r="A129" s="98" t="s">
        <v>673</v>
      </c>
      <c r="B129" s="99">
        <f t="shared" si="14"/>
        <v>96</v>
      </c>
      <c r="C129" s="100">
        <v>1180</v>
      </c>
      <c r="D129" s="113"/>
      <c r="E129" s="216"/>
      <c r="F129" s="215">
        <v>146910.39999999999</v>
      </c>
      <c r="G129" s="216">
        <f>F51+G35-G53</f>
        <v>120759.5</v>
      </c>
      <c r="H129" s="216">
        <f>G129+H35-H53</f>
        <v>124759.5</v>
      </c>
      <c r="I129" s="216">
        <f>H129+I35-I53</f>
        <v>128759.5</v>
      </c>
      <c r="J129" s="216">
        <f>I129+J35-J53</f>
        <v>133259.5</v>
      </c>
      <c r="K129" s="112"/>
    </row>
    <row r="130" spans="1:20" ht="15.75" thickBot="1" x14ac:dyDescent="0.3">
      <c r="A130" s="98" t="s">
        <v>674</v>
      </c>
      <c r="B130" s="99">
        <f t="shared" si="14"/>
        <v>97</v>
      </c>
      <c r="C130" s="237">
        <v>1190</v>
      </c>
      <c r="D130" s="123"/>
      <c r="E130" s="241"/>
      <c r="F130" s="147"/>
      <c r="G130" s="123"/>
      <c r="H130" s="123"/>
      <c r="I130" s="123"/>
      <c r="J130" s="123"/>
      <c r="K130" s="124"/>
    </row>
    <row r="131" spans="1:20" ht="26.25" thickBot="1" x14ac:dyDescent="0.3">
      <c r="A131" s="125" t="s">
        <v>177</v>
      </c>
      <c r="B131" s="126">
        <f t="shared" si="14"/>
        <v>98</v>
      </c>
      <c r="C131" s="94">
        <v>1200</v>
      </c>
      <c r="D131" s="133"/>
      <c r="E131" s="96"/>
      <c r="F131" s="127">
        <f t="shared" si="15"/>
        <v>16500</v>
      </c>
      <c r="G131" s="97">
        <v>4000</v>
      </c>
      <c r="H131" s="96">
        <v>4000</v>
      </c>
      <c r="I131" s="96">
        <v>4000</v>
      </c>
      <c r="J131" s="96">
        <v>4500</v>
      </c>
      <c r="K131" s="96"/>
      <c r="L131" s="257"/>
      <c r="M131" s="257"/>
      <c r="N131" s="257"/>
      <c r="O131" s="257"/>
      <c r="P131" s="257"/>
      <c r="Q131" s="257"/>
      <c r="R131" s="257"/>
    </row>
    <row r="132" spans="1:20" ht="15.75" thickBot="1" x14ac:dyDescent="0.3">
      <c r="A132" s="125" t="s">
        <v>49</v>
      </c>
      <c r="B132" s="126">
        <f t="shared" si="14"/>
        <v>99</v>
      </c>
      <c r="C132" s="94">
        <v>1210</v>
      </c>
      <c r="D132" s="133"/>
      <c r="E132" s="96"/>
      <c r="F132" s="127">
        <f>F35</f>
        <v>173408.5</v>
      </c>
      <c r="G132" s="97">
        <f>G35</f>
        <v>41223.9</v>
      </c>
      <c r="H132" s="96">
        <f>H35</f>
        <v>43461.100000000006</v>
      </c>
      <c r="I132" s="96">
        <f>I35</f>
        <v>44353.100000000006</v>
      </c>
      <c r="J132" s="96">
        <f>J35</f>
        <v>44370.400000000001</v>
      </c>
      <c r="K132" s="96"/>
      <c r="L132" s="257"/>
      <c r="M132" s="257"/>
      <c r="N132" s="257"/>
      <c r="O132" s="257"/>
      <c r="P132" s="257"/>
      <c r="Q132" s="257"/>
      <c r="R132" s="257"/>
    </row>
    <row r="133" spans="1:20" ht="15.75" thickBot="1" x14ac:dyDescent="0.3">
      <c r="A133" s="141" t="s">
        <v>50</v>
      </c>
      <c r="B133" s="126">
        <f t="shared" si="14"/>
        <v>100</v>
      </c>
      <c r="C133" s="142">
        <v>1220</v>
      </c>
      <c r="D133" s="144"/>
      <c r="E133" s="143"/>
      <c r="F133" s="127">
        <f>SUM(F53,F131)</f>
        <v>173408.5</v>
      </c>
      <c r="G133" s="217">
        <f>G53+G131</f>
        <v>41223.9</v>
      </c>
      <c r="H133" s="143">
        <f>H53+H131</f>
        <v>43461.100000000006</v>
      </c>
      <c r="I133" s="143">
        <f>I53+I131</f>
        <v>44353.100000000006</v>
      </c>
      <c r="J133" s="143">
        <f>J53+J131</f>
        <v>44370.400000000001</v>
      </c>
      <c r="K133" s="143"/>
    </row>
    <row r="134" spans="1:20" ht="15.75" thickBot="1" x14ac:dyDescent="0.3">
      <c r="A134" s="141" t="s">
        <v>51</v>
      </c>
      <c r="B134" s="126">
        <f t="shared" si="14"/>
        <v>101</v>
      </c>
      <c r="C134" s="142">
        <v>1230</v>
      </c>
      <c r="D134" s="144"/>
      <c r="E134" s="144"/>
      <c r="F134" s="144">
        <f t="shared" ref="F134:J134" si="18">SUM(F132-F133)</f>
        <v>0</v>
      </c>
      <c r="G134" s="144">
        <f t="shared" si="18"/>
        <v>0</v>
      </c>
      <c r="H134" s="144">
        <f t="shared" si="18"/>
        <v>0</v>
      </c>
      <c r="I134" s="144">
        <f t="shared" si="18"/>
        <v>0</v>
      </c>
      <c r="J134" s="144">
        <f t="shared" si="18"/>
        <v>0</v>
      </c>
      <c r="K134" s="144"/>
    </row>
    <row r="135" spans="1:20" ht="15.75" thickBot="1" x14ac:dyDescent="0.3">
      <c r="A135" s="125" t="s">
        <v>52</v>
      </c>
      <c r="B135" s="126">
        <f t="shared" si="14"/>
        <v>102</v>
      </c>
      <c r="C135" s="94">
        <v>2000</v>
      </c>
      <c r="D135" s="133"/>
      <c r="E135" s="96"/>
      <c r="F135" s="127">
        <f t="shared" si="15"/>
        <v>43818.767</v>
      </c>
      <c r="G135" s="97">
        <f>SUM(G136:G138)</f>
        <v>10941.698</v>
      </c>
      <c r="H135" s="96">
        <f>SUM(H136:H138)</f>
        <v>10941.698</v>
      </c>
      <c r="I135" s="96">
        <f>SUM(I136:I138)</f>
        <v>10941.698</v>
      </c>
      <c r="J135" s="96">
        <f>SUM(J136:J138)</f>
        <v>10993.673000000001</v>
      </c>
      <c r="K135" s="96"/>
    </row>
    <row r="136" spans="1:20" ht="25.5" x14ac:dyDescent="0.25">
      <c r="A136" s="111" t="s">
        <v>53</v>
      </c>
      <c r="B136" s="104">
        <f t="shared" si="14"/>
        <v>103</v>
      </c>
      <c r="C136" s="145">
        <v>2010</v>
      </c>
      <c r="D136" s="207"/>
      <c r="E136" s="216"/>
      <c r="F136" s="222">
        <f t="shared" si="15"/>
        <v>23236.399999999998</v>
      </c>
      <c r="G136" s="260">
        <f>SUM(G56,G71,G98,G110)</f>
        <v>5802.2</v>
      </c>
      <c r="H136" s="216">
        <f>SUM(H56,H71,H98,H110)</f>
        <v>5802.2</v>
      </c>
      <c r="I136" s="216">
        <f>SUM(I56,I71,I98,I110)</f>
        <v>5802.2</v>
      </c>
      <c r="J136" s="216">
        <f>SUM(J56,J71,J98,J110)</f>
        <v>5829.8</v>
      </c>
      <c r="K136" s="113"/>
    </row>
    <row r="137" spans="1:20" ht="25.5" x14ac:dyDescent="0.25">
      <c r="A137" s="111" t="s">
        <v>54</v>
      </c>
      <c r="B137" s="108">
        <f t="shared" si="14"/>
        <v>104</v>
      </c>
      <c r="C137" s="145">
        <v>2020</v>
      </c>
      <c r="D137" s="207"/>
      <c r="E137" s="216"/>
      <c r="F137" s="215">
        <f t="shared" si="15"/>
        <v>20582.367000000002</v>
      </c>
      <c r="G137" s="260">
        <f>G183*19.5%</f>
        <v>5139.4980000000005</v>
      </c>
      <c r="H137" s="216">
        <f>H183*19.5%</f>
        <v>5139.4980000000005</v>
      </c>
      <c r="I137" s="216">
        <f>I183*19.5%</f>
        <v>5139.4980000000005</v>
      </c>
      <c r="J137" s="216">
        <f>J183*19.5%</f>
        <v>5163.8730000000005</v>
      </c>
      <c r="K137" s="113"/>
    </row>
    <row r="138" spans="1:20" x14ac:dyDescent="0.25">
      <c r="A138" s="111" t="s">
        <v>55</v>
      </c>
      <c r="B138" s="108">
        <f t="shared" si="14"/>
        <v>105</v>
      </c>
      <c r="C138" s="145">
        <v>2030</v>
      </c>
      <c r="D138" s="207"/>
      <c r="E138" s="216"/>
      <c r="F138" s="129">
        <f t="shared" si="15"/>
        <v>0</v>
      </c>
      <c r="G138" s="112"/>
      <c r="H138" s="113"/>
      <c r="I138" s="113"/>
      <c r="J138" s="113"/>
      <c r="K138" s="113"/>
    </row>
    <row r="139" spans="1:20" ht="15.75" thickBot="1" x14ac:dyDescent="0.3">
      <c r="A139" s="134" t="s">
        <v>56</v>
      </c>
      <c r="B139" s="122">
        <f t="shared" si="14"/>
        <v>106</v>
      </c>
      <c r="C139" s="146">
        <v>2040</v>
      </c>
      <c r="D139" s="209"/>
      <c r="E139" s="240"/>
      <c r="F139" s="147">
        <f t="shared" si="15"/>
        <v>0</v>
      </c>
      <c r="G139" s="117">
        <v>0</v>
      </c>
      <c r="H139" s="136">
        <v>0</v>
      </c>
      <c r="I139" s="136">
        <v>0</v>
      </c>
      <c r="J139" s="136">
        <v>0</v>
      </c>
      <c r="K139" s="136"/>
    </row>
    <row r="140" spans="1:20" ht="15.75" thickBot="1" x14ac:dyDescent="0.3">
      <c r="A140" s="98" t="s">
        <v>57</v>
      </c>
      <c r="B140" s="99">
        <f t="shared" si="14"/>
        <v>107</v>
      </c>
      <c r="C140" s="100">
        <v>3000</v>
      </c>
      <c r="D140" s="212"/>
      <c r="E140" s="238"/>
      <c r="F140" s="312">
        <f t="shared" si="15"/>
        <v>0</v>
      </c>
      <c r="G140" s="309">
        <f>SUM(G141:G143,G150)</f>
        <v>0</v>
      </c>
      <c r="H140" s="238">
        <f>SUM(H141:H143,H150)</f>
        <v>0</v>
      </c>
      <c r="I140" s="238">
        <f>SUM(I141:I143,I150)</f>
        <v>0</v>
      </c>
      <c r="J140" s="238">
        <f>SUM(J141:J143,J150)</f>
        <v>0</v>
      </c>
      <c r="K140" s="102"/>
    </row>
    <row r="141" spans="1:20" x14ac:dyDescent="0.25">
      <c r="A141" s="107" t="s">
        <v>58</v>
      </c>
      <c r="B141" s="104">
        <f t="shared" si="14"/>
        <v>108</v>
      </c>
      <c r="C141" s="105">
        <v>3010</v>
      </c>
      <c r="D141" s="208"/>
      <c r="E141" s="239"/>
      <c r="F141" s="222">
        <f t="shared" si="15"/>
        <v>0</v>
      </c>
      <c r="G141" s="259"/>
      <c r="H141" s="239"/>
      <c r="I141" s="239"/>
      <c r="J141" s="239"/>
      <c r="K141" s="121"/>
    </row>
    <row r="142" spans="1:20" ht="25.5" x14ac:dyDescent="0.25">
      <c r="A142" s="111" t="s">
        <v>59</v>
      </c>
      <c r="B142" s="108">
        <f t="shared" si="14"/>
        <v>109</v>
      </c>
      <c r="C142" s="145">
        <v>3020</v>
      </c>
      <c r="D142" s="207"/>
      <c r="E142" s="216"/>
      <c r="F142" s="215">
        <f t="shared" si="15"/>
        <v>0</v>
      </c>
      <c r="G142" s="260"/>
      <c r="H142" s="216"/>
      <c r="I142" s="216"/>
      <c r="J142" s="216"/>
      <c r="K142" s="113"/>
    </row>
    <row r="143" spans="1:20" x14ac:dyDescent="0.25">
      <c r="A143" s="111" t="s">
        <v>60</v>
      </c>
      <c r="B143" s="108">
        <f t="shared" si="14"/>
        <v>110</v>
      </c>
      <c r="C143" s="145">
        <v>3030</v>
      </c>
      <c r="D143" s="207"/>
      <c r="E143" s="216"/>
      <c r="F143" s="215">
        <f t="shared" si="15"/>
        <v>0</v>
      </c>
      <c r="G143" s="260"/>
      <c r="H143" s="260"/>
      <c r="I143" s="260"/>
      <c r="J143" s="260"/>
      <c r="K143" s="113"/>
    </row>
    <row r="144" spans="1:20" x14ac:dyDescent="0.25">
      <c r="A144" s="111" t="s">
        <v>61</v>
      </c>
      <c r="B144" s="108">
        <f t="shared" si="14"/>
        <v>111</v>
      </c>
      <c r="C144" s="145" t="s">
        <v>178</v>
      </c>
      <c r="D144" s="207"/>
      <c r="E144" s="216"/>
      <c r="F144" s="215">
        <f t="shared" si="15"/>
        <v>0</v>
      </c>
      <c r="G144" s="260"/>
      <c r="H144" s="216"/>
      <c r="I144" s="216"/>
      <c r="J144" s="216"/>
      <c r="K144" s="113"/>
      <c r="L144" s="257"/>
      <c r="M144" s="257"/>
      <c r="N144" s="257"/>
      <c r="O144" s="257"/>
      <c r="P144" s="257"/>
      <c r="Q144" s="257"/>
      <c r="R144" s="257"/>
      <c r="S144" s="257"/>
      <c r="T144" s="257"/>
    </row>
    <row r="145" spans="1:20" x14ac:dyDescent="0.25">
      <c r="A145" s="111" t="s">
        <v>62</v>
      </c>
      <c r="B145" s="108">
        <f t="shared" si="14"/>
        <v>112</v>
      </c>
      <c r="C145" s="145" t="s">
        <v>179</v>
      </c>
      <c r="D145" s="207"/>
      <c r="E145" s="216"/>
      <c r="F145" s="215">
        <f t="shared" si="15"/>
        <v>0</v>
      </c>
      <c r="G145" s="260"/>
      <c r="H145" s="216"/>
      <c r="I145" s="216"/>
      <c r="J145" s="216"/>
      <c r="K145" s="113"/>
      <c r="L145" s="658"/>
      <c r="M145" s="659"/>
      <c r="N145" s="659"/>
      <c r="O145" s="659"/>
      <c r="P145" s="659"/>
      <c r="Q145" s="659"/>
      <c r="R145" s="659"/>
      <c r="S145" s="659"/>
      <c r="T145" s="659"/>
    </row>
    <row r="146" spans="1:20" ht="25.5" x14ac:dyDescent="0.25">
      <c r="A146" s="111" t="s">
        <v>63</v>
      </c>
      <c r="B146" s="108">
        <f t="shared" si="14"/>
        <v>113</v>
      </c>
      <c r="C146" s="145" t="s">
        <v>180</v>
      </c>
      <c r="D146" s="207"/>
      <c r="E146" s="216"/>
      <c r="F146" s="215">
        <f t="shared" si="15"/>
        <v>0</v>
      </c>
      <c r="G146" s="260"/>
      <c r="H146" s="216"/>
      <c r="I146" s="216"/>
      <c r="J146" s="216"/>
      <c r="K146" s="113"/>
      <c r="L146" s="257"/>
      <c r="M146" s="257"/>
      <c r="N146" s="257"/>
      <c r="O146" s="257"/>
      <c r="P146" s="257"/>
      <c r="Q146" s="257"/>
      <c r="R146" s="257"/>
      <c r="S146" s="257"/>
      <c r="T146" s="257"/>
    </row>
    <row r="147" spans="1:20" x14ac:dyDescent="0.25">
      <c r="A147" s="111" t="s">
        <v>64</v>
      </c>
      <c r="B147" s="108">
        <f t="shared" si="14"/>
        <v>114</v>
      </c>
      <c r="C147" s="145" t="s">
        <v>181</v>
      </c>
      <c r="D147" s="207"/>
      <c r="E147" s="216"/>
      <c r="F147" s="215">
        <f t="shared" si="15"/>
        <v>0</v>
      </c>
      <c r="G147" s="260"/>
      <c r="H147" s="216"/>
      <c r="I147" s="216"/>
      <c r="J147" s="216"/>
      <c r="K147" s="113"/>
      <c r="L147" s="257"/>
      <c r="M147" s="257"/>
      <c r="N147" s="257"/>
      <c r="O147" s="257"/>
      <c r="P147" s="257"/>
      <c r="Q147" s="257"/>
      <c r="R147" s="257"/>
      <c r="S147" s="257"/>
      <c r="T147" s="257"/>
    </row>
    <row r="148" spans="1:20" ht="25.5" x14ac:dyDescent="0.25">
      <c r="A148" s="111" t="s">
        <v>65</v>
      </c>
      <c r="B148" s="108">
        <f t="shared" si="14"/>
        <v>115</v>
      </c>
      <c r="C148" s="145" t="s">
        <v>182</v>
      </c>
      <c r="D148" s="207"/>
      <c r="E148" s="216"/>
      <c r="F148" s="215">
        <f t="shared" si="15"/>
        <v>0</v>
      </c>
      <c r="G148" s="260"/>
      <c r="H148" s="216"/>
      <c r="I148" s="216"/>
      <c r="J148" s="216"/>
      <c r="K148" s="113"/>
      <c r="L148" s="257"/>
      <c r="M148" s="257"/>
      <c r="N148" s="257"/>
      <c r="O148" s="257"/>
      <c r="P148" s="257"/>
      <c r="Q148" s="257"/>
      <c r="R148" s="257"/>
      <c r="S148" s="257"/>
      <c r="T148" s="257"/>
    </row>
    <row r="149" spans="1:20" x14ac:dyDescent="0.25">
      <c r="A149" s="111" t="s">
        <v>66</v>
      </c>
      <c r="B149" s="108">
        <f t="shared" si="14"/>
        <v>116</v>
      </c>
      <c r="C149" s="145" t="s">
        <v>183</v>
      </c>
      <c r="D149" s="207"/>
      <c r="E149" s="216"/>
      <c r="F149" s="215">
        <f t="shared" si="15"/>
        <v>0</v>
      </c>
      <c r="G149" s="260"/>
      <c r="H149" s="216"/>
      <c r="I149" s="216"/>
      <c r="J149" s="216"/>
      <c r="K149" s="113"/>
      <c r="L149" s="257"/>
      <c r="M149" s="257"/>
      <c r="N149" s="257"/>
      <c r="O149" s="257"/>
      <c r="P149" s="257"/>
      <c r="Q149" s="257"/>
      <c r="R149" s="257"/>
      <c r="S149" s="257"/>
      <c r="T149" s="257"/>
    </row>
    <row r="150" spans="1:20" ht="15.75" thickBot="1" x14ac:dyDescent="0.3">
      <c r="A150" s="134" t="s">
        <v>113</v>
      </c>
      <c r="B150" s="122">
        <f t="shared" si="14"/>
        <v>117</v>
      </c>
      <c r="C150" s="146">
        <v>3040</v>
      </c>
      <c r="D150" s="213"/>
      <c r="E150" s="250"/>
      <c r="F150" s="264">
        <f t="shared" si="15"/>
        <v>0</v>
      </c>
      <c r="G150" s="326"/>
      <c r="H150" s="250"/>
      <c r="I150" s="250"/>
      <c r="J150" s="250"/>
      <c r="K150" s="148"/>
      <c r="L150" s="257"/>
      <c r="M150" s="257"/>
      <c r="N150" s="257"/>
      <c r="O150" s="257"/>
      <c r="P150" s="257"/>
      <c r="Q150" s="257"/>
      <c r="R150" s="257"/>
      <c r="S150" s="257"/>
      <c r="T150" s="257"/>
    </row>
    <row r="151" spans="1:20" ht="15.75" thickBot="1" x14ac:dyDescent="0.3">
      <c r="A151" s="125" t="s">
        <v>127</v>
      </c>
      <c r="B151" s="126">
        <f t="shared" si="14"/>
        <v>118</v>
      </c>
      <c r="C151" s="94">
        <v>4000</v>
      </c>
      <c r="D151" s="133"/>
      <c r="E151" s="96"/>
      <c r="F151" s="127">
        <v>0</v>
      </c>
      <c r="G151" s="97"/>
      <c r="H151" s="96"/>
      <c r="I151" s="96"/>
      <c r="J151" s="96"/>
      <c r="K151" s="96"/>
      <c r="L151" s="257"/>
      <c r="M151" s="257"/>
      <c r="N151" s="257"/>
      <c r="O151" s="257"/>
      <c r="P151" s="257"/>
      <c r="Q151" s="257"/>
      <c r="R151" s="257"/>
      <c r="S151" s="257"/>
      <c r="T151" s="257"/>
    </row>
    <row r="152" spans="1:20" ht="15.75" thickBot="1" x14ac:dyDescent="0.3">
      <c r="A152" s="125" t="s">
        <v>128</v>
      </c>
      <c r="B152" s="126">
        <f t="shared" si="14"/>
        <v>119</v>
      </c>
      <c r="C152" s="94">
        <v>5000</v>
      </c>
      <c r="D152" s="133"/>
      <c r="E152" s="96"/>
      <c r="F152" s="127">
        <f t="shared" si="15"/>
        <v>5200</v>
      </c>
      <c r="G152" s="97">
        <f>SUM(G153)</f>
        <v>1300</v>
      </c>
      <c r="H152" s="96">
        <f>H153</f>
        <v>1300</v>
      </c>
      <c r="I152" s="96">
        <f>I153</f>
        <v>1300</v>
      </c>
      <c r="J152" s="96">
        <f>J153</f>
        <v>1300</v>
      </c>
      <c r="K152" s="96"/>
      <c r="L152" s="257"/>
      <c r="M152" s="257"/>
      <c r="N152" s="257"/>
      <c r="O152" s="257"/>
      <c r="P152" s="257"/>
      <c r="Q152" s="257"/>
      <c r="R152" s="257"/>
      <c r="S152" s="257"/>
      <c r="T152" s="257"/>
    </row>
    <row r="153" spans="1:20" x14ac:dyDescent="0.25">
      <c r="A153" s="111" t="s">
        <v>67</v>
      </c>
      <c r="B153" s="104">
        <f t="shared" si="14"/>
        <v>120</v>
      </c>
      <c r="C153" s="145">
        <v>5010</v>
      </c>
      <c r="D153" s="207"/>
      <c r="E153" s="216"/>
      <c r="F153" s="558">
        <f t="shared" si="15"/>
        <v>5200</v>
      </c>
      <c r="G153" s="559">
        <f>G156+G155+G154</f>
        <v>1300</v>
      </c>
      <c r="H153" s="559">
        <f t="shared" ref="H153:J153" si="19">H156+H155+H154</f>
        <v>1300</v>
      </c>
      <c r="I153" s="559">
        <f t="shared" si="19"/>
        <v>1300</v>
      </c>
      <c r="J153" s="559">
        <f t="shared" si="19"/>
        <v>1300</v>
      </c>
      <c r="K153" s="113"/>
      <c r="L153" s="257"/>
      <c r="M153" s="257"/>
      <c r="N153" s="257"/>
      <c r="O153" s="257"/>
      <c r="P153" s="257"/>
      <c r="Q153" s="257"/>
      <c r="R153" s="257"/>
      <c r="S153" s="257"/>
      <c r="T153" s="257"/>
    </row>
    <row r="154" spans="1:20" x14ac:dyDescent="0.25">
      <c r="A154" s="111" t="s">
        <v>68</v>
      </c>
      <c r="B154" s="108">
        <f t="shared" si="14"/>
        <v>121</v>
      </c>
      <c r="C154" s="145" t="s">
        <v>184</v>
      </c>
      <c r="D154" s="207"/>
      <c r="E154" s="216"/>
      <c r="F154" s="397">
        <f t="shared" si="15"/>
        <v>0</v>
      </c>
      <c r="G154" s="559"/>
      <c r="H154" s="404"/>
      <c r="I154" s="404"/>
      <c r="J154" s="404"/>
      <c r="K154" s="113"/>
      <c r="L154" s="257"/>
      <c r="M154" s="257"/>
      <c r="N154" s="257"/>
      <c r="O154" s="257"/>
      <c r="P154" s="257"/>
      <c r="Q154" s="257"/>
      <c r="R154" s="257"/>
      <c r="S154" s="257"/>
      <c r="T154" s="257"/>
    </row>
    <row r="155" spans="1:20" x14ac:dyDescent="0.25">
      <c r="A155" s="111" t="s">
        <v>69</v>
      </c>
      <c r="B155" s="108">
        <f t="shared" si="14"/>
        <v>122</v>
      </c>
      <c r="C155" s="145" t="s">
        <v>185</v>
      </c>
      <c r="D155" s="207"/>
      <c r="E155" s="216"/>
      <c r="F155" s="397">
        <f t="shared" si="15"/>
        <v>0</v>
      </c>
      <c r="G155" s="559"/>
      <c r="H155" s="404"/>
      <c r="I155" s="404"/>
      <c r="J155" s="404"/>
      <c r="K155" s="113"/>
      <c r="L155" s="257"/>
      <c r="M155" s="257"/>
      <c r="N155" s="257"/>
      <c r="O155" s="257"/>
      <c r="P155" s="257"/>
      <c r="Q155" s="257"/>
      <c r="R155" s="257"/>
      <c r="S155" s="257"/>
      <c r="T155" s="257"/>
    </row>
    <row r="156" spans="1:20" x14ac:dyDescent="0.25">
      <c r="A156" s="111" t="s">
        <v>70</v>
      </c>
      <c r="B156" s="108">
        <f t="shared" si="14"/>
        <v>123</v>
      </c>
      <c r="C156" s="145" t="s">
        <v>186</v>
      </c>
      <c r="D156" s="207"/>
      <c r="E156" s="216"/>
      <c r="F156" s="397">
        <f t="shared" si="15"/>
        <v>5200</v>
      </c>
      <c r="G156" s="559">
        <v>1300</v>
      </c>
      <c r="H156" s="404">
        <v>1300</v>
      </c>
      <c r="I156" s="404">
        <v>1300</v>
      </c>
      <c r="J156" s="404">
        <v>1300</v>
      </c>
      <c r="K156" s="216"/>
      <c r="L156" s="333"/>
      <c r="M156" s="257"/>
      <c r="N156" s="257"/>
      <c r="O156" s="257"/>
      <c r="P156" s="257"/>
      <c r="Q156" s="257"/>
      <c r="R156" s="257"/>
      <c r="S156" s="257"/>
      <c r="T156" s="257"/>
    </row>
    <row r="157" spans="1:20" x14ac:dyDescent="0.25">
      <c r="A157" s="111" t="s">
        <v>71</v>
      </c>
      <c r="B157" s="108">
        <f t="shared" si="14"/>
        <v>124</v>
      </c>
      <c r="C157" s="145">
        <v>5020</v>
      </c>
      <c r="D157" s="207"/>
      <c r="E157" s="216"/>
      <c r="F157" s="215">
        <f t="shared" si="15"/>
        <v>0</v>
      </c>
      <c r="G157" s="260"/>
      <c r="H157" s="216"/>
      <c r="I157" s="216"/>
      <c r="J157" s="216"/>
      <c r="K157" s="216"/>
      <c r="L157" s="257"/>
      <c r="M157" s="257"/>
      <c r="N157" s="257"/>
      <c r="O157" s="257"/>
      <c r="P157" s="257"/>
      <c r="Q157" s="257"/>
      <c r="R157" s="257"/>
      <c r="S157" s="257"/>
      <c r="T157" s="257"/>
    </row>
    <row r="158" spans="1:20" x14ac:dyDescent="0.25">
      <c r="A158" s="111" t="s">
        <v>72</v>
      </c>
      <c r="B158" s="108">
        <f t="shared" si="14"/>
        <v>125</v>
      </c>
      <c r="C158" s="145">
        <v>5030</v>
      </c>
      <c r="D158" s="207"/>
      <c r="E158" s="216"/>
      <c r="F158" s="129">
        <f t="shared" si="15"/>
        <v>0</v>
      </c>
      <c r="G158" s="112"/>
      <c r="H158" s="113"/>
      <c r="I158" s="113"/>
      <c r="J158" s="113"/>
      <c r="K158" s="113"/>
      <c r="L158" s="257"/>
      <c r="M158" s="257"/>
      <c r="N158" s="257"/>
      <c r="O158" s="257"/>
      <c r="P158" s="257"/>
      <c r="Q158" s="257"/>
      <c r="R158" s="257"/>
      <c r="S158" s="257"/>
      <c r="T158" s="257"/>
    </row>
    <row r="159" spans="1:20" x14ac:dyDescent="0.25">
      <c r="A159" s="111" t="s">
        <v>68</v>
      </c>
      <c r="B159" s="108">
        <f t="shared" si="14"/>
        <v>126</v>
      </c>
      <c r="C159" s="145" t="s">
        <v>187</v>
      </c>
      <c r="D159" s="207"/>
      <c r="E159" s="216"/>
      <c r="F159" s="129">
        <f t="shared" si="15"/>
        <v>0</v>
      </c>
      <c r="G159" s="112"/>
      <c r="H159" s="113"/>
      <c r="I159" s="113"/>
      <c r="J159" s="113"/>
      <c r="K159" s="113"/>
      <c r="L159" s="257"/>
      <c r="M159" s="257"/>
      <c r="N159" s="257"/>
      <c r="O159" s="257"/>
      <c r="P159" s="257"/>
      <c r="Q159" s="257"/>
      <c r="R159" s="257"/>
      <c r="S159" s="257"/>
      <c r="T159" s="257"/>
    </row>
    <row r="160" spans="1:20" x14ac:dyDescent="0.25">
      <c r="A160" s="111" t="s">
        <v>69</v>
      </c>
      <c r="B160" s="108">
        <f t="shared" si="14"/>
        <v>127</v>
      </c>
      <c r="C160" s="145" t="s">
        <v>188</v>
      </c>
      <c r="D160" s="207"/>
      <c r="E160" s="216"/>
      <c r="F160" s="129">
        <f t="shared" si="15"/>
        <v>0</v>
      </c>
      <c r="G160" s="112"/>
      <c r="H160" s="113"/>
      <c r="I160" s="113"/>
      <c r="J160" s="113"/>
      <c r="K160" s="113"/>
    </row>
    <row r="161" spans="1:20" x14ac:dyDescent="0.25">
      <c r="A161" s="111" t="s">
        <v>70</v>
      </c>
      <c r="B161" s="108">
        <f t="shared" si="14"/>
        <v>128</v>
      </c>
      <c r="C161" s="145" t="s">
        <v>189</v>
      </c>
      <c r="D161" s="207"/>
      <c r="E161" s="216"/>
      <c r="F161" s="129">
        <f t="shared" si="15"/>
        <v>0</v>
      </c>
      <c r="G161" s="112"/>
      <c r="H161" s="113"/>
      <c r="I161" s="113"/>
      <c r="J161" s="113"/>
      <c r="K161" s="113"/>
    </row>
    <row r="162" spans="1:20" ht="15.75" thickBot="1" x14ac:dyDescent="0.3">
      <c r="A162" s="111" t="s">
        <v>190</v>
      </c>
      <c r="B162" s="122">
        <f t="shared" si="14"/>
        <v>129</v>
      </c>
      <c r="C162" s="145">
        <v>5040</v>
      </c>
      <c r="D162" s="207"/>
      <c r="E162" s="216"/>
      <c r="F162" s="147">
        <f t="shared" si="15"/>
        <v>0</v>
      </c>
      <c r="G162" s="112"/>
      <c r="H162" s="113"/>
      <c r="I162" s="113"/>
      <c r="J162" s="113"/>
      <c r="K162" s="113"/>
    </row>
    <row r="163" spans="1:20" ht="15.75" thickBot="1" x14ac:dyDescent="0.3">
      <c r="A163" s="125" t="s">
        <v>129</v>
      </c>
      <c r="B163" s="126">
        <f t="shared" si="14"/>
        <v>130</v>
      </c>
      <c r="C163" s="94">
        <v>6000</v>
      </c>
      <c r="D163" s="133"/>
      <c r="E163" s="96"/>
      <c r="F163" s="127">
        <f t="shared" si="15"/>
        <v>0</v>
      </c>
      <c r="G163" s="97"/>
      <c r="H163" s="96"/>
      <c r="I163" s="96"/>
      <c r="J163" s="96"/>
      <c r="K163" s="96"/>
    </row>
    <row r="164" spans="1:20" x14ac:dyDescent="0.25">
      <c r="A164" s="111" t="s">
        <v>73</v>
      </c>
      <c r="B164" s="104">
        <f t="shared" si="14"/>
        <v>131</v>
      </c>
      <c r="C164" s="145">
        <v>6010</v>
      </c>
      <c r="D164" s="207"/>
      <c r="E164" s="216"/>
      <c r="F164" s="128">
        <f t="shared" si="15"/>
        <v>0</v>
      </c>
      <c r="G164" s="112"/>
      <c r="H164" s="113"/>
      <c r="I164" s="113"/>
      <c r="J164" s="113"/>
      <c r="K164" s="113"/>
    </row>
    <row r="165" spans="1:20" x14ac:dyDescent="0.25">
      <c r="A165" s="111" t="s">
        <v>74</v>
      </c>
      <c r="B165" s="108">
        <f t="shared" si="14"/>
        <v>132</v>
      </c>
      <c r="C165" s="145">
        <v>6020</v>
      </c>
      <c r="D165" s="207"/>
      <c r="E165" s="216"/>
      <c r="F165" s="129">
        <f t="shared" si="15"/>
        <v>0</v>
      </c>
      <c r="G165" s="112"/>
      <c r="H165" s="113"/>
      <c r="I165" s="113"/>
      <c r="J165" s="113"/>
      <c r="K165" s="113"/>
    </row>
    <row r="166" spans="1:20" ht="25.5" x14ac:dyDescent="0.25">
      <c r="A166" s="111" t="s">
        <v>130</v>
      </c>
      <c r="B166" s="108">
        <f t="shared" si="14"/>
        <v>133</v>
      </c>
      <c r="C166" s="145">
        <v>6030</v>
      </c>
      <c r="D166" s="207"/>
      <c r="E166" s="216"/>
      <c r="F166" s="129">
        <f t="shared" si="15"/>
        <v>0</v>
      </c>
      <c r="G166" s="112"/>
      <c r="H166" s="113"/>
      <c r="I166" s="113"/>
      <c r="J166" s="113"/>
      <c r="K166" s="113"/>
    </row>
    <row r="167" spans="1:20" ht="15.75" thickBot="1" x14ac:dyDescent="0.3">
      <c r="A167" s="134" t="s">
        <v>75</v>
      </c>
      <c r="B167" s="122">
        <f t="shared" si="14"/>
        <v>134</v>
      </c>
      <c r="C167" s="146">
        <v>6040</v>
      </c>
      <c r="D167" s="209"/>
      <c r="E167" s="240"/>
      <c r="F167" s="147">
        <f t="shared" si="15"/>
        <v>0</v>
      </c>
      <c r="G167" s="117"/>
      <c r="H167" s="136"/>
      <c r="I167" s="136"/>
      <c r="J167" s="136"/>
      <c r="K167" s="136"/>
    </row>
    <row r="168" spans="1:20" ht="15.75" thickBot="1" x14ac:dyDescent="0.3">
      <c r="A168" s="125" t="s">
        <v>131</v>
      </c>
      <c r="B168" s="126">
        <f t="shared" si="14"/>
        <v>135</v>
      </c>
      <c r="C168" s="94">
        <v>7000</v>
      </c>
      <c r="D168" s="133"/>
      <c r="E168" s="96"/>
      <c r="F168" s="127">
        <f t="shared" si="15"/>
        <v>0</v>
      </c>
      <c r="G168" s="97"/>
      <c r="H168" s="96"/>
      <c r="I168" s="96"/>
      <c r="J168" s="96"/>
      <c r="K168" s="96"/>
    </row>
    <row r="169" spans="1:20" x14ac:dyDescent="0.25">
      <c r="A169" s="107" t="s">
        <v>76</v>
      </c>
      <c r="B169" s="104">
        <f t="shared" si="14"/>
        <v>136</v>
      </c>
      <c r="C169" s="105">
        <v>7010</v>
      </c>
      <c r="D169" s="208"/>
      <c r="E169" s="239"/>
      <c r="F169" s="128">
        <v>0</v>
      </c>
      <c r="G169" s="106"/>
      <c r="H169" s="121"/>
      <c r="I169" s="121"/>
      <c r="J169" s="121"/>
      <c r="K169" s="121"/>
    </row>
    <row r="170" spans="1:20" x14ac:dyDescent="0.25">
      <c r="A170" s="111" t="s">
        <v>77</v>
      </c>
      <c r="B170" s="108">
        <f t="shared" si="14"/>
        <v>137</v>
      </c>
      <c r="C170" s="145">
        <v>7020</v>
      </c>
      <c r="D170" s="207"/>
      <c r="E170" s="216"/>
      <c r="F170" s="129">
        <v>0</v>
      </c>
      <c r="G170" s="112"/>
      <c r="H170" s="113"/>
      <c r="I170" s="113"/>
      <c r="J170" s="113"/>
      <c r="K170" s="113"/>
    </row>
    <row r="171" spans="1:20" x14ac:dyDescent="0.25">
      <c r="A171" s="111" t="s">
        <v>78</v>
      </c>
      <c r="B171" s="108">
        <f t="shared" si="14"/>
        <v>138</v>
      </c>
      <c r="C171" s="145">
        <v>7030</v>
      </c>
      <c r="D171" s="207"/>
      <c r="E171" s="216"/>
      <c r="F171" s="129">
        <v>0</v>
      </c>
      <c r="G171" s="112"/>
      <c r="H171" s="113"/>
      <c r="I171" s="113"/>
      <c r="J171" s="113"/>
      <c r="K171" s="113"/>
    </row>
    <row r="172" spans="1:20" x14ac:dyDescent="0.25">
      <c r="A172" s="277" t="s">
        <v>79</v>
      </c>
      <c r="B172" s="234">
        <f t="shared" si="14"/>
        <v>139</v>
      </c>
      <c r="C172" s="278">
        <v>7040</v>
      </c>
      <c r="D172" s="279"/>
      <c r="E172" s="280"/>
      <c r="F172" s="279">
        <f t="shared" si="15"/>
        <v>0</v>
      </c>
      <c r="G172" s="281">
        <v>0</v>
      </c>
      <c r="H172" s="281">
        <v>0</v>
      </c>
      <c r="I172" s="281">
        <v>0</v>
      </c>
      <c r="J172" s="281">
        <v>0</v>
      </c>
      <c r="K172" s="281"/>
    </row>
    <row r="173" spans="1:20" ht="15.75" thickBot="1" x14ac:dyDescent="0.3">
      <c r="A173" s="277" t="s">
        <v>80</v>
      </c>
      <c r="B173" s="234">
        <f t="shared" si="14"/>
        <v>140</v>
      </c>
      <c r="C173" s="278">
        <v>7050</v>
      </c>
      <c r="D173" s="279"/>
      <c r="E173" s="280"/>
      <c r="F173" s="279">
        <f t="shared" si="15"/>
        <v>0</v>
      </c>
      <c r="G173" s="281">
        <v>0</v>
      </c>
      <c r="H173" s="281">
        <v>0</v>
      </c>
      <c r="I173" s="281">
        <v>0</v>
      </c>
      <c r="J173" s="281">
        <v>0</v>
      </c>
      <c r="K173" s="337"/>
    </row>
    <row r="174" spans="1:20" x14ac:dyDescent="0.25">
      <c r="A174" s="282" t="s">
        <v>132</v>
      </c>
      <c r="B174" s="283">
        <f t="shared" ref="B174:B206" si="20">B173+1</f>
        <v>141</v>
      </c>
      <c r="C174" s="284">
        <v>8000</v>
      </c>
      <c r="D174" s="273"/>
      <c r="E174" s="274"/>
      <c r="F174" s="273">
        <f t="shared" si="15"/>
        <v>0</v>
      </c>
      <c r="G174" s="274"/>
      <c r="H174" s="274"/>
      <c r="I174" s="274"/>
      <c r="J174" s="335"/>
      <c r="K174" s="338">
        <f>SUM(K176:K182)</f>
        <v>0</v>
      </c>
      <c r="L174" s="313"/>
      <c r="M174" s="313"/>
      <c r="N174" s="313"/>
      <c r="O174" s="313"/>
      <c r="P174" s="177"/>
      <c r="Q174" s="177"/>
      <c r="R174" s="177"/>
      <c r="S174" s="177"/>
      <c r="T174" s="177"/>
    </row>
    <row r="175" spans="1:20" x14ac:dyDescent="0.25">
      <c r="A175" s="107" t="s">
        <v>221</v>
      </c>
      <c r="B175" s="138">
        <f t="shared" si="20"/>
        <v>142</v>
      </c>
      <c r="C175" s="151">
        <v>8010</v>
      </c>
      <c r="D175" s="214"/>
      <c r="E175" s="252"/>
      <c r="F175" s="327">
        <f t="shared" ref="F175:J175" si="21">SUM(F176:F182)</f>
        <v>569.5</v>
      </c>
      <c r="G175" s="301">
        <f>SUM(G176:G182)</f>
        <v>569.5</v>
      </c>
      <c r="H175" s="302">
        <f t="shared" si="21"/>
        <v>569.5</v>
      </c>
      <c r="I175" s="302">
        <f t="shared" si="21"/>
        <v>569.5</v>
      </c>
      <c r="J175" s="252">
        <f t="shared" si="21"/>
        <v>569.5</v>
      </c>
      <c r="K175" s="339"/>
      <c r="L175" s="659"/>
      <c r="M175" s="659"/>
      <c r="N175" s="659"/>
      <c r="O175" s="313"/>
      <c r="P175" s="177"/>
      <c r="Q175" s="177"/>
      <c r="R175" s="177"/>
      <c r="S175" s="177"/>
      <c r="T175" s="177"/>
    </row>
    <row r="176" spans="1:20" x14ac:dyDescent="0.25">
      <c r="A176" s="111" t="s">
        <v>81</v>
      </c>
      <c r="B176" s="108">
        <f t="shared" si="20"/>
        <v>143</v>
      </c>
      <c r="C176" s="152" t="s">
        <v>191</v>
      </c>
      <c r="D176" s="129"/>
      <c r="E176" s="253"/>
      <c r="F176" s="328">
        <f>(G176+H176+I176+J176)/4</f>
        <v>1</v>
      </c>
      <c r="G176" s="303">
        <v>1</v>
      </c>
      <c r="H176" s="303">
        <v>1</v>
      </c>
      <c r="I176" s="303">
        <v>1</v>
      </c>
      <c r="J176" s="303">
        <v>1</v>
      </c>
      <c r="K176" s="340"/>
      <c r="L176" s="659"/>
      <c r="M176" s="659"/>
      <c r="N176" s="659"/>
      <c r="O176" s="313"/>
      <c r="P176" s="177"/>
      <c r="Q176" s="177"/>
      <c r="R176" s="177"/>
      <c r="S176" s="177"/>
      <c r="T176" s="177"/>
    </row>
    <row r="177" spans="1:20" x14ac:dyDescent="0.25">
      <c r="A177" s="111" t="s">
        <v>114</v>
      </c>
      <c r="B177" s="108">
        <f t="shared" si="20"/>
        <v>144</v>
      </c>
      <c r="C177" s="152" t="s">
        <v>192</v>
      </c>
      <c r="D177" s="129"/>
      <c r="E177" s="253"/>
      <c r="F177" s="328">
        <f t="shared" ref="F177" si="22">(G177+H177+I177+J177)/4</f>
        <v>4</v>
      </c>
      <c r="G177" s="303">
        <v>4</v>
      </c>
      <c r="H177" s="303">
        <v>4</v>
      </c>
      <c r="I177" s="303">
        <v>4</v>
      </c>
      <c r="J177" s="303">
        <v>4</v>
      </c>
      <c r="K177" s="340"/>
      <c r="L177" s="313"/>
      <c r="M177" s="313"/>
      <c r="N177" s="313"/>
      <c r="O177" s="313"/>
      <c r="P177" s="177"/>
      <c r="Q177" s="177"/>
      <c r="R177" s="177"/>
      <c r="S177" s="177"/>
      <c r="T177" s="177"/>
    </row>
    <row r="178" spans="1:20" x14ac:dyDescent="0.25">
      <c r="A178" s="111" t="s">
        <v>82</v>
      </c>
      <c r="B178" s="108">
        <f t="shared" si="20"/>
        <v>145</v>
      </c>
      <c r="C178" s="152" t="s">
        <v>193</v>
      </c>
      <c r="D178" s="129"/>
      <c r="E178" s="253"/>
      <c r="F178" s="328">
        <v>216.75</v>
      </c>
      <c r="G178" s="303">
        <v>216.75</v>
      </c>
      <c r="H178" s="303">
        <v>216.75</v>
      </c>
      <c r="I178" s="303">
        <v>216.75</v>
      </c>
      <c r="J178" s="303">
        <v>216.75</v>
      </c>
      <c r="K178" s="340"/>
      <c r="L178" s="313"/>
      <c r="M178" s="313"/>
      <c r="N178" s="313"/>
      <c r="O178" s="313"/>
      <c r="P178" s="177"/>
      <c r="Q178" s="177"/>
      <c r="R178" s="177"/>
      <c r="S178" s="177"/>
      <c r="T178" s="177"/>
    </row>
    <row r="179" spans="1:20" x14ac:dyDescent="0.25">
      <c r="A179" s="111" t="s">
        <v>83</v>
      </c>
      <c r="B179" s="108">
        <f t="shared" si="20"/>
        <v>146</v>
      </c>
      <c r="C179" s="152" t="s">
        <v>194</v>
      </c>
      <c r="D179" s="129"/>
      <c r="E179" s="253"/>
      <c r="F179" s="328">
        <v>18</v>
      </c>
      <c r="G179" s="303">
        <v>18</v>
      </c>
      <c r="H179" s="303">
        <v>18</v>
      </c>
      <c r="I179" s="303">
        <v>18</v>
      </c>
      <c r="J179" s="303">
        <v>18</v>
      </c>
      <c r="K179" s="340"/>
      <c r="L179" s="313"/>
      <c r="M179" s="313"/>
      <c r="N179" s="313"/>
      <c r="O179" s="313"/>
      <c r="P179" s="177"/>
      <c r="Q179" s="177"/>
      <c r="R179" s="177"/>
      <c r="S179" s="177"/>
      <c r="T179" s="177"/>
    </row>
    <row r="180" spans="1:20" x14ac:dyDescent="0.25">
      <c r="A180" s="111" t="s">
        <v>84</v>
      </c>
      <c r="B180" s="108">
        <f t="shared" si="20"/>
        <v>147</v>
      </c>
      <c r="C180" s="152" t="s">
        <v>195</v>
      </c>
      <c r="D180" s="129"/>
      <c r="E180" s="253"/>
      <c r="F180" s="328">
        <v>229.75</v>
      </c>
      <c r="G180" s="303">
        <v>229.75</v>
      </c>
      <c r="H180" s="303">
        <v>229.75</v>
      </c>
      <c r="I180" s="303">
        <v>229.75</v>
      </c>
      <c r="J180" s="303">
        <v>229.75</v>
      </c>
      <c r="K180" s="340"/>
      <c r="L180" s="313"/>
      <c r="M180" s="313"/>
      <c r="N180" s="313"/>
      <c r="O180" s="313"/>
      <c r="P180" s="177"/>
      <c r="Q180" s="177"/>
      <c r="R180" s="177"/>
      <c r="S180" s="177"/>
      <c r="T180" s="177"/>
    </row>
    <row r="181" spans="1:20" x14ac:dyDescent="0.25">
      <c r="A181" s="111" t="s">
        <v>85</v>
      </c>
      <c r="B181" s="108">
        <f t="shared" si="20"/>
        <v>148</v>
      </c>
      <c r="C181" s="153" t="s">
        <v>196</v>
      </c>
      <c r="D181" s="129"/>
      <c r="E181" s="253"/>
      <c r="F181" s="328">
        <v>40.5</v>
      </c>
      <c r="G181" s="303">
        <v>40.5</v>
      </c>
      <c r="H181" s="303">
        <v>40.5</v>
      </c>
      <c r="I181" s="303">
        <v>40.5</v>
      </c>
      <c r="J181" s="303">
        <v>40.5</v>
      </c>
      <c r="K181" s="340"/>
      <c r="L181" s="313"/>
      <c r="M181" s="313"/>
      <c r="N181" s="313"/>
      <c r="O181" s="313"/>
      <c r="P181" s="177"/>
      <c r="Q181" s="177"/>
      <c r="R181" s="177"/>
      <c r="S181" s="177"/>
      <c r="T181" s="177"/>
    </row>
    <row r="182" spans="1:20" ht="15.75" thickBot="1" x14ac:dyDescent="0.3">
      <c r="A182" s="134" t="s">
        <v>86</v>
      </c>
      <c r="B182" s="122">
        <f t="shared" si="20"/>
        <v>149</v>
      </c>
      <c r="C182" s="153" t="s">
        <v>197</v>
      </c>
      <c r="D182" s="147"/>
      <c r="E182" s="254"/>
      <c r="F182" s="328">
        <v>59.5</v>
      </c>
      <c r="G182" s="304">
        <v>59.5</v>
      </c>
      <c r="H182" s="304">
        <v>59.5</v>
      </c>
      <c r="I182" s="304">
        <v>59.5</v>
      </c>
      <c r="J182" s="304">
        <v>59.5</v>
      </c>
      <c r="K182" s="341"/>
      <c r="L182" s="313"/>
      <c r="M182" s="313"/>
      <c r="N182" s="313"/>
      <c r="O182" s="313"/>
      <c r="P182" s="177"/>
      <c r="Q182" s="177"/>
      <c r="R182" s="177"/>
      <c r="S182" s="177"/>
      <c r="T182" s="177"/>
    </row>
    <row r="183" spans="1:20" ht="15.75" thickBot="1" x14ac:dyDescent="0.3">
      <c r="A183" s="98" t="s">
        <v>87</v>
      </c>
      <c r="B183" s="99">
        <f t="shared" si="20"/>
        <v>150</v>
      </c>
      <c r="C183" s="154">
        <v>8020</v>
      </c>
      <c r="D183" s="103"/>
      <c r="E183" s="251"/>
      <c r="F183" s="312">
        <f t="shared" ref="F183:F206" si="23">G183+H183+I183+J183</f>
        <v>105550.6</v>
      </c>
      <c r="G183" s="305">
        <f>SUM(G184:G190)</f>
        <v>26356.400000000001</v>
      </c>
      <c r="H183" s="309">
        <f>SUM(H184:H190)</f>
        <v>26356.400000000001</v>
      </c>
      <c r="I183" s="238">
        <f>SUM(I184:I190)</f>
        <v>26356.400000000001</v>
      </c>
      <c r="J183" s="251">
        <f>SUM(J184:J190)</f>
        <v>26481.4</v>
      </c>
      <c r="K183" s="103">
        <f>SUM(F97,F109,F70,F55)</f>
        <v>105550.59999999999</v>
      </c>
      <c r="L183" s="342">
        <f>G55+G70+G109</f>
        <v>26356.399999999998</v>
      </c>
      <c r="M183" s="342">
        <f t="shared" ref="M183:O183" si="24">H55+H70+H109</f>
        <v>26356.399999999998</v>
      </c>
      <c r="N183" s="342">
        <f t="shared" si="24"/>
        <v>26356.399999999998</v>
      </c>
      <c r="O183" s="342">
        <f t="shared" si="24"/>
        <v>26481.4</v>
      </c>
      <c r="P183" s="334"/>
      <c r="Q183" s="177"/>
      <c r="R183" s="177"/>
      <c r="S183" s="177"/>
      <c r="T183" s="332"/>
    </row>
    <row r="184" spans="1:20" x14ac:dyDescent="0.25">
      <c r="A184" s="107" t="s">
        <v>81</v>
      </c>
      <c r="B184" s="104">
        <f t="shared" si="20"/>
        <v>151</v>
      </c>
      <c r="C184" s="152" t="s">
        <v>198</v>
      </c>
      <c r="D184" s="106"/>
      <c r="E184" s="239"/>
      <c r="F184" s="222">
        <f>SUM(G184:J184)</f>
        <v>707.4</v>
      </c>
      <c r="G184" s="306">
        <v>175.5</v>
      </c>
      <c r="H184" s="259">
        <v>175.5</v>
      </c>
      <c r="I184" s="255">
        <v>175.5</v>
      </c>
      <c r="J184" s="315">
        <v>180.9</v>
      </c>
      <c r="K184" s="158"/>
      <c r="L184" s="313"/>
      <c r="M184" s="313"/>
      <c r="N184" s="313"/>
      <c r="O184" s="313"/>
      <c r="P184" s="177"/>
      <c r="Q184" s="177"/>
      <c r="R184" s="177"/>
      <c r="S184" s="177"/>
      <c r="T184" s="332"/>
    </row>
    <row r="185" spans="1:20" x14ac:dyDescent="0.25">
      <c r="A185" s="107" t="s">
        <v>115</v>
      </c>
      <c r="B185" s="108">
        <f t="shared" si="20"/>
        <v>152</v>
      </c>
      <c r="C185" s="152" t="s">
        <v>199</v>
      </c>
      <c r="D185" s="106"/>
      <c r="E185" s="239"/>
      <c r="F185" s="215">
        <f t="shared" si="23"/>
        <v>1257.5999999999999</v>
      </c>
      <c r="G185" s="306">
        <v>312</v>
      </c>
      <c r="H185" s="259">
        <v>312</v>
      </c>
      <c r="I185" s="255">
        <v>312</v>
      </c>
      <c r="J185" s="306">
        <v>321.60000000000002</v>
      </c>
      <c r="K185" s="106"/>
      <c r="L185" s="313"/>
      <c r="M185" s="313"/>
      <c r="N185" s="313"/>
      <c r="O185" s="313"/>
      <c r="P185" s="177"/>
      <c r="Q185" s="177"/>
      <c r="R185" s="177"/>
      <c r="S185" s="177"/>
      <c r="T185" s="332"/>
    </row>
    <row r="186" spans="1:20" x14ac:dyDescent="0.25">
      <c r="A186" s="111" t="s">
        <v>82</v>
      </c>
      <c r="B186" s="108">
        <f t="shared" si="20"/>
        <v>153</v>
      </c>
      <c r="C186" s="152" t="s">
        <v>200</v>
      </c>
      <c r="D186" s="112"/>
      <c r="E186" s="216"/>
      <c r="F186" s="215">
        <f t="shared" si="23"/>
        <v>52020</v>
      </c>
      <c r="G186" s="307">
        <v>13005</v>
      </c>
      <c r="H186" s="307">
        <v>13005</v>
      </c>
      <c r="I186" s="307">
        <v>13005</v>
      </c>
      <c r="J186" s="307">
        <v>13005</v>
      </c>
      <c r="K186" s="112"/>
      <c r="L186" s="313"/>
      <c r="M186" s="313"/>
      <c r="N186" s="313"/>
      <c r="O186" s="313"/>
      <c r="P186" s="177"/>
      <c r="Q186" s="177"/>
      <c r="R186" s="177"/>
      <c r="S186" s="177"/>
      <c r="T186" s="332"/>
    </row>
    <row r="187" spans="1:20" x14ac:dyDescent="0.25">
      <c r="A187" s="111" t="s">
        <v>83</v>
      </c>
      <c r="B187" s="108">
        <f t="shared" si="20"/>
        <v>154</v>
      </c>
      <c r="C187" s="152" t="s">
        <v>201</v>
      </c>
      <c r="D187" s="112"/>
      <c r="E187" s="216"/>
      <c r="F187" s="215">
        <f t="shared" si="23"/>
        <v>3676</v>
      </c>
      <c r="G187" s="307">
        <v>912</v>
      </c>
      <c r="H187" s="260">
        <v>912</v>
      </c>
      <c r="I187" s="244">
        <v>912</v>
      </c>
      <c r="J187" s="307">
        <v>940</v>
      </c>
      <c r="K187" s="112"/>
      <c r="L187" s="177"/>
      <c r="M187" s="177"/>
      <c r="N187" s="177"/>
      <c r="O187" s="177"/>
      <c r="P187" s="177"/>
      <c r="Q187" s="177"/>
      <c r="R187" s="177"/>
      <c r="S187" s="177"/>
      <c r="T187" s="332"/>
    </row>
    <row r="188" spans="1:20" x14ac:dyDescent="0.25">
      <c r="A188" s="111" t="s">
        <v>84</v>
      </c>
      <c r="B188" s="108">
        <f t="shared" si="20"/>
        <v>155</v>
      </c>
      <c r="C188" s="152" t="s">
        <v>202</v>
      </c>
      <c r="D188" s="112"/>
      <c r="E188" s="216"/>
      <c r="F188" s="215">
        <f t="shared" si="23"/>
        <v>37219.599999999999</v>
      </c>
      <c r="G188" s="307">
        <v>9304.9</v>
      </c>
      <c r="H188" s="307">
        <v>9304.9</v>
      </c>
      <c r="I188" s="307">
        <v>9304.9</v>
      </c>
      <c r="J188" s="307">
        <v>9304.9</v>
      </c>
      <c r="K188" s="112"/>
      <c r="L188" s="177"/>
      <c r="M188" s="177"/>
      <c r="N188" s="177"/>
      <c r="O188" s="177"/>
      <c r="P188" s="177"/>
      <c r="Q188" s="177"/>
      <c r="R188" s="177"/>
      <c r="S188" s="177"/>
      <c r="T188" s="332"/>
    </row>
    <row r="189" spans="1:20" x14ac:dyDescent="0.25">
      <c r="A189" s="111" t="s">
        <v>85</v>
      </c>
      <c r="B189" s="108">
        <f t="shared" si="20"/>
        <v>156</v>
      </c>
      <c r="C189" s="153" t="s">
        <v>203</v>
      </c>
      <c r="D189" s="112"/>
      <c r="E189" s="216"/>
      <c r="F189" s="215">
        <f t="shared" si="23"/>
        <v>3515</v>
      </c>
      <c r="G189" s="307">
        <v>872</v>
      </c>
      <c r="H189" s="307">
        <v>872</v>
      </c>
      <c r="I189" s="307">
        <v>872</v>
      </c>
      <c r="J189" s="307">
        <v>899</v>
      </c>
      <c r="K189" s="112"/>
      <c r="L189" s="177"/>
      <c r="M189" s="177"/>
      <c r="N189" s="177"/>
      <c r="O189" s="177"/>
      <c r="P189" s="177"/>
      <c r="Q189" s="177"/>
      <c r="R189" s="177"/>
      <c r="S189" s="177"/>
      <c r="T189" s="332"/>
    </row>
    <row r="190" spans="1:20" ht="15.75" thickBot="1" x14ac:dyDescent="0.3">
      <c r="A190" s="134" t="s">
        <v>86</v>
      </c>
      <c r="B190" s="122">
        <f t="shared" si="20"/>
        <v>157</v>
      </c>
      <c r="C190" s="153" t="s">
        <v>204</v>
      </c>
      <c r="D190" s="117"/>
      <c r="E190" s="240"/>
      <c r="F190" s="264">
        <f t="shared" si="23"/>
        <v>7155</v>
      </c>
      <c r="G190" s="308">
        <v>1775</v>
      </c>
      <c r="H190" s="261">
        <v>1775</v>
      </c>
      <c r="I190" s="261">
        <v>1775</v>
      </c>
      <c r="J190" s="308">
        <v>1830</v>
      </c>
      <c r="K190" s="124"/>
      <c r="L190" s="177"/>
      <c r="M190" s="177"/>
      <c r="N190" s="177"/>
      <c r="O190" s="177"/>
      <c r="P190" s="177"/>
      <c r="Q190" s="177"/>
      <c r="R190" s="177"/>
      <c r="S190" s="177"/>
      <c r="T190" s="332"/>
    </row>
    <row r="191" spans="1:20" ht="26.25" thickBot="1" x14ac:dyDescent="0.3">
      <c r="A191" s="98" t="s">
        <v>675</v>
      </c>
      <c r="B191" s="99">
        <f t="shared" si="20"/>
        <v>158</v>
      </c>
      <c r="C191" s="154">
        <v>8030</v>
      </c>
      <c r="D191" s="103"/>
      <c r="E191" s="251"/>
      <c r="F191" s="312">
        <f t="shared" ref="F191:F198" si="25">F183/F175/12</f>
        <v>15.444922446590576</v>
      </c>
      <c r="G191" s="238">
        <f t="shared" ref="G191:J198" si="26">G183/G175/3</f>
        <v>15.426631548141645</v>
      </c>
      <c r="H191" s="329">
        <f t="shared" si="26"/>
        <v>15.426631548141645</v>
      </c>
      <c r="I191" s="330">
        <f t="shared" si="26"/>
        <v>15.426631548141645</v>
      </c>
      <c r="J191" s="336">
        <f t="shared" si="26"/>
        <v>15.499795141937375</v>
      </c>
      <c r="K191" s="103"/>
      <c r="L191" s="177"/>
      <c r="M191" s="177"/>
      <c r="N191" s="177"/>
      <c r="O191" s="177"/>
      <c r="P191" s="177"/>
      <c r="Q191" s="177"/>
      <c r="R191" s="177"/>
      <c r="S191" s="177"/>
      <c r="T191" s="177"/>
    </row>
    <row r="192" spans="1:20" ht="15.75" thickBot="1" x14ac:dyDescent="0.3">
      <c r="A192" s="107" t="s">
        <v>81</v>
      </c>
      <c r="B192" s="104">
        <f t="shared" si="20"/>
        <v>159</v>
      </c>
      <c r="C192" s="152" t="s">
        <v>205</v>
      </c>
      <c r="D192" s="106"/>
      <c r="E192" s="255"/>
      <c r="F192" s="222">
        <f t="shared" si="25"/>
        <v>58.949999999999996</v>
      </c>
      <c r="G192" s="255">
        <f>G184/G176/3</f>
        <v>58.5</v>
      </c>
      <c r="H192" s="331">
        <f>H184/H176/3</f>
        <v>58.5</v>
      </c>
      <c r="I192" s="331">
        <f>I184/I176/3</f>
        <v>58.5</v>
      </c>
      <c r="J192" s="315">
        <f>J184/J176/3</f>
        <v>60.300000000000004</v>
      </c>
      <c r="K192" s="103"/>
      <c r="L192" s="177"/>
      <c r="M192" s="177"/>
      <c r="N192" s="177"/>
      <c r="O192" s="177"/>
      <c r="P192" s="177"/>
      <c r="Q192" s="177"/>
      <c r="R192" s="177"/>
      <c r="S192" s="177"/>
      <c r="T192" s="177"/>
    </row>
    <row r="193" spans="1:11" x14ac:dyDescent="0.25">
      <c r="A193" s="107" t="s">
        <v>115</v>
      </c>
      <c r="B193" s="108">
        <f t="shared" si="20"/>
        <v>160</v>
      </c>
      <c r="C193" s="152" t="s">
        <v>206</v>
      </c>
      <c r="D193" s="106"/>
      <c r="E193" s="255"/>
      <c r="F193" s="215">
        <f t="shared" si="25"/>
        <v>26.2</v>
      </c>
      <c r="G193" s="255">
        <f t="shared" si="26"/>
        <v>26</v>
      </c>
      <c r="H193" s="260">
        <f t="shared" si="26"/>
        <v>26</v>
      </c>
      <c r="I193" s="260">
        <f t="shared" si="26"/>
        <v>26</v>
      </c>
      <c r="J193" s="260">
        <f t="shared" si="26"/>
        <v>26.8</v>
      </c>
      <c r="K193" s="106"/>
    </row>
    <row r="194" spans="1:11" x14ac:dyDescent="0.25">
      <c r="A194" s="111" t="s">
        <v>82</v>
      </c>
      <c r="B194" s="108">
        <f t="shared" si="20"/>
        <v>161</v>
      </c>
      <c r="C194" s="152" t="s">
        <v>207</v>
      </c>
      <c r="D194" s="112"/>
      <c r="E194" s="244"/>
      <c r="F194" s="215">
        <f t="shared" si="25"/>
        <v>20</v>
      </c>
      <c r="G194" s="244">
        <f t="shared" si="26"/>
        <v>20</v>
      </c>
      <c r="H194" s="260">
        <f t="shared" si="26"/>
        <v>20</v>
      </c>
      <c r="I194" s="260">
        <f t="shared" si="26"/>
        <v>20</v>
      </c>
      <c r="J194" s="260">
        <f t="shared" si="26"/>
        <v>20</v>
      </c>
      <c r="K194" s="112"/>
    </row>
    <row r="195" spans="1:11" x14ac:dyDescent="0.25">
      <c r="A195" s="111" t="s">
        <v>83</v>
      </c>
      <c r="B195" s="108">
        <f t="shared" si="20"/>
        <v>162</v>
      </c>
      <c r="C195" s="152" t="s">
        <v>208</v>
      </c>
      <c r="D195" s="112"/>
      <c r="E195" s="244"/>
      <c r="F195" s="215">
        <f t="shared" si="25"/>
        <v>17.018518518518519</v>
      </c>
      <c r="G195" s="244">
        <f t="shared" si="26"/>
        <v>16.888888888888889</v>
      </c>
      <c r="H195" s="260">
        <f t="shared" si="26"/>
        <v>16.888888888888889</v>
      </c>
      <c r="I195" s="260">
        <f t="shared" si="26"/>
        <v>16.888888888888889</v>
      </c>
      <c r="J195" s="260">
        <f t="shared" si="26"/>
        <v>17.407407407407408</v>
      </c>
      <c r="K195" s="112"/>
    </row>
    <row r="196" spans="1:11" x14ac:dyDescent="0.25">
      <c r="A196" s="111" t="s">
        <v>84</v>
      </c>
      <c r="B196" s="108">
        <f t="shared" si="20"/>
        <v>163</v>
      </c>
      <c r="C196" s="152" t="s">
        <v>209</v>
      </c>
      <c r="D196" s="112"/>
      <c r="E196" s="244"/>
      <c r="F196" s="215">
        <f t="shared" si="25"/>
        <v>13.500036271309392</v>
      </c>
      <c r="G196" s="244">
        <f t="shared" si="26"/>
        <v>13.500036271309392</v>
      </c>
      <c r="H196" s="260">
        <f t="shared" si="26"/>
        <v>13.500036271309392</v>
      </c>
      <c r="I196" s="260">
        <f t="shared" si="26"/>
        <v>13.500036271309392</v>
      </c>
      <c r="J196" s="260">
        <f t="shared" si="26"/>
        <v>13.500036271309392</v>
      </c>
      <c r="K196" s="112"/>
    </row>
    <row r="197" spans="1:11" x14ac:dyDescent="0.25">
      <c r="A197" s="111" t="s">
        <v>85</v>
      </c>
      <c r="B197" s="108">
        <f t="shared" si="20"/>
        <v>164</v>
      </c>
      <c r="C197" s="153" t="s">
        <v>210</v>
      </c>
      <c r="D197" s="112"/>
      <c r="E197" s="244"/>
      <c r="F197" s="215">
        <f t="shared" si="25"/>
        <v>7.2325102880658436</v>
      </c>
      <c r="G197" s="244">
        <f t="shared" si="26"/>
        <v>7.1769547325102883</v>
      </c>
      <c r="H197" s="260">
        <f t="shared" si="26"/>
        <v>7.1769547325102883</v>
      </c>
      <c r="I197" s="260">
        <f t="shared" si="26"/>
        <v>7.1769547325102883</v>
      </c>
      <c r="J197" s="260">
        <f t="shared" si="26"/>
        <v>7.3991769547325106</v>
      </c>
      <c r="K197" s="112"/>
    </row>
    <row r="198" spans="1:11" ht="15.75" thickBot="1" x14ac:dyDescent="0.3">
      <c r="A198" s="134" t="s">
        <v>86</v>
      </c>
      <c r="B198" s="122">
        <f t="shared" si="20"/>
        <v>165</v>
      </c>
      <c r="C198" s="153" t="s">
        <v>211</v>
      </c>
      <c r="D198" s="117"/>
      <c r="E198" s="256"/>
      <c r="F198" s="264">
        <f t="shared" si="25"/>
        <v>10.021008403361344</v>
      </c>
      <c r="G198" s="256">
        <f t="shared" si="26"/>
        <v>9.9439775910364148</v>
      </c>
      <c r="H198" s="310">
        <f t="shared" si="26"/>
        <v>9.9439775910364148</v>
      </c>
      <c r="I198" s="310">
        <f t="shared" si="26"/>
        <v>9.9439775910364148</v>
      </c>
      <c r="J198" s="310">
        <f t="shared" si="26"/>
        <v>10.252100840336135</v>
      </c>
      <c r="K198" s="124"/>
    </row>
    <row r="199" spans="1:11" ht="15.75" thickBot="1" x14ac:dyDescent="0.3">
      <c r="A199" s="98" t="s">
        <v>88</v>
      </c>
      <c r="B199" s="99">
        <f t="shared" si="20"/>
        <v>166</v>
      </c>
      <c r="C199" s="154">
        <v>8040</v>
      </c>
      <c r="D199" s="103"/>
      <c r="E199" s="251"/>
      <c r="F199" s="101">
        <f t="shared" si="23"/>
        <v>0</v>
      </c>
      <c r="G199" s="155"/>
      <c r="H199" s="205"/>
      <c r="I199" s="206"/>
      <c r="J199" s="205"/>
      <c r="K199" s="102"/>
    </row>
    <row r="200" spans="1:11" x14ac:dyDescent="0.25">
      <c r="A200" s="107" t="s">
        <v>81</v>
      </c>
      <c r="B200" s="104">
        <f t="shared" si="20"/>
        <v>167</v>
      </c>
      <c r="C200" s="152" t="s">
        <v>212</v>
      </c>
      <c r="D200" s="106"/>
      <c r="E200" s="239"/>
      <c r="F200" s="128">
        <f t="shared" si="23"/>
        <v>0</v>
      </c>
      <c r="G200" s="156"/>
      <c r="H200" s="106"/>
      <c r="I200" s="157"/>
      <c r="J200" s="106"/>
      <c r="K200" s="121"/>
    </row>
    <row r="201" spans="1:11" x14ac:dyDescent="0.25">
      <c r="A201" s="111" t="s">
        <v>115</v>
      </c>
      <c r="B201" s="108">
        <f t="shared" si="20"/>
        <v>168</v>
      </c>
      <c r="C201" s="152" t="s">
        <v>213</v>
      </c>
      <c r="D201" s="112"/>
      <c r="E201" s="216"/>
      <c r="F201" s="129">
        <f t="shared" si="23"/>
        <v>0</v>
      </c>
      <c r="G201" s="159"/>
      <c r="H201" s="112"/>
      <c r="I201" s="160"/>
      <c r="J201" s="112"/>
      <c r="K201" s="113"/>
    </row>
    <row r="202" spans="1:11" x14ac:dyDescent="0.25">
      <c r="A202" s="111" t="s">
        <v>82</v>
      </c>
      <c r="B202" s="108">
        <f t="shared" si="20"/>
        <v>169</v>
      </c>
      <c r="C202" s="152" t="s">
        <v>214</v>
      </c>
      <c r="D202" s="112"/>
      <c r="E202" s="216"/>
      <c r="F202" s="129">
        <f t="shared" si="23"/>
        <v>0</v>
      </c>
      <c r="G202" s="159"/>
      <c r="H202" s="112"/>
      <c r="I202" s="160"/>
      <c r="J202" s="112"/>
      <c r="K202" s="113"/>
    </row>
    <row r="203" spans="1:11" x14ac:dyDescent="0.25">
      <c r="A203" s="111" t="s">
        <v>83</v>
      </c>
      <c r="B203" s="108">
        <f t="shared" si="20"/>
        <v>170</v>
      </c>
      <c r="C203" s="152" t="s">
        <v>215</v>
      </c>
      <c r="D203" s="112"/>
      <c r="E203" s="216"/>
      <c r="F203" s="129">
        <f t="shared" si="23"/>
        <v>0</v>
      </c>
      <c r="G203" s="159"/>
      <c r="H203" s="112"/>
      <c r="I203" s="160"/>
      <c r="J203" s="112"/>
      <c r="K203" s="113"/>
    </row>
    <row r="204" spans="1:11" x14ac:dyDescent="0.25">
      <c r="A204" s="111" t="s">
        <v>84</v>
      </c>
      <c r="B204" s="108">
        <f t="shared" si="20"/>
        <v>171</v>
      </c>
      <c r="C204" s="152" t="s">
        <v>216</v>
      </c>
      <c r="D204" s="112"/>
      <c r="E204" s="216"/>
      <c r="F204" s="129">
        <f t="shared" si="23"/>
        <v>0</v>
      </c>
      <c r="G204" s="159"/>
      <c r="H204" s="112"/>
      <c r="I204" s="160"/>
      <c r="J204" s="112"/>
      <c r="K204" s="113"/>
    </row>
    <row r="205" spans="1:11" x14ac:dyDescent="0.25">
      <c r="A205" s="111" t="s">
        <v>85</v>
      </c>
      <c r="B205" s="108">
        <f t="shared" si="20"/>
        <v>172</v>
      </c>
      <c r="C205" s="153" t="s">
        <v>217</v>
      </c>
      <c r="D205" s="112"/>
      <c r="E205" s="216"/>
      <c r="F205" s="129">
        <f t="shared" si="23"/>
        <v>0</v>
      </c>
      <c r="G205" s="159"/>
      <c r="H205" s="112"/>
      <c r="I205" s="160"/>
      <c r="J205" s="112"/>
      <c r="K205" s="113"/>
    </row>
    <row r="206" spans="1:11" ht="15.75" thickBot="1" x14ac:dyDescent="0.3">
      <c r="A206" s="161" t="s">
        <v>86</v>
      </c>
      <c r="B206" s="122">
        <f t="shared" si="20"/>
        <v>173</v>
      </c>
      <c r="C206" s="265" t="s">
        <v>218</v>
      </c>
      <c r="D206" s="124"/>
      <c r="E206" s="241"/>
      <c r="F206" s="147">
        <f t="shared" si="23"/>
        <v>0</v>
      </c>
      <c r="G206" s="163"/>
      <c r="H206" s="124"/>
      <c r="I206" s="164"/>
      <c r="J206" s="124"/>
      <c r="K206" s="123"/>
    </row>
    <row r="207" spans="1:11" x14ac:dyDescent="0.25">
      <c r="A207" s="72"/>
      <c r="B207" s="87"/>
      <c r="C207" s="165"/>
      <c r="D207" s="664"/>
      <c r="E207" s="664"/>
      <c r="F207" s="664"/>
      <c r="G207" s="166"/>
      <c r="K207" s="1"/>
    </row>
    <row r="208" spans="1:11" x14ac:dyDescent="0.25">
      <c r="B208" s="87"/>
      <c r="C208" s="71"/>
      <c r="D208" s="665"/>
      <c r="E208" s="665"/>
      <c r="F208" s="665"/>
      <c r="G208" s="167"/>
      <c r="K208" s="168"/>
    </row>
    <row r="209" spans="1:11" x14ac:dyDescent="0.25">
      <c r="A209" s="72" t="s">
        <v>704</v>
      </c>
      <c r="E209" s="257"/>
      <c r="H209" s="666" t="s">
        <v>705</v>
      </c>
      <c r="I209" s="666"/>
      <c r="J209" s="666"/>
    </row>
    <row r="210" spans="1:11" x14ac:dyDescent="0.25">
      <c r="A210" s="231"/>
      <c r="E210" s="257"/>
      <c r="H210" s="660"/>
      <c r="I210" s="660"/>
      <c r="J210" s="660"/>
    </row>
    <row r="211" spans="1:11" x14ac:dyDescent="0.25">
      <c r="A211" s="231"/>
      <c r="E211" s="257"/>
    </row>
    <row r="212" spans="1:11" x14ac:dyDescent="0.25">
      <c r="A212" s="231"/>
      <c r="E212" s="257"/>
      <c r="H212" s="1"/>
      <c r="I212" s="1"/>
      <c r="J212" s="1"/>
      <c r="K212" s="177"/>
    </row>
    <row r="213" spans="1:11" x14ac:dyDescent="0.25">
      <c r="E213" s="257"/>
      <c r="H213" s="1"/>
      <c r="I213" s="1"/>
      <c r="J213" s="1"/>
      <c r="K213" s="177"/>
    </row>
    <row r="214" spans="1:11" x14ac:dyDescent="0.25">
      <c r="E214" s="257"/>
      <c r="H214" s="177"/>
      <c r="I214" s="177"/>
      <c r="J214" s="177"/>
      <c r="K214" s="177"/>
    </row>
    <row r="215" spans="1:11" x14ac:dyDescent="0.25">
      <c r="E215" s="257"/>
    </row>
  </sheetData>
  <mergeCells count="46">
    <mergeCell ref="L145:T145"/>
    <mergeCell ref="H210:J210"/>
    <mergeCell ref="F31:F32"/>
    <mergeCell ref="G31:J31"/>
    <mergeCell ref="K31:K32"/>
    <mergeCell ref="D207:F207"/>
    <mergeCell ref="D208:F208"/>
    <mergeCell ref="H209:J209"/>
    <mergeCell ref="L175:N176"/>
    <mergeCell ref="L109:Q109"/>
    <mergeCell ref="B25:H25"/>
    <mergeCell ref="I25:J25"/>
    <mergeCell ref="B26:H26"/>
    <mergeCell ref="B27:H27"/>
    <mergeCell ref="A29:J29"/>
    <mergeCell ref="A31:A32"/>
    <mergeCell ref="B31:B32"/>
    <mergeCell ref="C31:C32"/>
    <mergeCell ref="D31:D32"/>
    <mergeCell ref="E31:E32"/>
    <mergeCell ref="B21:H21"/>
    <mergeCell ref="I21:J21"/>
    <mergeCell ref="B22:H22"/>
    <mergeCell ref="B23:H23"/>
    <mergeCell ref="B24:H24"/>
    <mergeCell ref="I24:J24"/>
    <mergeCell ref="I18:J18"/>
    <mergeCell ref="B19:H19"/>
    <mergeCell ref="I19:J19"/>
    <mergeCell ref="B20:H20"/>
    <mergeCell ref="I20:J20"/>
    <mergeCell ref="B18:H18"/>
    <mergeCell ref="B17:H17"/>
    <mergeCell ref="I17:J17"/>
    <mergeCell ref="G1:K1"/>
    <mergeCell ref="I8:J8"/>
    <mergeCell ref="I9:J9"/>
    <mergeCell ref="I10:J10"/>
    <mergeCell ref="I11:J11"/>
    <mergeCell ref="I12:J12"/>
    <mergeCell ref="I14:J14"/>
    <mergeCell ref="B15:H15"/>
    <mergeCell ref="I15:K15"/>
    <mergeCell ref="B16:H16"/>
    <mergeCell ref="I16:J16"/>
    <mergeCell ref="J5:K5"/>
  </mergeCells>
  <pageMargins left="0.7" right="0.7" top="0.75" bottom="0.75" header="0.3" footer="0.3"/>
  <pageSetup paperSize="9" scale="70" orientation="landscape" r:id="rId1"/>
  <headerFooter>
    <oddFooter>&amp;C
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G3" sqref="G3"/>
    </sheetView>
  </sheetViews>
  <sheetFormatPr defaultRowHeight="15" x14ac:dyDescent="0.25"/>
  <cols>
    <col min="2" max="2" width="40.140625" customWidth="1"/>
    <col min="3" max="3" width="12.42578125" customWidth="1"/>
    <col min="4" max="4" width="16.5703125" customWidth="1"/>
  </cols>
  <sheetData>
    <row r="1" spans="1:4" ht="15.75" thickBot="1" x14ac:dyDescent="0.3">
      <c r="A1" s="707" t="s">
        <v>265</v>
      </c>
      <c r="B1" s="708"/>
      <c r="C1" s="708"/>
      <c r="D1" s="708"/>
    </row>
    <row r="2" spans="1:4" ht="16.5" thickBot="1" x14ac:dyDescent="0.3">
      <c r="A2" s="709" t="s">
        <v>776</v>
      </c>
      <c r="B2" s="710"/>
      <c r="C2" s="710"/>
      <c r="D2" s="711"/>
    </row>
    <row r="3" spans="1:4" ht="60.75" thickBot="1" x14ac:dyDescent="0.3">
      <c r="A3" s="485" t="s">
        <v>597</v>
      </c>
      <c r="B3" s="486" t="s">
        <v>581</v>
      </c>
      <c r="C3" s="487" t="s">
        <v>772</v>
      </c>
      <c r="D3" s="488" t="s">
        <v>773</v>
      </c>
    </row>
    <row r="4" spans="1:4" x14ac:dyDescent="0.25">
      <c r="A4" s="712" t="s">
        <v>596</v>
      </c>
      <c r="B4" s="713"/>
      <c r="C4" s="713"/>
      <c r="D4" s="714"/>
    </row>
    <row r="5" spans="1:4" ht="60" x14ac:dyDescent="0.25">
      <c r="A5" s="489">
        <v>1</v>
      </c>
      <c r="B5" s="202" t="s">
        <v>598</v>
      </c>
      <c r="C5" s="197"/>
      <c r="D5" s="490">
        <v>200</v>
      </c>
    </row>
    <row r="6" spans="1:4" x14ac:dyDescent="0.25">
      <c r="A6" s="715" t="s">
        <v>599</v>
      </c>
      <c r="B6" s="716"/>
      <c r="C6" s="716"/>
      <c r="D6" s="717"/>
    </row>
    <row r="7" spans="1:4" x14ac:dyDescent="0.25">
      <c r="A7" s="475">
        <v>2</v>
      </c>
      <c r="B7" s="202" t="s">
        <v>600</v>
      </c>
      <c r="C7" s="196"/>
      <c r="D7" s="491">
        <v>150</v>
      </c>
    </row>
    <row r="8" spans="1:4" x14ac:dyDescent="0.25">
      <c r="A8" s="715" t="s">
        <v>601</v>
      </c>
      <c r="B8" s="716"/>
      <c r="C8" s="716"/>
      <c r="D8" s="717"/>
    </row>
    <row r="9" spans="1:4" x14ac:dyDescent="0.25">
      <c r="A9" s="489">
        <v>3</v>
      </c>
      <c r="B9" s="203" t="s">
        <v>602</v>
      </c>
      <c r="C9" s="201"/>
      <c r="D9" s="490">
        <v>250</v>
      </c>
    </row>
    <row r="10" spans="1:4" ht="30" x14ac:dyDescent="0.25">
      <c r="A10" s="489">
        <v>4</v>
      </c>
      <c r="B10" s="202" t="s">
        <v>774</v>
      </c>
      <c r="C10" s="201"/>
      <c r="D10" s="490">
        <v>250</v>
      </c>
    </row>
    <row r="11" spans="1:4" x14ac:dyDescent="0.25">
      <c r="A11" s="489">
        <v>5</v>
      </c>
      <c r="B11" s="202" t="s">
        <v>603</v>
      </c>
      <c r="C11" s="201"/>
      <c r="D11" s="490">
        <v>450</v>
      </c>
    </row>
    <row r="12" spans="1:4" x14ac:dyDescent="0.25">
      <c r="A12" s="702" t="s">
        <v>604</v>
      </c>
      <c r="B12" s="703"/>
      <c r="C12" s="703"/>
      <c r="D12" s="704"/>
    </row>
    <row r="13" spans="1:4" ht="45" x14ac:dyDescent="0.25">
      <c r="A13" s="492">
        <v>6</v>
      </c>
      <c r="B13" s="204" t="s">
        <v>605</v>
      </c>
      <c r="C13" s="20"/>
      <c r="D13" s="493">
        <v>120</v>
      </c>
    </row>
    <row r="14" spans="1:4" ht="30" x14ac:dyDescent="0.25">
      <c r="A14" s="492">
        <v>7</v>
      </c>
      <c r="B14" s="204" t="s">
        <v>606</v>
      </c>
      <c r="C14" s="20"/>
      <c r="D14" s="493">
        <v>150</v>
      </c>
    </row>
    <row r="15" spans="1:4" ht="30" x14ac:dyDescent="0.25">
      <c r="A15" s="492">
        <v>8</v>
      </c>
      <c r="B15" s="204" t="s">
        <v>607</v>
      </c>
      <c r="C15" s="20"/>
      <c r="D15" s="493">
        <v>140</v>
      </c>
    </row>
    <row r="16" spans="1:4" ht="45.75" thickBot="1" x14ac:dyDescent="0.3">
      <c r="A16" s="494">
        <v>9</v>
      </c>
      <c r="B16" s="456" t="s">
        <v>775</v>
      </c>
      <c r="C16" s="495">
        <v>450</v>
      </c>
      <c r="D16" s="480"/>
    </row>
    <row r="17" spans="1:4" ht="16.5" thickBot="1" x14ac:dyDescent="0.3">
      <c r="A17" s="705" t="s">
        <v>257</v>
      </c>
      <c r="B17" s="706"/>
      <c r="C17" s="496">
        <f>C16+C5+C7+C9+C10+C11+C13+C14+C15</f>
        <v>450</v>
      </c>
      <c r="D17" s="497">
        <f>SUM(D13:D16,D9:D11,D7,D5:D5)</f>
        <v>1710</v>
      </c>
    </row>
    <row r="19" spans="1:4" x14ac:dyDescent="0.25">
      <c r="B19" s="24" t="s">
        <v>704</v>
      </c>
      <c r="D19" t="s">
        <v>705</v>
      </c>
    </row>
    <row r="21" spans="1:4" x14ac:dyDescent="0.25">
      <c r="B21" s="24" t="s">
        <v>706</v>
      </c>
      <c r="D21" t="s">
        <v>707</v>
      </c>
    </row>
  </sheetData>
  <mergeCells count="7">
    <mergeCell ref="A12:D12"/>
    <mergeCell ref="A17:B17"/>
    <mergeCell ref="A1:D1"/>
    <mergeCell ref="A2:D2"/>
    <mergeCell ref="A4:D4"/>
    <mergeCell ref="A6:D6"/>
    <mergeCell ref="A8:D8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workbookViewId="0">
      <selection activeCell="D38" sqref="D38"/>
    </sheetView>
  </sheetViews>
  <sheetFormatPr defaultRowHeight="15" x14ac:dyDescent="0.25"/>
  <cols>
    <col min="1" max="1" width="6.42578125" customWidth="1"/>
    <col min="2" max="2" width="49.5703125" customWidth="1"/>
    <col min="3" max="3" width="15" customWidth="1"/>
    <col min="4" max="4" width="13.85546875" customWidth="1"/>
    <col min="5" max="5" width="12.5703125" customWidth="1"/>
  </cols>
  <sheetData>
    <row r="1" spans="1:5" x14ac:dyDescent="0.25">
      <c r="E1" s="557" t="s">
        <v>335</v>
      </c>
    </row>
    <row r="2" spans="1:5" ht="15.75" x14ac:dyDescent="0.25">
      <c r="B2" s="718" t="s">
        <v>577</v>
      </c>
      <c r="C2" s="718"/>
      <c r="D2" s="718"/>
      <c r="E2" s="718"/>
    </row>
    <row r="4" spans="1:5" ht="66.75" customHeight="1" x14ac:dyDescent="0.25">
      <c r="A4" s="25" t="s">
        <v>266</v>
      </c>
      <c r="B4" s="26" t="s">
        <v>267</v>
      </c>
      <c r="C4" s="27" t="s">
        <v>268</v>
      </c>
      <c r="D4" s="27" t="s">
        <v>291</v>
      </c>
      <c r="E4" s="28" t="s">
        <v>290</v>
      </c>
    </row>
    <row r="5" spans="1:5" x14ac:dyDescent="0.25">
      <c r="A5" s="25">
        <v>1</v>
      </c>
      <c r="B5" s="29" t="s">
        <v>270</v>
      </c>
      <c r="C5" s="30">
        <f t="shared" ref="C5:C16" si="0">SUM(D5:E5)</f>
        <v>120000</v>
      </c>
      <c r="D5" s="31">
        <v>100000</v>
      </c>
      <c r="E5" s="31">
        <v>20000</v>
      </c>
    </row>
    <row r="6" spans="1:5" x14ac:dyDescent="0.25">
      <c r="A6" s="25">
        <v>2</v>
      </c>
      <c r="B6" s="29" t="s">
        <v>293</v>
      </c>
      <c r="C6" s="30">
        <f t="shared" si="0"/>
        <v>150000</v>
      </c>
      <c r="D6" s="31">
        <v>150000</v>
      </c>
      <c r="E6" s="31">
        <v>0</v>
      </c>
    </row>
    <row r="7" spans="1:5" x14ac:dyDescent="0.25">
      <c r="A7" s="25">
        <v>3</v>
      </c>
      <c r="B7" s="29" t="s">
        <v>271</v>
      </c>
      <c r="C7" s="30">
        <f t="shared" si="0"/>
        <v>20000</v>
      </c>
      <c r="D7" s="31">
        <v>20000</v>
      </c>
      <c r="E7" s="31">
        <v>0</v>
      </c>
    </row>
    <row r="8" spans="1:5" x14ac:dyDescent="0.25">
      <c r="A8" s="25">
        <v>4</v>
      </c>
      <c r="B8" s="29" t="s">
        <v>272</v>
      </c>
      <c r="C8" s="30">
        <f t="shared" si="0"/>
        <v>45000</v>
      </c>
      <c r="D8" s="31">
        <v>0</v>
      </c>
      <c r="E8" s="31">
        <v>45000</v>
      </c>
    </row>
    <row r="9" spans="1:5" ht="45" x14ac:dyDescent="0.25">
      <c r="A9" s="25">
        <v>5</v>
      </c>
      <c r="B9" s="32" t="s">
        <v>273</v>
      </c>
      <c r="C9" s="30">
        <f t="shared" si="0"/>
        <v>190000</v>
      </c>
      <c r="D9" s="31">
        <v>0</v>
      </c>
      <c r="E9" s="31">
        <v>190000</v>
      </c>
    </row>
    <row r="10" spans="1:5" ht="30" x14ac:dyDescent="0.25">
      <c r="A10" s="25">
        <v>6</v>
      </c>
      <c r="B10" s="32" t="s">
        <v>274</v>
      </c>
      <c r="C10" s="30">
        <f t="shared" si="0"/>
        <v>50000</v>
      </c>
      <c r="D10" s="31">
        <v>0</v>
      </c>
      <c r="E10" s="31">
        <v>50000</v>
      </c>
    </row>
    <row r="11" spans="1:5" ht="45" x14ac:dyDescent="0.25">
      <c r="A11" s="25">
        <v>7</v>
      </c>
      <c r="B11" s="32" t="s">
        <v>275</v>
      </c>
      <c r="C11" s="30">
        <f t="shared" si="0"/>
        <v>50000</v>
      </c>
      <c r="D11" s="31">
        <v>0</v>
      </c>
      <c r="E11" s="31">
        <v>50000</v>
      </c>
    </row>
    <row r="12" spans="1:5" ht="30" x14ac:dyDescent="0.25">
      <c r="A12" s="25">
        <v>8</v>
      </c>
      <c r="B12" s="32" t="s">
        <v>276</v>
      </c>
      <c r="C12" s="30">
        <f t="shared" si="0"/>
        <v>100000</v>
      </c>
      <c r="D12" s="30">
        <v>100000</v>
      </c>
      <c r="E12" s="30">
        <v>0</v>
      </c>
    </row>
    <row r="13" spans="1:5" x14ac:dyDescent="0.25">
      <c r="A13" s="25">
        <v>9</v>
      </c>
      <c r="B13" s="29" t="s">
        <v>277</v>
      </c>
      <c r="C13" s="30">
        <f t="shared" si="0"/>
        <v>50000</v>
      </c>
      <c r="D13" s="30">
        <v>50000</v>
      </c>
      <c r="E13" s="30">
        <v>0</v>
      </c>
    </row>
    <row r="14" spans="1:5" ht="30" x14ac:dyDescent="0.25">
      <c r="A14" s="25">
        <v>10</v>
      </c>
      <c r="B14" s="32" t="s">
        <v>278</v>
      </c>
      <c r="C14" s="30">
        <f t="shared" si="0"/>
        <v>50000</v>
      </c>
      <c r="D14" s="30">
        <v>0</v>
      </c>
      <c r="E14" s="30">
        <v>50000</v>
      </c>
    </row>
    <row r="15" spans="1:5" ht="30" x14ac:dyDescent="0.25">
      <c r="A15" s="25">
        <v>11</v>
      </c>
      <c r="B15" s="32" t="s">
        <v>279</v>
      </c>
      <c r="C15" s="30">
        <f t="shared" si="0"/>
        <v>10000</v>
      </c>
      <c r="D15" s="30">
        <v>0</v>
      </c>
      <c r="E15" s="30">
        <v>10000</v>
      </c>
    </row>
    <row r="16" spans="1:5" x14ac:dyDescent="0.25">
      <c r="A16" s="25">
        <v>12</v>
      </c>
      <c r="B16" s="32" t="s">
        <v>280</v>
      </c>
      <c r="C16" s="30">
        <f t="shared" si="0"/>
        <v>31000</v>
      </c>
      <c r="D16" s="30">
        <v>0</v>
      </c>
      <c r="E16" s="30">
        <v>31000</v>
      </c>
    </row>
    <row r="17" spans="1:5" x14ac:dyDescent="0.25">
      <c r="A17" s="25"/>
      <c r="B17" s="32"/>
      <c r="C17" s="30"/>
      <c r="D17" s="30"/>
      <c r="E17" s="30"/>
    </row>
    <row r="18" spans="1:5" x14ac:dyDescent="0.25">
      <c r="A18" s="25"/>
      <c r="B18" s="32"/>
      <c r="C18" s="33">
        <f>SUM(C5:C17)</f>
        <v>866000</v>
      </c>
      <c r="D18" s="33">
        <f>SUM(D5:D17)</f>
        <v>420000</v>
      </c>
      <c r="E18" s="33">
        <f>SUM(E5:E17)</f>
        <v>446000</v>
      </c>
    </row>
    <row r="19" spans="1:5" x14ac:dyDescent="0.25">
      <c r="A19" s="25"/>
      <c r="B19" s="32"/>
      <c r="C19" s="34"/>
      <c r="D19" s="30"/>
      <c r="E19" s="30"/>
    </row>
    <row r="20" spans="1:5" x14ac:dyDescent="0.25">
      <c r="A20" s="25">
        <v>13</v>
      </c>
      <c r="B20" s="35" t="s">
        <v>281</v>
      </c>
      <c r="C20" s="34">
        <f>SUM(D20:E20)</f>
        <v>49000</v>
      </c>
      <c r="D20" s="30">
        <v>0</v>
      </c>
      <c r="E20" s="30">
        <v>49000</v>
      </c>
    </row>
    <row r="21" spans="1:5" ht="15.75" x14ac:dyDescent="0.25">
      <c r="A21" s="25">
        <v>14</v>
      </c>
      <c r="B21" s="36" t="s">
        <v>282</v>
      </c>
      <c r="C21" s="47">
        <f>SUM(D21:E21)</f>
        <v>35000</v>
      </c>
      <c r="D21" s="30">
        <v>0</v>
      </c>
      <c r="E21" s="30">
        <v>35000</v>
      </c>
    </row>
    <row r="22" spans="1:5" x14ac:dyDescent="0.25">
      <c r="A22" s="25"/>
      <c r="B22" s="35"/>
      <c r="C22" s="33">
        <f>SUM(C20:C21)</f>
        <v>84000</v>
      </c>
      <c r="D22" s="33">
        <f>SUM(D20:D21)</f>
        <v>0</v>
      </c>
      <c r="E22" s="33">
        <f>SUM(E20:E21)</f>
        <v>84000</v>
      </c>
    </row>
    <row r="23" spans="1:5" x14ac:dyDescent="0.25">
      <c r="A23" s="25"/>
      <c r="B23" s="35"/>
      <c r="C23" s="34"/>
      <c r="D23" s="30"/>
      <c r="E23" s="30"/>
    </row>
    <row r="24" spans="1:5" x14ac:dyDescent="0.25">
      <c r="A24" s="25">
        <v>15</v>
      </c>
      <c r="B24" s="35" t="s">
        <v>777</v>
      </c>
      <c r="C24" s="33">
        <f>SUM(D24:E24)</f>
        <v>550000</v>
      </c>
      <c r="D24" s="39">
        <v>450000</v>
      </c>
      <c r="E24" s="39">
        <v>100000</v>
      </c>
    </row>
    <row r="25" spans="1:5" x14ac:dyDescent="0.25">
      <c r="A25" s="25"/>
      <c r="B25" s="35"/>
      <c r="C25" s="34"/>
      <c r="D25" s="33"/>
      <c r="E25" s="33"/>
    </row>
    <row r="26" spans="1:5" x14ac:dyDescent="0.25">
      <c r="A26" s="25">
        <v>16</v>
      </c>
      <c r="B26" s="35" t="s">
        <v>283</v>
      </c>
      <c r="C26" s="33">
        <f>SUM(D26:E26)</f>
        <v>175000</v>
      </c>
      <c r="D26" s="39">
        <v>75000</v>
      </c>
      <c r="E26" s="39">
        <v>100000</v>
      </c>
    </row>
    <row r="27" spans="1:5" x14ac:dyDescent="0.25">
      <c r="A27" s="25"/>
      <c r="B27" s="35"/>
      <c r="C27" s="34"/>
      <c r="D27" s="30"/>
      <c r="E27" s="30"/>
    </row>
    <row r="28" spans="1:5" x14ac:dyDescent="0.25">
      <c r="A28" s="25">
        <v>17</v>
      </c>
      <c r="B28" s="35" t="s">
        <v>284</v>
      </c>
      <c r="C28" s="30">
        <f>SUM(D28:E28)</f>
        <v>200000</v>
      </c>
      <c r="D28" s="31">
        <v>100000</v>
      </c>
      <c r="E28" s="31">
        <v>100000</v>
      </c>
    </row>
    <row r="29" spans="1:5" x14ac:dyDescent="0.25">
      <c r="A29" s="25">
        <v>18</v>
      </c>
      <c r="B29" s="35" t="s">
        <v>285</v>
      </c>
      <c r="C29" s="30">
        <f>SUM(D29:E29)</f>
        <v>50000</v>
      </c>
      <c r="D29" s="31">
        <v>25000</v>
      </c>
      <c r="E29" s="31">
        <v>25000</v>
      </c>
    </row>
    <row r="30" spans="1:5" x14ac:dyDescent="0.25">
      <c r="A30" s="25"/>
      <c r="B30" s="35"/>
      <c r="C30" s="33">
        <f>SUM(C28:C29)</f>
        <v>250000</v>
      </c>
      <c r="D30" s="39">
        <v>125000</v>
      </c>
      <c r="E30" s="39">
        <v>125000</v>
      </c>
    </row>
    <row r="31" spans="1:5" x14ac:dyDescent="0.25">
      <c r="A31" s="25"/>
      <c r="B31" s="35"/>
      <c r="C31" s="34"/>
      <c r="D31" s="39"/>
      <c r="E31" s="39"/>
    </row>
    <row r="32" spans="1:5" ht="29.25" x14ac:dyDescent="0.25">
      <c r="A32" s="25">
        <v>19</v>
      </c>
      <c r="B32" s="40" t="s">
        <v>286</v>
      </c>
      <c r="C32" s="33">
        <f>SUM(D32:E32)</f>
        <v>10000</v>
      </c>
      <c r="D32" s="39">
        <v>0</v>
      </c>
      <c r="E32" s="39">
        <v>10000</v>
      </c>
    </row>
    <row r="33" spans="1:5" x14ac:dyDescent="0.25">
      <c r="A33" s="25"/>
      <c r="B33" s="38"/>
      <c r="C33" s="33"/>
      <c r="D33" s="39"/>
      <c r="E33" s="39"/>
    </row>
    <row r="34" spans="1:5" x14ac:dyDescent="0.25">
      <c r="A34" s="25">
        <v>21</v>
      </c>
      <c r="B34" s="38" t="s">
        <v>287</v>
      </c>
      <c r="C34" s="33">
        <f>SUM(D34:E34)</f>
        <v>50000</v>
      </c>
      <c r="D34" s="39">
        <v>50000</v>
      </c>
      <c r="E34" s="39">
        <v>0</v>
      </c>
    </row>
    <row r="35" spans="1:5" x14ac:dyDescent="0.25">
      <c r="A35" s="25"/>
      <c r="B35" s="38"/>
      <c r="C35" s="33"/>
      <c r="D35" s="39"/>
      <c r="E35" s="39"/>
    </row>
    <row r="36" spans="1:5" x14ac:dyDescent="0.25">
      <c r="A36" s="25">
        <v>22</v>
      </c>
      <c r="B36" s="38" t="s">
        <v>288</v>
      </c>
      <c r="C36" s="33">
        <f>SUM(D36:E36)</f>
        <v>5000</v>
      </c>
      <c r="D36" s="39">
        <v>5000</v>
      </c>
      <c r="E36" s="39">
        <v>0</v>
      </c>
    </row>
    <row r="37" spans="1:5" x14ac:dyDescent="0.25">
      <c r="A37" s="20">
        <v>23</v>
      </c>
      <c r="B37" s="38" t="s">
        <v>609</v>
      </c>
      <c r="C37" s="33">
        <f>SUM(D37)</f>
        <v>23777.27</v>
      </c>
      <c r="D37" s="39">
        <v>23777.27</v>
      </c>
      <c r="E37" s="39">
        <v>0</v>
      </c>
    </row>
    <row r="38" spans="1:5" ht="18.75" x14ac:dyDescent="0.3">
      <c r="A38" s="20"/>
      <c r="B38" s="41" t="s">
        <v>289</v>
      </c>
      <c r="C38" s="42">
        <f>C18+C22+C24+C26+C30+C32+C34+C36</f>
        <v>1990000</v>
      </c>
      <c r="D38" s="42">
        <f>SUM(D18,D22,D24,D26,D30,D34,D36,D37)</f>
        <v>1148777.27</v>
      </c>
      <c r="E38" s="45">
        <f>E18+E22+E24+E26+E30+E32+E34+E36</f>
        <v>865000</v>
      </c>
    </row>
    <row r="39" spans="1:5" x14ac:dyDescent="0.25">
      <c r="A39" s="20"/>
      <c r="B39" s="35"/>
      <c r="C39" s="34"/>
      <c r="D39" s="43"/>
      <c r="E39" s="43"/>
    </row>
    <row r="40" spans="1:5" x14ac:dyDescent="0.25">
      <c r="A40" s="20"/>
      <c r="B40" s="35"/>
      <c r="C40" s="34"/>
      <c r="D40" s="44"/>
      <c r="E40" s="44"/>
    </row>
    <row r="42" spans="1:5" x14ac:dyDescent="0.25">
      <c r="B42" s="24" t="s">
        <v>704</v>
      </c>
      <c r="D42" t="s">
        <v>705</v>
      </c>
    </row>
    <row r="44" spans="1:5" x14ac:dyDescent="0.25">
      <c r="B44" s="24" t="s">
        <v>706</v>
      </c>
      <c r="D44" t="s">
        <v>707</v>
      </c>
    </row>
  </sheetData>
  <mergeCells count="1">
    <mergeCell ref="B2:E2"/>
  </mergeCells>
  <pageMargins left="0.7" right="0.7" top="0.75" bottom="0.75" header="0.3" footer="0.3"/>
  <pageSetup paperSize="9" scale="85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"/>
  <sheetViews>
    <sheetView topLeftCell="A25" workbookViewId="0">
      <selection activeCell="A4" sqref="A4"/>
    </sheetView>
  </sheetViews>
  <sheetFormatPr defaultRowHeight="15" x14ac:dyDescent="0.25"/>
  <cols>
    <col min="1" max="1" width="37.140625" customWidth="1"/>
    <col min="2" max="2" width="12.5703125" customWidth="1"/>
    <col min="3" max="3" width="18" customWidth="1"/>
    <col min="4" max="4" width="22.5703125" customWidth="1"/>
  </cols>
  <sheetData>
    <row r="1" spans="1:4" x14ac:dyDescent="0.25">
      <c r="D1" s="557" t="s">
        <v>793</v>
      </c>
    </row>
    <row r="2" spans="1:4" ht="18.75" x14ac:dyDescent="0.3">
      <c r="A2" s="719" t="s">
        <v>619</v>
      </c>
      <c r="B2" s="719"/>
      <c r="C2" s="719"/>
      <c r="D2" s="19"/>
    </row>
    <row r="3" spans="1:4" ht="15.75" x14ac:dyDescent="0.25">
      <c r="A3" s="720"/>
      <c r="B3" s="720"/>
      <c r="C3" s="720"/>
      <c r="D3" s="720"/>
    </row>
    <row r="4" spans="1:4" ht="15.75" x14ac:dyDescent="0.25">
      <c r="A4" s="7"/>
      <c r="B4" s="66" t="s">
        <v>371</v>
      </c>
      <c r="C4" s="66" t="s">
        <v>297</v>
      </c>
      <c r="D4" s="10" t="s">
        <v>268</v>
      </c>
    </row>
    <row r="5" spans="1:4" ht="19.5" x14ac:dyDescent="0.35">
      <c r="A5" s="169" t="s">
        <v>372</v>
      </c>
      <c r="B5" s="7"/>
      <c r="C5" s="182">
        <v>850</v>
      </c>
      <c r="D5" s="67"/>
    </row>
    <row r="6" spans="1:4" ht="18.75" x14ac:dyDescent="0.3">
      <c r="A6" s="66" t="s">
        <v>405</v>
      </c>
      <c r="B6" s="66">
        <v>4</v>
      </c>
      <c r="C6" s="66"/>
      <c r="D6" s="192">
        <f>B6*C5</f>
        <v>3400</v>
      </c>
    </row>
    <row r="7" spans="1:4" ht="18.75" x14ac:dyDescent="0.3">
      <c r="A7" s="66" t="s">
        <v>406</v>
      </c>
      <c r="B7" s="66">
        <v>1</v>
      </c>
      <c r="C7" s="66"/>
      <c r="D7" s="192">
        <f>B7*C5</f>
        <v>850</v>
      </c>
    </row>
    <row r="8" spans="1:4" ht="18.75" x14ac:dyDescent="0.3">
      <c r="A8" s="66" t="s">
        <v>407</v>
      </c>
      <c r="B8" s="66">
        <v>4</v>
      </c>
      <c r="C8" s="66"/>
      <c r="D8" s="192">
        <f>B8*C5</f>
        <v>3400</v>
      </c>
    </row>
    <row r="9" spans="1:4" ht="18.75" x14ac:dyDescent="0.3">
      <c r="A9" s="66" t="s">
        <v>408</v>
      </c>
      <c r="B9" s="66">
        <v>3</v>
      </c>
      <c r="C9" s="66"/>
      <c r="D9" s="192">
        <f>B9*C5</f>
        <v>2550</v>
      </c>
    </row>
    <row r="10" spans="1:4" ht="18.75" x14ac:dyDescent="0.3">
      <c r="A10" s="66" t="s">
        <v>409</v>
      </c>
      <c r="B10" s="66">
        <v>1</v>
      </c>
      <c r="C10" s="66"/>
      <c r="D10" s="193">
        <f>B10*C5</f>
        <v>850</v>
      </c>
    </row>
    <row r="11" spans="1:4" ht="18.75" x14ac:dyDescent="0.3">
      <c r="A11" s="66" t="s">
        <v>410</v>
      </c>
      <c r="B11" s="66">
        <v>1</v>
      </c>
      <c r="C11" s="66"/>
      <c r="D11" s="192">
        <f>B11*C5</f>
        <v>850</v>
      </c>
    </row>
    <row r="12" spans="1:4" ht="18.75" x14ac:dyDescent="0.3">
      <c r="A12" s="170" t="s">
        <v>227</v>
      </c>
      <c r="B12" s="170">
        <f>SUM(B6:B11)</f>
        <v>14</v>
      </c>
      <c r="C12" s="66"/>
      <c r="D12" s="173">
        <f>SUM(D6:D11)</f>
        <v>11900</v>
      </c>
    </row>
    <row r="13" spans="1:4" ht="19.5" x14ac:dyDescent="0.35">
      <c r="A13" s="169" t="s">
        <v>373</v>
      </c>
      <c r="B13" s="66"/>
      <c r="C13" s="182">
        <v>186.4</v>
      </c>
      <c r="D13" s="193"/>
    </row>
    <row r="14" spans="1:4" ht="18.75" x14ac:dyDescent="0.3">
      <c r="A14" s="66" t="s">
        <v>405</v>
      </c>
      <c r="B14" s="66">
        <v>1</v>
      </c>
      <c r="C14" s="66"/>
      <c r="D14" s="193">
        <f>B14*C13</f>
        <v>186.4</v>
      </c>
    </row>
    <row r="15" spans="1:4" ht="18.75" x14ac:dyDescent="0.3">
      <c r="A15" s="66" t="s">
        <v>406</v>
      </c>
      <c r="B15" s="66">
        <v>1</v>
      </c>
      <c r="C15" s="66"/>
      <c r="D15" s="193">
        <f>B15*C13</f>
        <v>186.4</v>
      </c>
    </row>
    <row r="16" spans="1:4" ht="18.75" x14ac:dyDescent="0.3">
      <c r="A16" s="66" t="s">
        <v>407</v>
      </c>
      <c r="B16" s="66">
        <v>1</v>
      </c>
      <c r="C16" s="66"/>
      <c r="D16" s="193">
        <f>B16*C13</f>
        <v>186.4</v>
      </c>
    </row>
    <row r="17" spans="1:4" ht="18.75" x14ac:dyDescent="0.3">
      <c r="A17" s="66" t="s">
        <v>408</v>
      </c>
      <c r="B17" s="66">
        <v>2</v>
      </c>
      <c r="C17" s="66"/>
      <c r="D17" s="193">
        <f>B17*C13</f>
        <v>372.8</v>
      </c>
    </row>
    <row r="18" spans="1:4" ht="18.75" x14ac:dyDescent="0.3">
      <c r="A18" s="66" t="s">
        <v>409</v>
      </c>
      <c r="B18" s="66">
        <v>1</v>
      </c>
      <c r="C18" s="66"/>
      <c r="D18" s="193">
        <f>B18*C13</f>
        <v>186.4</v>
      </c>
    </row>
    <row r="19" spans="1:4" ht="18.75" x14ac:dyDescent="0.3">
      <c r="A19" s="66" t="s">
        <v>410</v>
      </c>
      <c r="B19" s="66">
        <v>1</v>
      </c>
      <c r="C19" s="66"/>
      <c r="D19" s="193">
        <f>B19*C13</f>
        <v>186.4</v>
      </c>
    </row>
    <row r="20" spans="1:4" ht="18.75" x14ac:dyDescent="0.3">
      <c r="A20" s="170" t="s">
        <v>227</v>
      </c>
      <c r="B20" s="170">
        <f>SUM(B14:B19)</f>
        <v>7</v>
      </c>
      <c r="C20" s="66"/>
      <c r="D20" s="173">
        <f>SUM(D14:D19)</f>
        <v>1304.8000000000002</v>
      </c>
    </row>
    <row r="21" spans="1:4" ht="19.5" x14ac:dyDescent="0.35">
      <c r="A21" s="169" t="s">
        <v>411</v>
      </c>
      <c r="B21" s="66"/>
      <c r="C21" s="182">
        <v>520</v>
      </c>
      <c r="D21" s="193"/>
    </row>
    <row r="22" spans="1:4" ht="18.75" x14ac:dyDescent="0.3">
      <c r="A22" s="66" t="s">
        <v>405</v>
      </c>
      <c r="B22" s="66">
        <v>2</v>
      </c>
      <c r="C22" s="10"/>
      <c r="D22" s="193">
        <f>B22*C21</f>
        <v>1040</v>
      </c>
    </row>
    <row r="23" spans="1:4" ht="18.75" x14ac:dyDescent="0.3">
      <c r="A23" s="66" t="s">
        <v>406</v>
      </c>
      <c r="B23" s="66">
        <v>2</v>
      </c>
      <c r="C23" s="10"/>
      <c r="D23" s="193">
        <f>B23*C21</f>
        <v>1040</v>
      </c>
    </row>
    <row r="24" spans="1:4" ht="18.75" x14ac:dyDescent="0.3">
      <c r="A24" s="66" t="s">
        <v>407</v>
      </c>
      <c r="B24" s="66">
        <v>2</v>
      </c>
      <c r="C24" s="10"/>
      <c r="D24" s="193">
        <f>B24*C21</f>
        <v>1040</v>
      </c>
    </row>
    <row r="25" spans="1:4" ht="18.75" x14ac:dyDescent="0.3">
      <c r="A25" s="66" t="s">
        <v>408</v>
      </c>
      <c r="B25" s="66">
        <v>2</v>
      </c>
      <c r="C25" s="10"/>
      <c r="D25" s="193">
        <f>B25*C21</f>
        <v>1040</v>
      </c>
    </row>
    <row r="26" spans="1:4" ht="18.75" x14ac:dyDescent="0.3">
      <c r="A26" s="66" t="s">
        <v>409</v>
      </c>
      <c r="B26" s="66">
        <v>2</v>
      </c>
      <c r="C26" s="10"/>
      <c r="D26" s="193">
        <f>B26*C21</f>
        <v>1040</v>
      </c>
    </row>
    <row r="27" spans="1:4" ht="18.75" x14ac:dyDescent="0.3">
      <c r="A27" s="66" t="s">
        <v>410</v>
      </c>
      <c r="B27" s="175">
        <v>1</v>
      </c>
      <c r="C27" s="10"/>
      <c r="D27" s="193">
        <f>B27*C21</f>
        <v>520</v>
      </c>
    </row>
    <row r="28" spans="1:4" ht="18.75" x14ac:dyDescent="0.3">
      <c r="A28" s="170" t="s">
        <v>227</v>
      </c>
      <c r="B28" s="170">
        <f>SUM(B22:B27)</f>
        <v>11</v>
      </c>
      <c r="C28" s="66"/>
      <c r="D28" s="194">
        <f>SUM(D22:D27)</f>
        <v>5720</v>
      </c>
    </row>
    <row r="29" spans="1:4" ht="19.5" x14ac:dyDescent="0.35">
      <c r="A29" s="169" t="s">
        <v>374</v>
      </c>
      <c r="B29" s="67"/>
      <c r="C29" s="174">
        <v>0.21</v>
      </c>
      <c r="D29" s="193"/>
    </row>
    <row r="30" spans="1:4" ht="18.75" x14ac:dyDescent="0.3">
      <c r="A30" s="66" t="s">
        <v>405</v>
      </c>
      <c r="B30" s="178">
        <v>280</v>
      </c>
      <c r="C30" s="66"/>
      <c r="D30" s="193">
        <f>B30*C29</f>
        <v>58.8</v>
      </c>
    </row>
    <row r="31" spans="1:4" ht="18.75" x14ac:dyDescent="0.3">
      <c r="A31" s="66" t="s">
        <v>406</v>
      </c>
      <c r="B31" s="178">
        <v>99</v>
      </c>
      <c r="C31" s="66"/>
      <c r="D31" s="193">
        <f>B31*C29</f>
        <v>20.79</v>
      </c>
    </row>
    <row r="32" spans="1:4" ht="18.75" x14ac:dyDescent="0.3">
      <c r="A32" s="66" t="s">
        <v>407</v>
      </c>
      <c r="B32" s="178">
        <v>168</v>
      </c>
      <c r="C32" s="66"/>
      <c r="D32" s="193">
        <f>B32*C29</f>
        <v>35.28</v>
      </c>
    </row>
    <row r="33" spans="1:4" ht="18.75" x14ac:dyDescent="0.3">
      <c r="A33" s="66" t="s">
        <v>408</v>
      </c>
      <c r="B33" s="178">
        <v>83</v>
      </c>
      <c r="C33" s="66"/>
      <c r="D33" s="193">
        <f>B33*C29</f>
        <v>17.43</v>
      </c>
    </row>
    <row r="34" spans="1:4" ht="18.75" x14ac:dyDescent="0.3">
      <c r="A34" s="66" t="s">
        <v>409</v>
      </c>
      <c r="B34" s="178">
        <v>112</v>
      </c>
      <c r="C34" s="66"/>
      <c r="D34" s="193">
        <f>B34*C29</f>
        <v>23.52</v>
      </c>
    </row>
    <row r="35" spans="1:4" ht="18.75" x14ac:dyDescent="0.3">
      <c r="A35" s="66" t="s">
        <v>410</v>
      </c>
      <c r="B35" s="178">
        <v>325</v>
      </c>
      <c r="C35" s="66"/>
      <c r="D35" s="193">
        <f>B35*C29</f>
        <v>68.25</v>
      </c>
    </row>
    <row r="36" spans="1:4" ht="18.75" x14ac:dyDescent="0.3">
      <c r="A36" s="170" t="s">
        <v>227</v>
      </c>
      <c r="B36" s="179">
        <f>SUM(B30:B35)</f>
        <v>1067</v>
      </c>
      <c r="C36" s="66"/>
      <c r="D36" s="173">
        <f>SUM(D30:D35)</f>
        <v>224.07000000000002</v>
      </c>
    </row>
    <row r="37" spans="1:4" ht="19.5" x14ac:dyDescent="0.35">
      <c r="A37" s="169" t="s">
        <v>375</v>
      </c>
      <c r="B37" s="180"/>
      <c r="C37" s="174">
        <v>11.02</v>
      </c>
      <c r="D37" s="193"/>
    </row>
    <row r="38" spans="1:4" ht="18.75" x14ac:dyDescent="0.3">
      <c r="A38" s="66" t="s">
        <v>405</v>
      </c>
      <c r="B38" s="178">
        <v>85</v>
      </c>
      <c r="C38" s="66"/>
      <c r="D38" s="193">
        <f>B38*C37</f>
        <v>936.69999999999993</v>
      </c>
    </row>
    <row r="39" spans="1:4" ht="18.75" x14ac:dyDescent="0.3">
      <c r="A39" s="66" t="s">
        <v>406</v>
      </c>
      <c r="B39" s="178">
        <v>99</v>
      </c>
      <c r="C39" s="66"/>
      <c r="D39" s="193">
        <f>B39*C37</f>
        <v>1090.98</v>
      </c>
    </row>
    <row r="40" spans="1:4" ht="18.75" x14ac:dyDescent="0.3">
      <c r="A40" s="66" t="s">
        <v>407</v>
      </c>
      <c r="B40" s="178">
        <v>54</v>
      </c>
      <c r="C40" s="66"/>
      <c r="D40" s="193">
        <f>B40*C37</f>
        <v>595.07999999999993</v>
      </c>
    </row>
    <row r="41" spans="1:4" ht="18.75" x14ac:dyDescent="0.3">
      <c r="A41" s="66" t="s">
        <v>408</v>
      </c>
      <c r="B41" s="178">
        <v>85</v>
      </c>
      <c r="C41" s="66"/>
      <c r="D41" s="193">
        <f>B41*C37</f>
        <v>936.69999999999993</v>
      </c>
    </row>
    <row r="42" spans="1:4" ht="18.75" x14ac:dyDescent="0.3">
      <c r="A42" s="66" t="s">
        <v>409</v>
      </c>
      <c r="B42" s="178">
        <v>45</v>
      </c>
      <c r="C42" s="66"/>
      <c r="D42" s="193">
        <f>B42*C37</f>
        <v>495.9</v>
      </c>
    </row>
    <row r="43" spans="1:4" ht="18.75" x14ac:dyDescent="0.3">
      <c r="A43" s="66" t="s">
        <v>410</v>
      </c>
      <c r="B43" s="181">
        <v>52</v>
      </c>
      <c r="C43" s="171"/>
      <c r="D43" s="193">
        <f>B43*C37</f>
        <v>573.04</v>
      </c>
    </row>
    <row r="44" spans="1:4" ht="18.75" x14ac:dyDescent="0.3">
      <c r="A44" s="170" t="s">
        <v>227</v>
      </c>
      <c r="B44" s="170">
        <f>SUM(B38:B43)</f>
        <v>420</v>
      </c>
      <c r="C44" s="171"/>
      <c r="D44" s="194">
        <f>SUM(D38:D43)</f>
        <v>4628.3999999999996</v>
      </c>
    </row>
    <row r="45" spans="1:4" x14ac:dyDescent="0.25">
      <c r="A45" s="20"/>
      <c r="B45" s="20"/>
      <c r="C45" s="176"/>
      <c r="D45" s="20"/>
    </row>
    <row r="46" spans="1:4" ht="18.75" x14ac:dyDescent="0.3">
      <c r="A46" s="172" t="s">
        <v>262</v>
      </c>
      <c r="B46" s="20"/>
      <c r="C46" s="176"/>
      <c r="D46" s="173">
        <f>SUM(D44,D36,D28,D20,D12)</f>
        <v>23777.27</v>
      </c>
    </row>
    <row r="48" spans="1:4" ht="15.75" customHeight="1" x14ac:dyDescent="0.25">
      <c r="A48" s="24" t="s">
        <v>704</v>
      </c>
      <c r="C48" t="s">
        <v>705</v>
      </c>
    </row>
    <row r="50" spans="1:3" ht="18" customHeight="1" x14ac:dyDescent="0.25">
      <c r="A50" s="24" t="s">
        <v>706</v>
      </c>
      <c r="C50" t="s">
        <v>707</v>
      </c>
    </row>
  </sheetData>
  <mergeCells count="2">
    <mergeCell ref="A2:C2"/>
    <mergeCell ref="A3:D3"/>
  </mergeCells>
  <pageMargins left="0.7" right="0.7" top="0.75" bottom="0.75" header="0.3" footer="0.3"/>
  <pageSetup paperSize="9" scale="8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3"/>
  <sheetViews>
    <sheetView workbookViewId="0">
      <selection activeCell="G1" sqref="G1"/>
    </sheetView>
  </sheetViews>
  <sheetFormatPr defaultRowHeight="15" x14ac:dyDescent="0.25"/>
  <cols>
    <col min="1" max="1" width="47.28515625" customWidth="1"/>
    <col min="3" max="3" width="10.85546875" customWidth="1"/>
    <col min="5" max="5" width="13.7109375" customWidth="1"/>
    <col min="6" max="6" width="11.28515625" customWidth="1"/>
    <col min="7" max="7" width="11.5703125" customWidth="1"/>
  </cols>
  <sheetData>
    <row r="1" spans="1:7" x14ac:dyDescent="0.25">
      <c r="G1" s="557" t="s">
        <v>370</v>
      </c>
    </row>
    <row r="2" spans="1:7" ht="18.75" thickBot="1" x14ac:dyDescent="0.3">
      <c r="A2" s="721" t="s">
        <v>294</v>
      </c>
      <c r="B2" s="721"/>
      <c r="C2" s="721"/>
      <c r="D2" s="721"/>
      <c r="E2" s="721"/>
      <c r="F2" s="721"/>
      <c r="G2" s="721"/>
    </row>
    <row r="3" spans="1:7" ht="37.5" customHeight="1" thickBot="1" x14ac:dyDescent="0.3">
      <c r="A3" s="524" t="s">
        <v>295</v>
      </c>
      <c r="B3" s="525" t="s">
        <v>26</v>
      </c>
      <c r="C3" s="524" t="s">
        <v>296</v>
      </c>
      <c r="D3" s="524" t="s">
        <v>297</v>
      </c>
      <c r="E3" s="524" t="s">
        <v>268</v>
      </c>
      <c r="F3" s="525" t="s">
        <v>291</v>
      </c>
      <c r="G3" s="526" t="s">
        <v>780</v>
      </c>
    </row>
    <row r="4" spans="1:7" ht="17.25" customHeight="1" x14ac:dyDescent="0.25">
      <c r="A4" s="518" t="s">
        <v>301</v>
      </c>
      <c r="B4" s="519"/>
      <c r="C4" s="520"/>
      <c r="D4" s="521"/>
      <c r="E4" s="522"/>
      <c r="F4" s="519"/>
      <c r="G4" s="523"/>
    </row>
    <row r="5" spans="1:7" ht="15.75" x14ac:dyDescent="0.25">
      <c r="A5" s="503" t="s">
        <v>299</v>
      </c>
      <c r="B5" s="66" t="s">
        <v>298</v>
      </c>
      <c r="C5" s="48">
        <v>60</v>
      </c>
      <c r="D5" s="49">
        <v>20</v>
      </c>
      <c r="E5" s="46">
        <f>C5*D5</f>
        <v>1200</v>
      </c>
      <c r="F5" s="10"/>
      <c r="G5" s="499"/>
    </row>
    <row r="6" spans="1:7" ht="15.75" x14ac:dyDescent="0.25">
      <c r="A6" s="503" t="s">
        <v>300</v>
      </c>
      <c r="B6" s="66" t="s">
        <v>298</v>
      </c>
      <c r="C6" s="48">
        <v>100</v>
      </c>
      <c r="D6" s="49">
        <v>10.35</v>
      </c>
      <c r="E6" s="46">
        <f>C6*D6</f>
        <v>1035</v>
      </c>
      <c r="F6" s="10"/>
      <c r="G6" s="499"/>
    </row>
    <row r="7" spans="1:7" ht="15.75" x14ac:dyDescent="0.25">
      <c r="A7" s="503" t="s">
        <v>302</v>
      </c>
      <c r="B7" s="66" t="s">
        <v>298</v>
      </c>
      <c r="C7" s="48">
        <v>12</v>
      </c>
      <c r="D7" s="11">
        <v>58</v>
      </c>
      <c r="E7" s="46">
        <f t="shared" ref="E7:E15" si="0">C7*D7</f>
        <v>696</v>
      </c>
      <c r="F7" s="10"/>
      <c r="G7" s="499"/>
    </row>
    <row r="8" spans="1:7" ht="15.75" x14ac:dyDescent="0.25">
      <c r="A8" s="503" t="s">
        <v>778</v>
      </c>
      <c r="B8" s="66" t="s">
        <v>298</v>
      </c>
      <c r="C8" s="48">
        <v>10</v>
      </c>
      <c r="D8" s="11">
        <v>15</v>
      </c>
      <c r="E8" s="46">
        <f>C8*D8</f>
        <v>150</v>
      </c>
      <c r="F8" s="10"/>
      <c r="G8" s="499"/>
    </row>
    <row r="9" spans="1:7" ht="15.75" x14ac:dyDescent="0.25">
      <c r="A9" s="503" t="s">
        <v>303</v>
      </c>
      <c r="B9" s="66" t="s">
        <v>298</v>
      </c>
      <c r="C9" s="48">
        <v>12</v>
      </c>
      <c r="D9" s="11">
        <v>27</v>
      </c>
      <c r="E9" s="46">
        <f t="shared" si="0"/>
        <v>324</v>
      </c>
      <c r="F9" s="10"/>
      <c r="G9" s="499"/>
    </row>
    <row r="10" spans="1:7" ht="15.75" x14ac:dyDescent="0.25">
      <c r="A10" s="503" t="s">
        <v>304</v>
      </c>
      <c r="B10" s="66" t="s">
        <v>298</v>
      </c>
      <c r="C10" s="48">
        <v>50</v>
      </c>
      <c r="D10" s="11">
        <v>300</v>
      </c>
      <c r="E10" s="46">
        <f t="shared" si="0"/>
        <v>15000</v>
      </c>
      <c r="F10" s="10"/>
      <c r="G10" s="499"/>
    </row>
    <row r="11" spans="1:7" ht="15.75" x14ac:dyDescent="0.25">
      <c r="A11" s="503" t="s">
        <v>305</v>
      </c>
      <c r="B11" s="66" t="s">
        <v>298</v>
      </c>
      <c r="C11" s="48">
        <v>24</v>
      </c>
      <c r="D11" s="11">
        <v>56</v>
      </c>
      <c r="E11" s="46">
        <f t="shared" si="0"/>
        <v>1344</v>
      </c>
      <c r="F11" s="10"/>
      <c r="G11" s="499"/>
    </row>
    <row r="12" spans="1:7" ht="15.75" x14ac:dyDescent="0.25">
      <c r="A12" s="503" t="s">
        <v>306</v>
      </c>
      <c r="B12" s="66" t="s">
        <v>298</v>
      </c>
      <c r="C12" s="50">
        <v>24</v>
      </c>
      <c r="D12" s="37">
        <v>20</v>
      </c>
      <c r="E12" s="46">
        <f t="shared" si="0"/>
        <v>480</v>
      </c>
      <c r="F12" s="51"/>
      <c r="G12" s="502"/>
    </row>
    <row r="13" spans="1:7" ht="15.75" x14ac:dyDescent="0.25">
      <c r="A13" s="503" t="s">
        <v>307</v>
      </c>
      <c r="B13" s="66" t="s">
        <v>298</v>
      </c>
      <c r="C13" s="50">
        <v>120</v>
      </c>
      <c r="D13" s="37">
        <v>12.5</v>
      </c>
      <c r="E13" s="46">
        <f t="shared" si="0"/>
        <v>1500</v>
      </c>
      <c r="F13" s="51"/>
      <c r="G13" s="502"/>
    </row>
    <row r="14" spans="1:7" ht="15.75" x14ac:dyDescent="0.25">
      <c r="A14" s="503" t="s">
        <v>308</v>
      </c>
      <c r="B14" s="66" t="s">
        <v>298</v>
      </c>
      <c r="C14" s="50">
        <v>120</v>
      </c>
      <c r="D14" s="37">
        <v>25</v>
      </c>
      <c r="E14" s="46">
        <f t="shared" si="0"/>
        <v>3000</v>
      </c>
      <c r="F14" s="52"/>
      <c r="G14" s="504"/>
    </row>
    <row r="15" spans="1:7" ht="15.75" x14ac:dyDescent="0.25">
      <c r="A15" s="503" t="s">
        <v>779</v>
      </c>
      <c r="B15" s="66" t="s">
        <v>298</v>
      </c>
      <c r="C15" s="50">
        <v>55</v>
      </c>
      <c r="D15" s="37">
        <v>15</v>
      </c>
      <c r="E15" s="46">
        <f t="shared" si="0"/>
        <v>825</v>
      </c>
      <c r="F15" s="52"/>
      <c r="G15" s="504"/>
    </row>
    <row r="16" spans="1:7" ht="15.75" x14ac:dyDescent="0.25">
      <c r="A16" s="503" t="s">
        <v>309</v>
      </c>
      <c r="B16" s="66" t="s">
        <v>298</v>
      </c>
      <c r="C16" s="50"/>
      <c r="D16" s="37"/>
      <c r="E16" s="46">
        <v>10000</v>
      </c>
      <c r="F16" s="50"/>
      <c r="G16" s="505"/>
    </row>
    <row r="17" spans="1:7" ht="15.75" x14ac:dyDescent="0.25">
      <c r="A17" s="503" t="s">
        <v>310</v>
      </c>
      <c r="B17" s="66" t="s">
        <v>298</v>
      </c>
      <c r="C17" s="50">
        <v>2592</v>
      </c>
      <c r="D17" s="37">
        <v>4</v>
      </c>
      <c r="E17" s="46">
        <v>10368</v>
      </c>
      <c r="F17" s="50"/>
      <c r="G17" s="505"/>
    </row>
    <row r="18" spans="1:7" ht="15.75" x14ac:dyDescent="0.25">
      <c r="A18" s="503" t="s">
        <v>311</v>
      </c>
      <c r="B18" s="66" t="s">
        <v>298</v>
      </c>
      <c r="C18" s="50">
        <v>288</v>
      </c>
      <c r="D18" s="37">
        <v>65</v>
      </c>
      <c r="E18" s="46">
        <v>18720</v>
      </c>
      <c r="F18" s="50"/>
      <c r="G18" s="505"/>
    </row>
    <row r="19" spans="1:7" ht="15.75" x14ac:dyDescent="0.25">
      <c r="A19" s="503"/>
      <c r="B19" s="66"/>
      <c r="C19" s="50"/>
      <c r="D19" s="37"/>
      <c r="E19" s="46"/>
      <c r="F19" s="50"/>
      <c r="G19" s="505"/>
    </row>
    <row r="20" spans="1:7" ht="15.75" x14ac:dyDescent="0.25">
      <c r="A20" s="503" t="s">
        <v>382</v>
      </c>
      <c r="B20" s="66" t="s">
        <v>298</v>
      </c>
      <c r="C20" s="50">
        <v>2</v>
      </c>
      <c r="D20" s="37">
        <v>6000</v>
      </c>
      <c r="E20" s="46">
        <f>D20*C20</f>
        <v>12000</v>
      </c>
      <c r="F20" s="50"/>
      <c r="G20" s="505"/>
    </row>
    <row r="21" spans="1:7" ht="14.25" customHeight="1" x14ac:dyDescent="0.25">
      <c r="A21" s="500"/>
      <c r="B21" s="10"/>
      <c r="C21" s="50"/>
      <c r="D21" s="37"/>
      <c r="E21" s="33">
        <f>SUM(E5:E20)</f>
        <v>76642</v>
      </c>
      <c r="F21" s="53">
        <f>E21/2</f>
        <v>38321</v>
      </c>
      <c r="G21" s="506">
        <f>E21/2</f>
        <v>38321</v>
      </c>
    </row>
    <row r="22" spans="1:7" ht="1.5" hidden="1" customHeight="1" x14ac:dyDescent="0.25">
      <c r="A22" s="507" t="s">
        <v>312</v>
      </c>
      <c r="B22" s="10"/>
      <c r="C22" s="50"/>
      <c r="D22" s="37"/>
      <c r="E22" s="50"/>
      <c r="F22" s="50"/>
      <c r="G22" s="505"/>
    </row>
    <row r="23" spans="1:7" ht="16.5" customHeight="1" x14ac:dyDescent="0.25">
      <c r="A23" s="503" t="s">
        <v>412</v>
      </c>
      <c r="B23" s="66" t="s">
        <v>298</v>
      </c>
      <c r="C23" s="50">
        <v>100</v>
      </c>
      <c r="D23" s="37">
        <v>22</v>
      </c>
      <c r="E23" s="46">
        <f t="shared" ref="E23:E48" si="1">C23*D23</f>
        <v>2200</v>
      </c>
      <c r="F23" s="50"/>
      <c r="G23" s="505"/>
    </row>
    <row r="24" spans="1:7" ht="15.75" x14ac:dyDescent="0.25">
      <c r="A24" s="503" t="s">
        <v>413</v>
      </c>
      <c r="B24" s="66" t="s">
        <v>298</v>
      </c>
      <c r="C24" s="50">
        <v>50</v>
      </c>
      <c r="D24" s="37">
        <v>30</v>
      </c>
      <c r="E24" s="46">
        <f t="shared" si="1"/>
        <v>1500</v>
      </c>
      <c r="F24" s="50"/>
      <c r="G24" s="505"/>
    </row>
    <row r="25" spans="1:7" ht="15.75" x14ac:dyDescent="0.25">
      <c r="A25" s="503" t="s">
        <v>414</v>
      </c>
      <c r="B25" s="66" t="s">
        <v>298</v>
      </c>
      <c r="C25" s="50">
        <v>150</v>
      </c>
      <c r="D25" s="37">
        <v>40</v>
      </c>
      <c r="E25" s="46">
        <f t="shared" si="1"/>
        <v>6000</v>
      </c>
      <c r="F25" s="52"/>
      <c r="G25" s="504"/>
    </row>
    <row r="26" spans="1:7" ht="15.75" x14ac:dyDescent="0.25">
      <c r="A26" s="503" t="s">
        <v>415</v>
      </c>
      <c r="B26" s="66" t="s">
        <v>298</v>
      </c>
      <c r="C26" s="50">
        <v>300</v>
      </c>
      <c r="D26" s="37">
        <v>50</v>
      </c>
      <c r="E26" s="46">
        <f t="shared" si="1"/>
        <v>15000</v>
      </c>
      <c r="F26" s="52"/>
      <c r="G26" s="504"/>
    </row>
    <row r="27" spans="1:7" ht="15.75" x14ac:dyDescent="0.25">
      <c r="A27" s="503" t="s">
        <v>416</v>
      </c>
      <c r="B27" s="66" t="s">
        <v>298</v>
      </c>
      <c r="C27" s="50">
        <v>250</v>
      </c>
      <c r="D27" s="37">
        <v>60</v>
      </c>
      <c r="E27" s="46">
        <f t="shared" si="1"/>
        <v>15000</v>
      </c>
      <c r="F27" s="52"/>
      <c r="G27" s="504"/>
    </row>
    <row r="28" spans="1:7" ht="15.75" x14ac:dyDescent="0.25">
      <c r="A28" s="503" t="s">
        <v>417</v>
      </c>
      <c r="B28" s="66" t="s">
        <v>298</v>
      </c>
      <c r="C28" s="50">
        <v>200</v>
      </c>
      <c r="D28" s="37">
        <v>30</v>
      </c>
      <c r="E28" s="46">
        <f t="shared" si="1"/>
        <v>6000</v>
      </c>
      <c r="F28" s="52"/>
      <c r="G28" s="504"/>
    </row>
    <row r="29" spans="1:7" ht="15.75" x14ac:dyDescent="0.25">
      <c r="A29" s="503" t="s">
        <v>418</v>
      </c>
      <c r="B29" s="66" t="s">
        <v>298</v>
      </c>
      <c r="C29" s="50">
        <v>20</v>
      </c>
      <c r="D29" s="37">
        <v>30</v>
      </c>
      <c r="E29" s="46">
        <f t="shared" si="1"/>
        <v>600</v>
      </c>
      <c r="F29" s="52"/>
      <c r="G29" s="504"/>
    </row>
    <row r="30" spans="1:7" ht="15.75" x14ac:dyDescent="0.25">
      <c r="A30" s="503" t="s">
        <v>419</v>
      </c>
      <c r="B30" s="66" t="s">
        <v>298</v>
      </c>
      <c r="C30" s="50">
        <v>20</v>
      </c>
      <c r="D30" s="37">
        <v>100</v>
      </c>
      <c r="E30" s="46">
        <f t="shared" si="1"/>
        <v>2000</v>
      </c>
      <c r="F30" s="52"/>
      <c r="G30" s="504"/>
    </row>
    <row r="31" spans="1:7" ht="15.75" x14ac:dyDescent="0.25">
      <c r="A31" s="503" t="s">
        <v>420</v>
      </c>
      <c r="B31" s="66" t="s">
        <v>298</v>
      </c>
      <c r="C31" s="50">
        <v>30</v>
      </c>
      <c r="D31" s="37">
        <v>34.799999999999997</v>
      </c>
      <c r="E31" s="46">
        <f t="shared" si="1"/>
        <v>1044</v>
      </c>
      <c r="F31" s="52"/>
      <c r="G31" s="504"/>
    </row>
    <row r="32" spans="1:7" ht="15.75" x14ac:dyDescent="0.25">
      <c r="A32" s="503" t="s">
        <v>421</v>
      </c>
      <c r="B32" s="66" t="s">
        <v>298</v>
      </c>
      <c r="C32" s="50">
        <v>100</v>
      </c>
      <c r="D32" s="37">
        <v>64</v>
      </c>
      <c r="E32" s="46">
        <f t="shared" si="1"/>
        <v>6400</v>
      </c>
      <c r="F32" s="52"/>
      <c r="G32" s="504"/>
    </row>
    <row r="33" spans="1:7" ht="15.75" x14ac:dyDescent="0.25">
      <c r="A33" s="503" t="s">
        <v>422</v>
      </c>
      <c r="B33" s="66" t="s">
        <v>298</v>
      </c>
      <c r="C33" s="50">
        <v>100</v>
      </c>
      <c r="D33" s="37">
        <v>55</v>
      </c>
      <c r="E33" s="46">
        <f t="shared" si="1"/>
        <v>5500</v>
      </c>
      <c r="F33" s="52"/>
      <c r="G33" s="504"/>
    </row>
    <row r="34" spans="1:7" ht="15.75" x14ac:dyDescent="0.25">
      <c r="A34" s="503" t="s">
        <v>423</v>
      </c>
      <c r="B34" s="66" t="s">
        <v>298</v>
      </c>
      <c r="C34" s="50">
        <v>10</v>
      </c>
      <c r="D34" s="37">
        <v>93</v>
      </c>
      <c r="E34" s="46">
        <f t="shared" si="1"/>
        <v>930</v>
      </c>
      <c r="F34" s="52"/>
      <c r="G34" s="504"/>
    </row>
    <row r="35" spans="1:7" ht="15.75" x14ac:dyDescent="0.25">
      <c r="A35" s="503" t="s">
        <v>424</v>
      </c>
      <c r="B35" s="66" t="s">
        <v>298</v>
      </c>
      <c r="C35" s="50">
        <v>2</v>
      </c>
      <c r="D35" s="37">
        <v>457.28</v>
      </c>
      <c r="E35" s="46">
        <f t="shared" si="1"/>
        <v>914.56</v>
      </c>
      <c r="F35" s="52"/>
      <c r="G35" s="504"/>
    </row>
    <row r="36" spans="1:7" ht="15.75" x14ac:dyDescent="0.25">
      <c r="A36" s="503" t="s">
        <v>425</v>
      </c>
      <c r="B36" s="66" t="s">
        <v>426</v>
      </c>
      <c r="C36" s="50">
        <v>100</v>
      </c>
      <c r="D36" s="37">
        <v>30</v>
      </c>
      <c r="E36" s="46">
        <f t="shared" si="1"/>
        <v>3000</v>
      </c>
      <c r="F36" s="52"/>
      <c r="G36" s="504"/>
    </row>
    <row r="37" spans="1:7" ht="15.75" x14ac:dyDescent="0.25">
      <c r="A37" s="503" t="s">
        <v>427</v>
      </c>
      <c r="B37" s="66" t="s">
        <v>426</v>
      </c>
      <c r="C37" s="50">
        <v>100</v>
      </c>
      <c r="D37" s="37">
        <v>15</v>
      </c>
      <c r="E37" s="46">
        <f t="shared" si="1"/>
        <v>1500</v>
      </c>
      <c r="F37" s="52"/>
      <c r="G37" s="504"/>
    </row>
    <row r="38" spans="1:7" ht="15.75" x14ac:dyDescent="0.25">
      <c r="A38" s="503" t="s">
        <v>428</v>
      </c>
      <c r="B38" s="66" t="s">
        <v>298</v>
      </c>
      <c r="C38" s="50">
        <v>2</v>
      </c>
      <c r="D38" s="37">
        <v>219</v>
      </c>
      <c r="E38" s="46">
        <f t="shared" si="1"/>
        <v>438</v>
      </c>
      <c r="F38" s="52"/>
      <c r="G38" s="504"/>
    </row>
    <row r="39" spans="1:7" ht="15.75" x14ac:dyDescent="0.25">
      <c r="A39" s="503" t="s">
        <v>429</v>
      </c>
      <c r="B39" s="66" t="s">
        <v>298</v>
      </c>
      <c r="C39" s="50">
        <v>20</v>
      </c>
      <c r="D39" s="37">
        <v>166</v>
      </c>
      <c r="E39" s="46">
        <f t="shared" si="1"/>
        <v>3320</v>
      </c>
      <c r="F39" s="52"/>
      <c r="G39" s="504"/>
    </row>
    <row r="40" spans="1:7" ht="15.75" x14ac:dyDescent="0.25">
      <c r="A40" s="503" t="s">
        <v>430</v>
      </c>
      <c r="B40" s="66" t="s">
        <v>298</v>
      </c>
      <c r="C40" s="50">
        <v>10</v>
      </c>
      <c r="D40" s="37">
        <v>312</v>
      </c>
      <c r="E40" s="46">
        <f t="shared" si="1"/>
        <v>3120</v>
      </c>
      <c r="F40" s="52"/>
      <c r="G40" s="504"/>
    </row>
    <row r="41" spans="1:7" ht="15.75" x14ac:dyDescent="0.25">
      <c r="A41" s="503" t="s">
        <v>431</v>
      </c>
      <c r="B41" s="66" t="s">
        <v>298</v>
      </c>
      <c r="C41" s="50">
        <v>20</v>
      </c>
      <c r="D41" s="37">
        <v>399</v>
      </c>
      <c r="E41" s="46">
        <f t="shared" si="1"/>
        <v>7980</v>
      </c>
      <c r="F41" s="52"/>
      <c r="G41" s="504"/>
    </row>
    <row r="42" spans="1:7" ht="15.75" x14ac:dyDescent="0.25">
      <c r="A42" s="503" t="s">
        <v>432</v>
      </c>
      <c r="B42" s="66" t="s">
        <v>298</v>
      </c>
      <c r="C42" s="50">
        <v>1</v>
      </c>
      <c r="D42" s="37">
        <v>3500</v>
      </c>
      <c r="E42" s="46">
        <f t="shared" si="1"/>
        <v>3500</v>
      </c>
      <c r="F42" s="52"/>
      <c r="G42" s="504"/>
    </row>
    <row r="43" spans="1:7" ht="15.75" x14ac:dyDescent="0.25">
      <c r="A43" s="503" t="s">
        <v>433</v>
      </c>
      <c r="B43" s="66" t="s">
        <v>298</v>
      </c>
      <c r="C43" s="50">
        <v>1</v>
      </c>
      <c r="D43" s="37">
        <v>890</v>
      </c>
      <c r="E43" s="46">
        <f t="shared" si="1"/>
        <v>890</v>
      </c>
      <c r="F43" s="52"/>
      <c r="G43" s="504"/>
    </row>
    <row r="44" spans="1:7" ht="15.75" x14ac:dyDescent="0.25">
      <c r="A44" s="503" t="s">
        <v>434</v>
      </c>
      <c r="B44" s="66" t="s">
        <v>298</v>
      </c>
      <c r="C44" s="50">
        <v>3</v>
      </c>
      <c r="D44" s="37">
        <v>1300</v>
      </c>
      <c r="E44" s="46">
        <f t="shared" si="1"/>
        <v>3900</v>
      </c>
      <c r="F44" s="52"/>
      <c r="G44" s="504"/>
    </row>
    <row r="45" spans="1:7" ht="15.75" x14ac:dyDescent="0.25">
      <c r="A45" s="503" t="s">
        <v>435</v>
      </c>
      <c r="B45" s="66" t="s">
        <v>298</v>
      </c>
      <c r="C45" s="50">
        <v>1</v>
      </c>
      <c r="D45" s="37">
        <v>1300</v>
      </c>
      <c r="E45" s="46">
        <f t="shared" si="1"/>
        <v>1300</v>
      </c>
      <c r="F45" s="52"/>
      <c r="G45" s="504"/>
    </row>
    <row r="46" spans="1:7" ht="15.75" x14ac:dyDescent="0.25">
      <c r="A46" s="503" t="s">
        <v>436</v>
      </c>
      <c r="B46" s="66" t="s">
        <v>298</v>
      </c>
      <c r="C46" s="50">
        <v>2</v>
      </c>
      <c r="D46" s="37">
        <v>1600</v>
      </c>
      <c r="E46" s="46">
        <f t="shared" si="1"/>
        <v>3200</v>
      </c>
      <c r="F46" s="52"/>
      <c r="G46" s="504"/>
    </row>
    <row r="47" spans="1:7" ht="15.75" x14ac:dyDescent="0.25">
      <c r="A47" s="503" t="s">
        <v>437</v>
      </c>
      <c r="B47" s="66" t="s">
        <v>298</v>
      </c>
      <c r="C47" s="50">
        <v>1</v>
      </c>
      <c r="D47" s="37">
        <v>3500</v>
      </c>
      <c r="E47" s="46">
        <f t="shared" si="1"/>
        <v>3500</v>
      </c>
      <c r="F47" s="52"/>
      <c r="G47" s="504"/>
    </row>
    <row r="48" spans="1:7" ht="15.75" x14ac:dyDescent="0.25">
      <c r="A48" s="503" t="s">
        <v>438</v>
      </c>
      <c r="B48" s="66" t="s">
        <v>298</v>
      </c>
      <c r="C48" s="50">
        <v>1</v>
      </c>
      <c r="D48" s="37">
        <v>2000</v>
      </c>
      <c r="E48" s="46">
        <f t="shared" si="1"/>
        <v>2000</v>
      </c>
      <c r="F48" s="52"/>
      <c r="G48" s="504"/>
    </row>
    <row r="49" spans="1:7" x14ac:dyDescent="0.25">
      <c r="A49" s="500"/>
      <c r="B49" s="10"/>
      <c r="C49" s="50"/>
      <c r="D49" s="37"/>
      <c r="E49" s="33">
        <f>SUM(E23:E48)</f>
        <v>100736.56</v>
      </c>
      <c r="F49" s="53">
        <f>E49/2</f>
        <v>50368.28</v>
      </c>
      <c r="G49" s="506">
        <f>E49/2</f>
        <v>50368.28</v>
      </c>
    </row>
    <row r="50" spans="1:7" x14ac:dyDescent="0.25">
      <c r="A50" s="498" t="s">
        <v>313</v>
      </c>
      <c r="B50" s="10"/>
      <c r="C50" s="50"/>
      <c r="D50" s="37"/>
      <c r="E50" s="50"/>
      <c r="F50" s="50"/>
      <c r="G50" s="505"/>
    </row>
    <row r="51" spans="1:7" ht="15.75" x14ac:dyDescent="0.25">
      <c r="A51" s="503" t="s">
        <v>314</v>
      </c>
      <c r="B51" s="66" t="s">
        <v>298</v>
      </c>
      <c r="C51" s="50">
        <v>200</v>
      </c>
      <c r="D51" s="37">
        <v>45</v>
      </c>
      <c r="E51" s="46">
        <f t="shared" ref="E51:E70" si="2">C51*D51</f>
        <v>9000</v>
      </c>
      <c r="F51" s="50"/>
      <c r="G51" s="505"/>
    </row>
    <row r="52" spans="1:7" ht="15.75" x14ac:dyDescent="0.25">
      <c r="A52" s="503" t="s">
        <v>315</v>
      </c>
      <c r="B52" s="66" t="s">
        <v>298</v>
      </c>
      <c r="C52" s="50">
        <v>200</v>
      </c>
      <c r="D52" s="37">
        <v>65</v>
      </c>
      <c r="E52" s="46">
        <f t="shared" si="2"/>
        <v>13000</v>
      </c>
      <c r="F52" s="50"/>
      <c r="G52" s="505"/>
    </row>
    <row r="53" spans="1:7" ht="15.75" x14ac:dyDescent="0.25">
      <c r="A53" s="503" t="s">
        <v>316</v>
      </c>
      <c r="B53" s="66" t="s">
        <v>298</v>
      </c>
      <c r="C53" s="50">
        <v>100</v>
      </c>
      <c r="D53" s="37">
        <v>250</v>
      </c>
      <c r="E53" s="46">
        <f t="shared" si="2"/>
        <v>25000</v>
      </c>
      <c r="F53" s="50"/>
      <c r="G53" s="505"/>
    </row>
    <row r="54" spans="1:7" ht="15.75" x14ac:dyDescent="0.25">
      <c r="A54" s="503" t="s">
        <v>317</v>
      </c>
      <c r="B54" s="66" t="s">
        <v>298</v>
      </c>
      <c r="C54" s="50">
        <v>200</v>
      </c>
      <c r="D54" s="37">
        <v>200</v>
      </c>
      <c r="E54" s="46">
        <f t="shared" si="2"/>
        <v>40000</v>
      </c>
      <c r="F54" s="50"/>
      <c r="G54" s="505"/>
    </row>
    <row r="55" spans="1:7" ht="15.75" x14ac:dyDescent="0.25">
      <c r="A55" s="503" t="s">
        <v>440</v>
      </c>
      <c r="B55" s="66" t="s">
        <v>298</v>
      </c>
      <c r="C55" s="50">
        <v>40</v>
      </c>
      <c r="D55" s="37">
        <v>160</v>
      </c>
      <c r="E55" s="46">
        <f t="shared" si="2"/>
        <v>6400</v>
      </c>
      <c r="F55" s="50"/>
      <c r="G55" s="505"/>
    </row>
    <row r="56" spans="1:7" ht="15.75" x14ac:dyDescent="0.25">
      <c r="A56" s="503" t="s">
        <v>441</v>
      </c>
      <c r="B56" s="66" t="s">
        <v>298</v>
      </c>
      <c r="C56" s="50">
        <v>100</v>
      </c>
      <c r="D56" s="37">
        <v>7.06</v>
      </c>
      <c r="E56" s="46">
        <f t="shared" si="2"/>
        <v>706</v>
      </c>
      <c r="F56" s="50"/>
      <c r="G56" s="505"/>
    </row>
    <row r="57" spans="1:7" ht="15.75" x14ac:dyDescent="0.25">
      <c r="A57" s="503" t="s">
        <v>318</v>
      </c>
      <c r="B57" s="66" t="s">
        <v>319</v>
      </c>
      <c r="C57" s="50">
        <v>40</v>
      </c>
      <c r="D57" s="37">
        <v>139</v>
      </c>
      <c r="E57" s="46">
        <f t="shared" si="2"/>
        <v>5560</v>
      </c>
      <c r="F57" s="50"/>
      <c r="G57" s="505"/>
    </row>
    <row r="58" spans="1:7" ht="15.75" x14ac:dyDescent="0.25">
      <c r="A58" s="500"/>
      <c r="B58" s="10"/>
      <c r="C58" s="50"/>
      <c r="D58" s="37"/>
      <c r="E58" s="42">
        <f>SUM(E51:E57)</f>
        <v>99666</v>
      </c>
      <c r="F58" s="53">
        <f>E58/2</f>
        <v>49833</v>
      </c>
      <c r="G58" s="506">
        <f>E58/2</f>
        <v>49833</v>
      </c>
    </row>
    <row r="59" spans="1:7" x14ac:dyDescent="0.25">
      <c r="A59" s="498" t="s">
        <v>320</v>
      </c>
      <c r="B59" s="10"/>
      <c r="C59" s="50"/>
      <c r="D59" s="37"/>
      <c r="E59" s="46"/>
      <c r="F59" s="50"/>
      <c r="G59" s="505"/>
    </row>
    <row r="60" spans="1:7" ht="15.75" x14ac:dyDescent="0.25">
      <c r="A60" s="503" t="s">
        <v>321</v>
      </c>
      <c r="B60" s="66" t="s">
        <v>298</v>
      </c>
      <c r="C60" s="50">
        <v>6</v>
      </c>
      <c r="D60" s="37">
        <v>316</v>
      </c>
      <c r="E60" s="46">
        <f t="shared" si="2"/>
        <v>1896</v>
      </c>
      <c r="F60" s="50"/>
      <c r="G60" s="505"/>
    </row>
    <row r="61" spans="1:7" ht="15.75" x14ac:dyDescent="0.25">
      <c r="A61" s="503" t="s">
        <v>322</v>
      </c>
      <c r="B61" s="66" t="s">
        <v>298</v>
      </c>
      <c r="C61" s="50">
        <v>6</v>
      </c>
      <c r="D61" s="37">
        <v>1800</v>
      </c>
      <c r="E61" s="46">
        <f t="shared" si="2"/>
        <v>10800</v>
      </c>
      <c r="F61" s="51"/>
      <c r="G61" s="502"/>
    </row>
    <row r="62" spans="1:7" ht="15.75" x14ac:dyDescent="0.25">
      <c r="A62" s="503" t="s">
        <v>323</v>
      </c>
      <c r="B62" s="66" t="s">
        <v>298</v>
      </c>
      <c r="C62" s="50">
        <v>6</v>
      </c>
      <c r="D62" s="37">
        <v>42</v>
      </c>
      <c r="E62" s="46">
        <f t="shared" si="2"/>
        <v>252</v>
      </c>
      <c r="F62" s="50"/>
      <c r="G62" s="505"/>
    </row>
    <row r="63" spans="1:7" ht="15.75" x14ac:dyDescent="0.25">
      <c r="A63" s="503" t="s">
        <v>324</v>
      </c>
      <c r="B63" s="66" t="s">
        <v>298</v>
      </c>
      <c r="C63" s="50">
        <v>6</v>
      </c>
      <c r="D63" s="37">
        <v>44</v>
      </c>
      <c r="E63" s="46">
        <f t="shared" si="2"/>
        <v>264</v>
      </c>
      <c r="F63" s="50"/>
      <c r="G63" s="505"/>
    </row>
    <row r="64" spans="1:7" ht="15.75" x14ac:dyDescent="0.25">
      <c r="A64" s="503" t="s">
        <v>325</v>
      </c>
      <c r="B64" s="66" t="s">
        <v>298</v>
      </c>
      <c r="C64" s="50">
        <v>6</v>
      </c>
      <c r="D64" s="37">
        <v>149</v>
      </c>
      <c r="E64" s="46">
        <f t="shared" si="2"/>
        <v>894</v>
      </c>
      <c r="F64" s="44"/>
      <c r="G64" s="508"/>
    </row>
    <row r="65" spans="1:7" ht="15.75" x14ac:dyDescent="0.25">
      <c r="A65" s="503" t="s">
        <v>326</v>
      </c>
      <c r="B65" s="66" t="s">
        <v>298</v>
      </c>
      <c r="C65" s="50">
        <v>6</v>
      </c>
      <c r="D65" s="46">
        <v>73</v>
      </c>
      <c r="E65" s="46">
        <f t="shared" si="2"/>
        <v>438</v>
      </c>
      <c r="F65" s="50"/>
      <c r="G65" s="505"/>
    </row>
    <row r="66" spans="1:7" ht="15.75" x14ac:dyDescent="0.25">
      <c r="A66" s="503" t="s">
        <v>327</v>
      </c>
      <c r="B66" s="66" t="s">
        <v>298</v>
      </c>
      <c r="C66" s="50">
        <v>6</v>
      </c>
      <c r="D66" s="46">
        <v>78</v>
      </c>
      <c r="E66" s="46">
        <f t="shared" si="2"/>
        <v>468</v>
      </c>
      <c r="F66" s="50"/>
      <c r="G66" s="505"/>
    </row>
    <row r="67" spans="1:7" ht="15.75" x14ac:dyDescent="0.25">
      <c r="A67" s="503" t="s">
        <v>328</v>
      </c>
      <c r="B67" s="66" t="s">
        <v>329</v>
      </c>
      <c r="C67" s="50">
        <v>6</v>
      </c>
      <c r="D67" s="46">
        <v>56</v>
      </c>
      <c r="E67" s="46">
        <f t="shared" si="2"/>
        <v>336</v>
      </c>
      <c r="F67" s="55"/>
      <c r="G67" s="505"/>
    </row>
    <row r="68" spans="1:7" ht="15.75" x14ac:dyDescent="0.25">
      <c r="A68" s="503" t="s">
        <v>330</v>
      </c>
      <c r="B68" s="66" t="s">
        <v>298</v>
      </c>
      <c r="C68" s="50">
        <v>6</v>
      </c>
      <c r="D68" s="46">
        <v>734</v>
      </c>
      <c r="E68" s="46">
        <f t="shared" si="2"/>
        <v>4404</v>
      </c>
      <c r="F68" s="50"/>
      <c r="G68" s="505"/>
    </row>
    <row r="69" spans="1:7" ht="15.75" x14ac:dyDescent="0.25">
      <c r="A69" s="503" t="s">
        <v>331</v>
      </c>
      <c r="B69" s="66" t="s">
        <v>298</v>
      </c>
      <c r="C69" s="50">
        <v>6</v>
      </c>
      <c r="D69" s="46">
        <v>569</v>
      </c>
      <c r="E69" s="46">
        <f t="shared" si="2"/>
        <v>3414</v>
      </c>
      <c r="F69" s="50"/>
      <c r="G69" s="505"/>
    </row>
    <row r="70" spans="1:7" ht="15.75" x14ac:dyDescent="0.25">
      <c r="A70" s="503" t="s">
        <v>332</v>
      </c>
      <c r="B70" s="66" t="s">
        <v>298</v>
      </c>
      <c r="C70" s="50">
        <v>2</v>
      </c>
      <c r="D70" s="46">
        <v>315</v>
      </c>
      <c r="E70" s="46">
        <f t="shared" si="2"/>
        <v>630</v>
      </c>
      <c r="F70" s="50"/>
      <c r="G70" s="505"/>
    </row>
    <row r="71" spans="1:7" ht="15.75" x14ac:dyDescent="0.25">
      <c r="A71" s="503" t="s">
        <v>333</v>
      </c>
      <c r="B71" s="66" t="s">
        <v>298</v>
      </c>
      <c r="C71" s="50">
        <v>18</v>
      </c>
      <c r="D71" s="46">
        <v>209</v>
      </c>
      <c r="E71" s="46">
        <f>C71*D71</f>
        <v>3762</v>
      </c>
      <c r="F71" s="51"/>
      <c r="G71" s="502"/>
    </row>
    <row r="72" spans="1:7" ht="15.75" x14ac:dyDescent="0.25">
      <c r="A72" s="503"/>
      <c r="B72" s="66"/>
      <c r="C72" s="50"/>
      <c r="D72" s="46"/>
      <c r="E72" s="42">
        <f>SUM(E60:E71)</f>
        <v>27558</v>
      </c>
      <c r="F72" s="509">
        <f>E72/2</f>
        <v>13779</v>
      </c>
      <c r="G72" s="510">
        <f>E72/2</f>
        <v>13779</v>
      </c>
    </row>
    <row r="73" spans="1:7" ht="15.75" x14ac:dyDescent="0.25">
      <c r="A73" s="507" t="s">
        <v>381</v>
      </c>
      <c r="B73" s="66"/>
      <c r="C73" s="56"/>
      <c r="D73" s="56"/>
      <c r="E73" s="42">
        <v>100000</v>
      </c>
      <c r="F73" s="53">
        <v>50000</v>
      </c>
      <c r="G73" s="506">
        <v>50000</v>
      </c>
    </row>
    <row r="74" spans="1:7" ht="15.75" x14ac:dyDescent="0.25">
      <c r="A74" s="503"/>
      <c r="B74" s="66"/>
      <c r="C74" s="56"/>
      <c r="D74" s="56"/>
      <c r="E74" s="57"/>
      <c r="F74" s="50"/>
      <c r="G74" s="505"/>
    </row>
    <row r="75" spans="1:7" ht="15.75" x14ac:dyDescent="0.25">
      <c r="A75" s="511" t="s">
        <v>369</v>
      </c>
      <c r="B75" s="10"/>
      <c r="C75" s="56"/>
      <c r="D75" s="56"/>
      <c r="E75" s="42">
        <v>100000</v>
      </c>
      <c r="F75" s="53">
        <f>E75/2</f>
        <v>50000</v>
      </c>
      <c r="G75" s="506">
        <f>E75/2</f>
        <v>50000</v>
      </c>
    </row>
    <row r="76" spans="1:7" x14ac:dyDescent="0.25">
      <c r="A76" s="501"/>
      <c r="B76" s="177"/>
      <c r="C76" s="177"/>
      <c r="D76" s="177"/>
      <c r="E76" s="177"/>
      <c r="F76" s="177"/>
      <c r="G76" s="512"/>
    </row>
    <row r="77" spans="1:7" ht="15.75" x14ac:dyDescent="0.25">
      <c r="A77" s="500"/>
      <c r="B77" s="10"/>
      <c r="C77" s="56"/>
      <c r="D77" s="56"/>
      <c r="E77" s="57"/>
      <c r="F77" s="50"/>
      <c r="G77" s="505"/>
    </row>
    <row r="78" spans="1:7" x14ac:dyDescent="0.25">
      <c r="A78" s="501"/>
      <c r="B78" s="177"/>
      <c r="C78" s="177"/>
      <c r="D78" s="177"/>
      <c r="E78" s="177"/>
      <c r="F78" s="177"/>
      <c r="G78" s="512"/>
    </row>
    <row r="79" spans="1:7" ht="16.5" thickBot="1" x14ac:dyDescent="0.3">
      <c r="A79" s="513" t="s">
        <v>262</v>
      </c>
      <c r="B79" s="514"/>
      <c r="C79" s="515"/>
      <c r="D79" s="515"/>
      <c r="E79" s="516">
        <f>SUM(E21,E49,E58,E72,E73,E75)</f>
        <v>504602.56</v>
      </c>
      <c r="F79" s="516">
        <f>F73+F72+F58+F49+F21+F75</f>
        <v>252301.28</v>
      </c>
      <c r="G79" s="517">
        <f>G73+G72+G58+G49+G21+G75</f>
        <v>252301.28</v>
      </c>
    </row>
    <row r="81" spans="1:3" x14ac:dyDescent="0.25">
      <c r="A81" s="24" t="s">
        <v>704</v>
      </c>
      <c r="C81" t="s">
        <v>705</v>
      </c>
    </row>
    <row r="83" spans="1:3" x14ac:dyDescent="0.25">
      <c r="A83" s="24" t="s">
        <v>706</v>
      </c>
      <c r="C83" t="s">
        <v>707</v>
      </c>
    </row>
  </sheetData>
  <mergeCells count="1">
    <mergeCell ref="A2:G2"/>
  </mergeCells>
  <pageMargins left="0.7" right="0.7" top="0.75" bottom="0.75" header="0.3" footer="0.3"/>
  <pageSetup paperSize="9" scale="75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>
      <selection activeCell="K11" sqref="K10:K11"/>
    </sheetView>
  </sheetViews>
  <sheetFormatPr defaultRowHeight="15" x14ac:dyDescent="0.25"/>
  <cols>
    <col min="1" max="1" width="3.140625" customWidth="1"/>
    <col min="2" max="2" width="37.140625" customWidth="1"/>
    <col min="6" max="6" width="14.85546875" customWidth="1"/>
    <col min="7" max="7" width="13.28515625" customWidth="1"/>
    <col min="8" max="8" width="12.85546875" customWidth="1"/>
    <col min="9" max="9" width="10" bestFit="1" customWidth="1"/>
  </cols>
  <sheetData>
    <row r="1" spans="1:8" x14ac:dyDescent="0.25">
      <c r="H1" s="557" t="s">
        <v>608</v>
      </c>
    </row>
    <row r="2" spans="1:8" ht="15.75" x14ac:dyDescent="0.25">
      <c r="B2" s="722" t="s">
        <v>336</v>
      </c>
      <c r="C2" s="722"/>
      <c r="D2" s="722"/>
      <c r="E2" s="722"/>
      <c r="F2" s="722"/>
      <c r="G2" s="722"/>
      <c r="H2" s="722"/>
    </row>
    <row r="3" spans="1:8" ht="15.75" thickBot="1" x14ac:dyDescent="0.3"/>
    <row r="4" spans="1:8" ht="56.25" customHeight="1" thickBot="1" x14ac:dyDescent="0.3">
      <c r="A4" s="527"/>
      <c r="B4" s="528" t="s">
        <v>295</v>
      </c>
      <c r="C4" s="529" t="s">
        <v>337</v>
      </c>
      <c r="D4" s="530" t="s">
        <v>296</v>
      </c>
      <c r="E4" s="530" t="s">
        <v>297</v>
      </c>
      <c r="F4" s="530" t="s">
        <v>268</v>
      </c>
      <c r="G4" s="530" t="s">
        <v>269</v>
      </c>
      <c r="H4" s="531" t="s">
        <v>290</v>
      </c>
    </row>
    <row r="5" spans="1:8" ht="15.75" x14ac:dyDescent="0.25">
      <c r="A5" s="532"/>
      <c r="B5" s="533" t="s">
        <v>338</v>
      </c>
      <c r="C5" s="519"/>
      <c r="D5" s="520"/>
      <c r="E5" s="520"/>
      <c r="F5" s="520"/>
      <c r="G5" s="520"/>
      <c r="H5" s="523"/>
    </row>
    <row r="6" spans="1:8" x14ac:dyDescent="0.25">
      <c r="A6" s="534"/>
      <c r="B6" s="7" t="s">
        <v>339</v>
      </c>
      <c r="C6" s="10" t="s">
        <v>298</v>
      </c>
      <c r="D6" s="48">
        <v>200</v>
      </c>
      <c r="E6" s="49">
        <v>4.75</v>
      </c>
      <c r="F6" s="37">
        <f t="shared" ref="F6:F32" si="0">D6*E6</f>
        <v>950</v>
      </c>
      <c r="G6" s="48"/>
      <c r="H6" s="499"/>
    </row>
    <row r="7" spans="1:8" x14ac:dyDescent="0.25">
      <c r="A7" s="534"/>
      <c r="B7" s="7" t="s">
        <v>340</v>
      </c>
      <c r="C7" s="10" t="s">
        <v>298</v>
      </c>
      <c r="D7" s="48">
        <v>100</v>
      </c>
      <c r="E7" s="49">
        <v>4.05</v>
      </c>
      <c r="F7" s="37">
        <f t="shared" si="0"/>
        <v>405</v>
      </c>
      <c r="G7" s="10"/>
      <c r="H7" s="499"/>
    </row>
    <row r="8" spans="1:8" x14ac:dyDescent="0.25">
      <c r="A8" s="534"/>
      <c r="B8" s="7" t="s">
        <v>341</v>
      </c>
      <c r="C8" s="10" t="s">
        <v>298</v>
      </c>
      <c r="D8" s="48">
        <v>60</v>
      </c>
      <c r="E8" s="49">
        <v>14.21</v>
      </c>
      <c r="F8" s="37">
        <f t="shared" si="0"/>
        <v>852.6</v>
      </c>
      <c r="G8" s="10"/>
      <c r="H8" s="499"/>
    </row>
    <row r="9" spans="1:8" x14ac:dyDescent="0.25">
      <c r="A9" s="534"/>
      <c r="B9" s="7" t="s">
        <v>342</v>
      </c>
      <c r="C9" s="10" t="s">
        <v>298</v>
      </c>
      <c r="D9" s="48">
        <v>60</v>
      </c>
      <c r="E9" s="49">
        <v>6.97</v>
      </c>
      <c r="F9" s="37">
        <f t="shared" si="0"/>
        <v>418.2</v>
      </c>
      <c r="G9" s="10"/>
      <c r="H9" s="499"/>
    </row>
    <row r="10" spans="1:8" x14ac:dyDescent="0.25">
      <c r="A10" s="534"/>
      <c r="B10" s="7" t="s">
        <v>343</v>
      </c>
      <c r="C10" s="10" t="s">
        <v>298</v>
      </c>
      <c r="D10" s="50">
        <v>60</v>
      </c>
      <c r="E10" s="37">
        <v>7.25</v>
      </c>
      <c r="F10" s="37">
        <f t="shared" si="0"/>
        <v>435</v>
      </c>
      <c r="G10" s="10"/>
      <c r="H10" s="499"/>
    </row>
    <row r="11" spans="1:8" x14ac:dyDescent="0.25">
      <c r="A11" s="534"/>
      <c r="B11" s="7" t="s">
        <v>344</v>
      </c>
      <c r="C11" s="10" t="s">
        <v>298</v>
      </c>
      <c r="D11" s="50">
        <v>200</v>
      </c>
      <c r="E11" s="37">
        <v>10.5</v>
      </c>
      <c r="F11" s="37">
        <f t="shared" si="0"/>
        <v>2100</v>
      </c>
      <c r="G11" s="10"/>
      <c r="H11" s="499"/>
    </row>
    <row r="12" spans="1:8" x14ac:dyDescent="0.25">
      <c r="A12" s="534"/>
      <c r="B12" s="7" t="s">
        <v>345</v>
      </c>
      <c r="C12" s="10" t="s">
        <v>298</v>
      </c>
      <c r="D12" s="48">
        <v>300</v>
      </c>
      <c r="E12" s="49">
        <v>0.61</v>
      </c>
      <c r="F12" s="37">
        <f t="shared" si="0"/>
        <v>183</v>
      </c>
      <c r="G12" s="10"/>
      <c r="H12" s="499"/>
    </row>
    <row r="13" spans="1:8" x14ac:dyDescent="0.25">
      <c r="A13" s="534"/>
      <c r="B13" s="7" t="s">
        <v>346</v>
      </c>
      <c r="C13" s="10" t="s">
        <v>298</v>
      </c>
      <c r="D13" s="48">
        <v>300</v>
      </c>
      <c r="E13" s="49">
        <v>5.8</v>
      </c>
      <c r="F13" s="37">
        <f t="shared" si="0"/>
        <v>1740</v>
      </c>
      <c r="G13" s="10"/>
      <c r="H13" s="499"/>
    </row>
    <row r="14" spans="1:8" x14ac:dyDescent="0.25">
      <c r="A14" s="534"/>
      <c r="B14" s="7" t="s">
        <v>347</v>
      </c>
      <c r="C14" s="10" t="s">
        <v>348</v>
      </c>
      <c r="D14" s="48">
        <v>120</v>
      </c>
      <c r="E14" s="11">
        <v>7.4</v>
      </c>
      <c r="F14" s="37">
        <f t="shared" si="0"/>
        <v>888</v>
      </c>
      <c r="G14" s="10"/>
      <c r="H14" s="499"/>
    </row>
    <row r="15" spans="1:8" x14ac:dyDescent="0.25">
      <c r="A15" s="534"/>
      <c r="B15" s="7" t="s">
        <v>349</v>
      </c>
      <c r="C15" s="10" t="s">
        <v>348</v>
      </c>
      <c r="D15" s="48">
        <v>120</v>
      </c>
      <c r="E15" s="11">
        <v>15.77</v>
      </c>
      <c r="F15" s="37">
        <f t="shared" si="0"/>
        <v>1892.3999999999999</v>
      </c>
      <c r="G15" s="10"/>
      <c r="H15" s="499"/>
    </row>
    <row r="16" spans="1:8" x14ac:dyDescent="0.25">
      <c r="A16" s="534"/>
      <c r="B16" s="7" t="s">
        <v>350</v>
      </c>
      <c r="C16" s="10" t="s">
        <v>298</v>
      </c>
      <c r="D16" s="50">
        <v>120</v>
      </c>
      <c r="E16" s="37">
        <v>4.05</v>
      </c>
      <c r="F16" s="37">
        <f t="shared" si="0"/>
        <v>486</v>
      </c>
      <c r="G16" s="51"/>
      <c r="H16" s="502"/>
    </row>
    <row r="17" spans="1:8" x14ac:dyDescent="0.25">
      <c r="A17" s="534"/>
      <c r="B17" s="7" t="s">
        <v>351</v>
      </c>
      <c r="C17" s="10" t="s">
        <v>348</v>
      </c>
      <c r="D17" s="50">
        <v>120</v>
      </c>
      <c r="E17" s="37">
        <v>4.1500000000000004</v>
      </c>
      <c r="F17" s="37">
        <f t="shared" si="0"/>
        <v>498.00000000000006</v>
      </c>
      <c r="G17" s="51"/>
      <c r="H17" s="502"/>
    </row>
    <row r="18" spans="1:8" x14ac:dyDescent="0.25">
      <c r="A18" s="534"/>
      <c r="B18" s="7" t="s">
        <v>352</v>
      </c>
      <c r="C18" s="10" t="s">
        <v>298</v>
      </c>
      <c r="D18" s="50">
        <v>12</v>
      </c>
      <c r="E18" s="37">
        <v>54.8</v>
      </c>
      <c r="F18" s="37">
        <f t="shared" si="0"/>
        <v>657.59999999999991</v>
      </c>
      <c r="G18" s="52"/>
      <c r="H18" s="504"/>
    </row>
    <row r="19" spans="1:8" x14ac:dyDescent="0.25">
      <c r="A19" s="534"/>
      <c r="B19" s="7" t="s">
        <v>353</v>
      </c>
      <c r="C19" s="10" t="s">
        <v>298</v>
      </c>
      <c r="D19" s="50">
        <v>60</v>
      </c>
      <c r="E19" s="37">
        <v>38.72</v>
      </c>
      <c r="F19" s="37">
        <f t="shared" si="0"/>
        <v>2323.1999999999998</v>
      </c>
      <c r="G19" s="52"/>
      <c r="H19" s="504"/>
    </row>
    <row r="20" spans="1:8" x14ac:dyDescent="0.25">
      <c r="A20" s="534"/>
      <c r="B20" s="7" t="s">
        <v>354</v>
      </c>
      <c r="C20" s="10" t="s">
        <v>298</v>
      </c>
      <c r="D20" s="50">
        <v>60</v>
      </c>
      <c r="E20" s="37">
        <v>5.33</v>
      </c>
      <c r="F20" s="37">
        <f t="shared" si="0"/>
        <v>319.8</v>
      </c>
      <c r="G20" s="52"/>
      <c r="H20" s="504"/>
    </row>
    <row r="21" spans="1:8" x14ac:dyDescent="0.25">
      <c r="A21" s="534"/>
      <c r="B21" s="7" t="s">
        <v>355</v>
      </c>
      <c r="C21" s="10" t="s">
        <v>298</v>
      </c>
      <c r="D21" s="50">
        <v>1000</v>
      </c>
      <c r="E21" s="37">
        <v>4.2</v>
      </c>
      <c r="F21" s="37">
        <f t="shared" si="0"/>
        <v>4200</v>
      </c>
      <c r="G21" s="51"/>
      <c r="H21" s="502"/>
    </row>
    <row r="22" spans="1:8" x14ac:dyDescent="0.25">
      <c r="A22" s="534"/>
      <c r="B22" s="7" t="s">
        <v>356</v>
      </c>
      <c r="C22" s="10" t="s">
        <v>298</v>
      </c>
      <c r="D22" s="50">
        <v>1500</v>
      </c>
      <c r="E22" s="37">
        <v>5</v>
      </c>
      <c r="F22" s="37">
        <f t="shared" si="0"/>
        <v>7500</v>
      </c>
      <c r="G22" s="50"/>
      <c r="H22" s="505"/>
    </row>
    <row r="23" spans="1:8" ht="0.75" hidden="1" customHeight="1" x14ac:dyDescent="0.25">
      <c r="A23" s="534"/>
      <c r="B23" s="7"/>
      <c r="C23" s="10"/>
      <c r="D23" s="50"/>
      <c r="E23" s="37"/>
      <c r="F23" s="37"/>
      <c r="G23" s="50"/>
      <c r="H23" s="505"/>
    </row>
    <row r="24" spans="1:8" x14ac:dyDescent="0.25">
      <c r="A24" s="534"/>
      <c r="B24" s="7" t="s">
        <v>358</v>
      </c>
      <c r="C24" s="10" t="s">
        <v>348</v>
      </c>
      <c r="D24" s="50">
        <v>150</v>
      </c>
      <c r="E24" s="37">
        <v>62.35</v>
      </c>
      <c r="F24" s="37">
        <f t="shared" si="0"/>
        <v>9352.5</v>
      </c>
      <c r="G24" s="50"/>
      <c r="H24" s="505"/>
    </row>
    <row r="25" spans="1:8" x14ac:dyDescent="0.25">
      <c r="A25" s="534"/>
      <c r="B25" s="7" t="s">
        <v>359</v>
      </c>
      <c r="C25" s="10" t="s">
        <v>348</v>
      </c>
      <c r="D25" s="50">
        <v>12</v>
      </c>
      <c r="E25" s="37">
        <v>50.3</v>
      </c>
      <c r="F25" s="37">
        <f t="shared" si="0"/>
        <v>603.59999999999991</v>
      </c>
      <c r="G25" s="50"/>
      <c r="H25" s="505"/>
    </row>
    <row r="26" spans="1:8" x14ac:dyDescent="0.25">
      <c r="A26" s="534"/>
      <c r="B26" s="7" t="s">
        <v>360</v>
      </c>
      <c r="C26" s="10" t="s">
        <v>298</v>
      </c>
      <c r="D26" s="50">
        <v>200</v>
      </c>
      <c r="E26" s="37">
        <v>49.54</v>
      </c>
      <c r="F26" s="37">
        <f t="shared" si="0"/>
        <v>9908</v>
      </c>
      <c r="G26" s="50"/>
      <c r="H26" s="505"/>
    </row>
    <row r="27" spans="1:8" x14ac:dyDescent="0.25">
      <c r="A27" s="534"/>
      <c r="B27" s="7" t="s">
        <v>361</v>
      </c>
      <c r="C27" s="10" t="s">
        <v>298</v>
      </c>
      <c r="D27" s="59">
        <v>12</v>
      </c>
      <c r="E27" s="37">
        <v>38.4</v>
      </c>
      <c r="F27" s="37">
        <f t="shared" si="0"/>
        <v>460.79999999999995</v>
      </c>
      <c r="G27" s="51"/>
      <c r="H27" s="502"/>
    </row>
    <row r="28" spans="1:8" x14ac:dyDescent="0.25">
      <c r="A28" s="534"/>
      <c r="B28" s="7" t="s">
        <v>362</v>
      </c>
      <c r="C28" s="10" t="s">
        <v>298</v>
      </c>
      <c r="D28" s="50">
        <v>200</v>
      </c>
      <c r="E28" s="37">
        <v>3.25</v>
      </c>
      <c r="F28" s="37">
        <f t="shared" si="0"/>
        <v>650</v>
      </c>
      <c r="G28" s="50"/>
      <c r="H28" s="505"/>
    </row>
    <row r="29" spans="1:8" x14ac:dyDescent="0.25">
      <c r="A29" s="534"/>
      <c r="B29" s="7" t="s">
        <v>363</v>
      </c>
      <c r="C29" s="10" t="s">
        <v>298</v>
      </c>
      <c r="D29" s="50">
        <v>15</v>
      </c>
      <c r="E29" s="37">
        <v>58.61</v>
      </c>
      <c r="F29" s="37">
        <f t="shared" si="0"/>
        <v>879.15</v>
      </c>
      <c r="G29" s="50"/>
      <c r="H29" s="505"/>
    </row>
    <row r="30" spans="1:8" x14ac:dyDescent="0.25">
      <c r="A30" s="534"/>
      <c r="B30" s="7" t="s">
        <v>364</v>
      </c>
      <c r="C30" s="10" t="s">
        <v>298</v>
      </c>
      <c r="D30" s="50">
        <v>6</v>
      </c>
      <c r="E30" s="37">
        <v>64.3</v>
      </c>
      <c r="F30" s="37">
        <f t="shared" si="0"/>
        <v>385.79999999999995</v>
      </c>
      <c r="G30" s="44"/>
      <c r="H30" s="508"/>
    </row>
    <row r="31" spans="1:8" x14ac:dyDescent="0.25">
      <c r="A31" s="534"/>
      <c r="B31" s="7" t="s">
        <v>365</v>
      </c>
      <c r="C31" s="10" t="s">
        <v>298</v>
      </c>
      <c r="D31" s="50">
        <v>4000</v>
      </c>
      <c r="E31" s="37">
        <v>0.2</v>
      </c>
      <c r="F31" s="37">
        <f t="shared" si="0"/>
        <v>800</v>
      </c>
      <c r="G31" s="44"/>
      <c r="H31" s="508"/>
    </row>
    <row r="32" spans="1:8" x14ac:dyDescent="0.25">
      <c r="A32" s="534"/>
      <c r="B32" s="7" t="s">
        <v>366</v>
      </c>
      <c r="C32" s="10" t="s">
        <v>298</v>
      </c>
      <c r="D32" s="50">
        <v>800</v>
      </c>
      <c r="E32" s="37">
        <v>1.1000000000000001</v>
      </c>
      <c r="F32" s="37">
        <f t="shared" si="0"/>
        <v>880.00000000000011</v>
      </c>
      <c r="G32" s="44"/>
      <c r="H32" s="535"/>
    </row>
    <row r="33" spans="1:9" x14ac:dyDescent="0.25">
      <c r="A33" s="534"/>
      <c r="B33" s="7"/>
      <c r="C33" s="10"/>
      <c r="D33" s="50"/>
      <c r="E33" s="37"/>
      <c r="F33" s="33">
        <f>SUM(F6:F32)</f>
        <v>49768.650000000009</v>
      </c>
      <c r="G33" s="33">
        <f>F33/2</f>
        <v>24884.325000000004</v>
      </c>
      <c r="H33" s="535">
        <f>F33/2</f>
        <v>24884.325000000004</v>
      </c>
    </row>
    <row r="34" spans="1:9" x14ac:dyDescent="0.25">
      <c r="A34" s="534"/>
      <c r="B34" s="7"/>
      <c r="C34" s="10"/>
      <c r="D34" s="50"/>
      <c r="E34" s="37"/>
      <c r="F34" s="53"/>
      <c r="G34" s="33"/>
      <c r="H34" s="535"/>
    </row>
    <row r="35" spans="1:9" x14ac:dyDescent="0.25">
      <c r="A35" s="534"/>
      <c r="B35" s="38" t="s">
        <v>357</v>
      </c>
      <c r="C35" s="536" t="s">
        <v>348</v>
      </c>
      <c r="D35" s="44">
        <v>7000</v>
      </c>
      <c r="E35" s="33">
        <v>130</v>
      </c>
      <c r="F35" s="33">
        <f>D35*E35</f>
        <v>910000</v>
      </c>
      <c r="G35" s="33">
        <f>F35</f>
        <v>910000</v>
      </c>
      <c r="H35" s="535"/>
    </row>
    <row r="36" spans="1:9" x14ac:dyDescent="0.25">
      <c r="A36" s="534"/>
      <c r="B36" s="17"/>
      <c r="C36" s="10"/>
      <c r="D36" s="50"/>
      <c r="E36" s="50"/>
      <c r="F36" s="50"/>
      <c r="G36" s="50"/>
      <c r="H36" s="505"/>
    </row>
    <row r="37" spans="1:9" ht="15.75" x14ac:dyDescent="0.25">
      <c r="A37" s="534"/>
      <c r="B37" s="54" t="s">
        <v>367</v>
      </c>
      <c r="C37" s="10"/>
      <c r="D37" s="55"/>
      <c r="E37" s="55"/>
      <c r="F37" s="55"/>
      <c r="G37" s="55"/>
      <c r="H37" s="505"/>
    </row>
    <row r="38" spans="1:9" x14ac:dyDescent="0.25">
      <c r="A38" s="534"/>
      <c r="B38" s="7" t="s">
        <v>368</v>
      </c>
      <c r="C38" s="10" t="s">
        <v>298</v>
      </c>
      <c r="D38" s="50"/>
      <c r="E38" s="50"/>
      <c r="F38" s="37">
        <v>25000</v>
      </c>
      <c r="G38" s="50"/>
      <c r="H38" s="505"/>
    </row>
    <row r="39" spans="1:9" x14ac:dyDescent="0.25">
      <c r="A39" s="534"/>
      <c r="B39" s="7" t="s">
        <v>781</v>
      </c>
      <c r="C39" s="10" t="s">
        <v>298</v>
      </c>
      <c r="D39" s="50"/>
      <c r="E39" s="50"/>
      <c r="F39" s="37">
        <v>250000</v>
      </c>
      <c r="G39" s="50"/>
      <c r="H39" s="505"/>
    </row>
    <row r="40" spans="1:9" x14ac:dyDescent="0.25">
      <c r="A40" s="534"/>
      <c r="B40" s="7"/>
      <c r="C40" s="10"/>
      <c r="D40" s="50"/>
      <c r="E40" s="50"/>
      <c r="F40" s="50"/>
      <c r="G40" s="50"/>
      <c r="H40" s="505"/>
    </row>
    <row r="41" spans="1:9" ht="1.5" hidden="1" customHeight="1" x14ac:dyDescent="0.25">
      <c r="A41" s="534"/>
      <c r="B41" s="7"/>
      <c r="C41" s="10"/>
      <c r="D41" s="50"/>
      <c r="E41" s="50"/>
      <c r="F41" s="50"/>
      <c r="G41" s="50"/>
      <c r="H41" s="505"/>
    </row>
    <row r="42" spans="1:9" x14ac:dyDescent="0.25">
      <c r="A42" s="534"/>
      <c r="B42" s="7"/>
      <c r="C42" s="10"/>
      <c r="D42" s="50"/>
      <c r="E42" s="50"/>
      <c r="F42" s="50"/>
      <c r="G42" s="56"/>
      <c r="H42" s="505"/>
    </row>
    <row r="43" spans="1:9" ht="15" hidden="1" customHeight="1" x14ac:dyDescent="0.25">
      <c r="A43" s="534"/>
      <c r="B43" s="7"/>
      <c r="C43" s="10"/>
      <c r="D43" s="50"/>
      <c r="E43" s="50"/>
      <c r="F43" s="53">
        <f>SUM(F38:F41)</f>
        <v>275000</v>
      </c>
      <c r="G43" s="53">
        <f>F43/2</f>
        <v>137500</v>
      </c>
      <c r="H43" s="506">
        <f>F43/2</f>
        <v>137500</v>
      </c>
    </row>
    <row r="44" spans="1:9" x14ac:dyDescent="0.25">
      <c r="A44" s="534"/>
      <c r="B44" s="60"/>
      <c r="C44" s="10"/>
      <c r="D44" s="50"/>
      <c r="E44" s="50"/>
      <c r="F44" s="61"/>
      <c r="G44" s="53"/>
      <c r="H44" s="506"/>
    </row>
    <row r="45" spans="1:9" ht="18" customHeight="1" x14ac:dyDescent="0.25">
      <c r="A45" s="534"/>
      <c r="B45" s="60" t="s">
        <v>782</v>
      </c>
      <c r="C45" s="20"/>
      <c r="D45" s="20"/>
      <c r="E45" s="20"/>
      <c r="F45" s="62">
        <f>F33+F35+F43</f>
        <v>1234768.6499999999</v>
      </c>
      <c r="G45" s="62">
        <f>F45/2</f>
        <v>617384.32499999995</v>
      </c>
      <c r="H45" s="537">
        <f>F45/2</f>
        <v>617384.32499999995</v>
      </c>
    </row>
    <row r="46" spans="1:9" ht="15" hidden="1" customHeight="1" x14ac:dyDescent="0.25">
      <c r="A46" s="534"/>
      <c r="B46" s="7"/>
      <c r="C46" s="10"/>
      <c r="D46" s="63"/>
      <c r="E46" s="63"/>
      <c r="F46" s="64"/>
      <c r="G46" s="50"/>
      <c r="H46" s="505"/>
    </row>
    <row r="47" spans="1:9" ht="29.25" x14ac:dyDescent="0.25">
      <c r="A47" s="534"/>
      <c r="B47" s="58" t="s">
        <v>334</v>
      </c>
      <c r="C47" s="10"/>
      <c r="D47" s="63"/>
      <c r="E47" s="63"/>
      <c r="F47" s="191">
        <v>50000</v>
      </c>
      <c r="G47" s="191">
        <f>F47/2</f>
        <v>25000</v>
      </c>
      <c r="H47" s="538">
        <f>F47/2</f>
        <v>25000</v>
      </c>
      <c r="I47" s="65"/>
    </row>
    <row r="48" spans="1:9" ht="15.75" thickBot="1" x14ac:dyDescent="0.3">
      <c r="A48" s="477"/>
      <c r="B48" s="539"/>
      <c r="C48" s="540"/>
      <c r="D48" s="541"/>
      <c r="E48" s="541"/>
      <c r="F48" s="541"/>
      <c r="G48" s="541"/>
      <c r="H48" s="542"/>
    </row>
    <row r="49" spans="1:8" ht="16.5" thickBot="1" x14ac:dyDescent="0.3">
      <c r="A49" s="543"/>
      <c r="B49" s="544" t="s">
        <v>262</v>
      </c>
      <c r="C49" s="545"/>
      <c r="D49" s="546"/>
      <c r="E49" s="546"/>
      <c r="F49" s="547">
        <f>G49+H49</f>
        <v>1284768.6499999999</v>
      </c>
      <c r="G49" s="548">
        <f>G45+G47</f>
        <v>642384.32499999995</v>
      </c>
      <c r="H49" s="549">
        <f>H47+H45</f>
        <v>642384.32499999995</v>
      </c>
    </row>
    <row r="51" spans="1:8" x14ac:dyDescent="0.25">
      <c r="B51" s="24" t="s">
        <v>704</v>
      </c>
      <c r="D51" t="s">
        <v>705</v>
      </c>
    </row>
    <row r="53" spans="1:8" x14ac:dyDescent="0.25">
      <c r="B53" s="24" t="s">
        <v>706</v>
      </c>
      <c r="D53" t="s">
        <v>707</v>
      </c>
    </row>
  </sheetData>
  <mergeCells count="1">
    <mergeCell ref="B2:H2"/>
  </mergeCells>
  <pageMargins left="0.7" right="0.7" top="0.75" bottom="0.75" header="0.3" footer="0.3"/>
  <pageSetup paperSize="9" scale="8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5"/>
  <sheetViews>
    <sheetView topLeftCell="A61" workbookViewId="0">
      <selection activeCell="A89" sqref="A89"/>
    </sheetView>
  </sheetViews>
  <sheetFormatPr defaultRowHeight="15" x14ac:dyDescent="0.25"/>
  <cols>
    <col min="1" max="1" width="107.140625" customWidth="1"/>
    <col min="2" max="2" width="27.5703125" customWidth="1"/>
  </cols>
  <sheetData>
    <row r="1" spans="1:2" ht="18.75" x14ac:dyDescent="0.3">
      <c r="A1" s="418"/>
      <c r="B1" s="557" t="s">
        <v>785</v>
      </c>
    </row>
    <row r="2" spans="1:2" ht="19.5" x14ac:dyDescent="0.35">
      <c r="A2" s="407" t="s">
        <v>46</v>
      </c>
      <c r="B2" s="418"/>
    </row>
    <row r="3" spans="1:2" ht="19.5" thickBot="1" x14ac:dyDescent="0.35">
      <c r="A3" s="418"/>
      <c r="B3" s="418"/>
    </row>
    <row r="4" spans="1:2" ht="20.25" customHeight="1" x14ac:dyDescent="0.25">
      <c r="A4" s="423" t="s">
        <v>376</v>
      </c>
      <c r="B4" s="723">
        <v>1000000</v>
      </c>
    </row>
    <row r="5" spans="1:2" ht="18" customHeight="1" x14ac:dyDescent="0.25">
      <c r="A5" s="408" t="s">
        <v>393</v>
      </c>
      <c r="B5" s="724"/>
    </row>
    <row r="6" spans="1:2" ht="18" customHeight="1" x14ac:dyDescent="0.25">
      <c r="A6" s="408" t="s">
        <v>394</v>
      </c>
      <c r="B6" s="724"/>
    </row>
    <row r="7" spans="1:2" ht="18" customHeight="1" x14ac:dyDescent="0.25">
      <c r="A7" s="408" t="s">
        <v>395</v>
      </c>
      <c r="B7" s="724"/>
    </row>
    <row r="8" spans="1:2" ht="18" customHeight="1" x14ac:dyDescent="0.25">
      <c r="A8" s="408" t="s">
        <v>396</v>
      </c>
      <c r="B8" s="724"/>
    </row>
    <row r="9" spans="1:2" ht="18" customHeight="1" x14ac:dyDescent="0.25">
      <c r="A9" s="408" t="s">
        <v>397</v>
      </c>
      <c r="B9" s="724"/>
    </row>
    <row r="10" spans="1:2" ht="18" customHeight="1" x14ac:dyDescent="0.25">
      <c r="A10" s="408" t="s">
        <v>398</v>
      </c>
      <c r="B10" s="724"/>
    </row>
    <row r="11" spans="1:2" ht="18" customHeight="1" x14ac:dyDescent="0.25">
      <c r="A11" s="408" t="s">
        <v>399</v>
      </c>
      <c r="B11" s="724"/>
    </row>
    <row r="12" spans="1:2" ht="18" customHeight="1" x14ac:dyDescent="0.25">
      <c r="A12" s="408" t="s">
        <v>400</v>
      </c>
      <c r="B12" s="724"/>
    </row>
    <row r="13" spans="1:2" ht="18" customHeight="1" x14ac:dyDescent="0.25">
      <c r="A13" s="408" t="s">
        <v>401</v>
      </c>
      <c r="B13" s="724"/>
    </row>
    <row r="14" spans="1:2" ht="18" customHeight="1" x14ac:dyDescent="0.25">
      <c r="A14" s="408" t="s">
        <v>402</v>
      </c>
      <c r="B14" s="724"/>
    </row>
    <row r="15" spans="1:2" ht="18" customHeight="1" x14ac:dyDescent="0.25">
      <c r="A15" s="408" t="s">
        <v>403</v>
      </c>
      <c r="B15" s="724"/>
    </row>
    <row r="16" spans="1:2" ht="18" customHeight="1" x14ac:dyDescent="0.25">
      <c r="A16" s="408" t="s">
        <v>404</v>
      </c>
      <c r="B16" s="724"/>
    </row>
    <row r="17" spans="1:2" ht="18" customHeight="1" x14ac:dyDescent="0.25">
      <c r="A17" s="408" t="s">
        <v>383</v>
      </c>
      <c r="B17" s="724"/>
    </row>
    <row r="18" spans="1:2" ht="18" customHeight="1" x14ac:dyDescent="0.25">
      <c r="A18" s="408" t="s">
        <v>384</v>
      </c>
      <c r="B18" s="724"/>
    </row>
    <row r="19" spans="1:2" ht="18" customHeight="1" x14ac:dyDescent="0.25">
      <c r="A19" s="408" t="s">
        <v>385</v>
      </c>
      <c r="B19" s="724"/>
    </row>
    <row r="20" spans="1:2" ht="18" customHeight="1" x14ac:dyDescent="0.25">
      <c r="A20" s="408" t="s">
        <v>386</v>
      </c>
      <c r="B20" s="724"/>
    </row>
    <row r="21" spans="1:2" ht="18" customHeight="1" x14ac:dyDescent="0.25">
      <c r="A21" s="408" t="s">
        <v>387</v>
      </c>
      <c r="B21" s="724"/>
    </row>
    <row r="22" spans="1:2" ht="18" customHeight="1" x14ac:dyDescent="0.25">
      <c r="A22" s="408" t="s">
        <v>388</v>
      </c>
      <c r="B22" s="724"/>
    </row>
    <row r="23" spans="1:2" ht="18" customHeight="1" x14ac:dyDescent="0.25">
      <c r="A23" s="408" t="s">
        <v>389</v>
      </c>
      <c r="B23" s="724"/>
    </row>
    <row r="24" spans="1:2" ht="18" customHeight="1" x14ac:dyDescent="0.25">
      <c r="A24" s="408" t="s">
        <v>390</v>
      </c>
      <c r="B24" s="724"/>
    </row>
    <row r="25" spans="1:2" ht="17.25" customHeight="1" thickBot="1" x14ac:dyDescent="0.3">
      <c r="A25" s="408" t="s">
        <v>391</v>
      </c>
      <c r="B25" s="724"/>
    </row>
    <row r="26" spans="1:2" ht="15" customHeight="1" x14ac:dyDescent="0.25">
      <c r="A26" s="725" t="s">
        <v>377</v>
      </c>
      <c r="B26" s="727">
        <v>300000</v>
      </c>
    </row>
    <row r="27" spans="1:2" ht="18.75" hidden="1" customHeight="1" x14ac:dyDescent="0.25">
      <c r="A27" s="726"/>
      <c r="B27" s="728"/>
    </row>
    <row r="28" spans="1:2" ht="18" customHeight="1" thickBot="1" x14ac:dyDescent="0.3">
      <c r="A28" s="726"/>
      <c r="B28" s="729"/>
    </row>
    <row r="29" spans="1:2" ht="18" customHeight="1" x14ac:dyDescent="0.25">
      <c r="A29" s="730" t="s">
        <v>378</v>
      </c>
      <c r="B29" s="727">
        <v>100000</v>
      </c>
    </row>
    <row r="30" spans="1:2" ht="18" customHeight="1" thickBot="1" x14ac:dyDescent="0.3">
      <c r="A30" s="731"/>
      <c r="B30" s="728"/>
    </row>
    <row r="31" spans="1:2" ht="18" customHeight="1" x14ac:dyDescent="0.25">
      <c r="A31" s="428" t="s">
        <v>736</v>
      </c>
      <c r="B31" s="728"/>
    </row>
    <row r="32" spans="1:2" ht="18" customHeight="1" x14ac:dyDescent="0.25">
      <c r="A32" s="428" t="s">
        <v>738</v>
      </c>
      <c r="B32" s="728"/>
    </row>
    <row r="33" spans="1:2" ht="18.75" x14ac:dyDescent="0.25">
      <c r="A33" s="428" t="s">
        <v>739</v>
      </c>
      <c r="B33" s="728"/>
    </row>
    <row r="34" spans="1:2" ht="15" customHeight="1" x14ac:dyDescent="0.25">
      <c r="A34" s="428" t="s">
        <v>740</v>
      </c>
      <c r="B34" s="728"/>
    </row>
    <row r="35" spans="1:2" ht="23.25" customHeight="1" x14ac:dyDescent="0.25">
      <c r="A35" s="428" t="s">
        <v>741</v>
      </c>
      <c r="B35" s="728"/>
    </row>
    <row r="36" spans="1:2" ht="18.75" customHeight="1" x14ac:dyDescent="0.25">
      <c r="A36" s="428" t="s">
        <v>742</v>
      </c>
      <c r="B36" s="728"/>
    </row>
    <row r="37" spans="1:2" ht="18.75" customHeight="1" x14ac:dyDescent="0.25">
      <c r="A37" s="428" t="s">
        <v>737</v>
      </c>
      <c r="B37" s="728"/>
    </row>
    <row r="38" spans="1:2" ht="18.75" x14ac:dyDescent="0.25">
      <c r="A38" s="428" t="s">
        <v>743</v>
      </c>
      <c r="B38" s="728"/>
    </row>
    <row r="39" spans="1:2" ht="18.75" x14ac:dyDescent="0.25">
      <c r="A39" s="428" t="s">
        <v>744</v>
      </c>
      <c r="B39" s="728"/>
    </row>
    <row r="40" spans="1:2" ht="18.75" x14ac:dyDescent="0.25">
      <c r="A40" s="428" t="s">
        <v>745</v>
      </c>
      <c r="B40" s="728"/>
    </row>
    <row r="41" spans="1:2" ht="18.75" x14ac:dyDescent="0.25">
      <c r="A41" s="428" t="s">
        <v>746</v>
      </c>
      <c r="B41" s="728"/>
    </row>
    <row r="42" spans="1:2" ht="18.75" x14ac:dyDescent="0.25">
      <c r="A42" s="428" t="s">
        <v>747</v>
      </c>
      <c r="B42" s="728"/>
    </row>
    <row r="43" spans="1:2" ht="18.75" x14ac:dyDescent="0.25">
      <c r="A43" s="428" t="s">
        <v>748</v>
      </c>
      <c r="B43" s="728"/>
    </row>
    <row r="44" spans="1:2" ht="18.75" x14ac:dyDescent="0.25">
      <c r="A44" s="428" t="s">
        <v>749</v>
      </c>
      <c r="B44" s="728"/>
    </row>
    <row r="45" spans="1:2" ht="18.75" x14ac:dyDescent="0.25">
      <c r="A45" s="428" t="s">
        <v>750</v>
      </c>
      <c r="B45" s="728"/>
    </row>
    <row r="46" spans="1:2" ht="18.75" x14ac:dyDescent="0.25">
      <c r="A46" s="428" t="s">
        <v>751</v>
      </c>
      <c r="B46" s="728"/>
    </row>
    <row r="47" spans="1:2" ht="18.75" x14ac:dyDescent="0.25">
      <c r="A47" s="428" t="s">
        <v>752</v>
      </c>
      <c r="B47" s="728"/>
    </row>
    <row r="48" spans="1:2" ht="18.75" x14ac:dyDescent="0.25">
      <c r="A48" s="428" t="s">
        <v>753</v>
      </c>
      <c r="B48" s="728"/>
    </row>
    <row r="49" spans="1:2" ht="18.75" x14ac:dyDescent="0.25">
      <c r="A49" s="428" t="s">
        <v>754</v>
      </c>
      <c r="B49" s="728"/>
    </row>
    <row r="50" spans="1:2" ht="1.5" customHeight="1" x14ac:dyDescent="0.25">
      <c r="A50" s="429"/>
      <c r="B50" s="728"/>
    </row>
    <row r="51" spans="1:2" ht="18.75" x14ac:dyDescent="0.25">
      <c r="A51" s="428" t="s">
        <v>755</v>
      </c>
      <c r="B51" s="728"/>
    </row>
    <row r="52" spans="1:2" ht="18.75" x14ac:dyDescent="0.25">
      <c r="A52" s="428" t="s">
        <v>756</v>
      </c>
      <c r="B52" s="728"/>
    </row>
    <row r="53" spans="1:2" ht="19.5" thickBot="1" x14ac:dyDescent="0.3">
      <c r="A53" s="428" t="s">
        <v>757</v>
      </c>
      <c r="B53" s="729"/>
    </row>
    <row r="54" spans="1:2" ht="19.5" thickBot="1" x14ac:dyDescent="0.3">
      <c r="A54" s="430" t="s">
        <v>379</v>
      </c>
      <c r="B54" s="419"/>
    </row>
    <row r="55" spans="1:2" ht="37.5" x14ac:dyDescent="0.25">
      <c r="A55" s="431" t="s">
        <v>758</v>
      </c>
      <c r="B55" s="419"/>
    </row>
    <row r="56" spans="1:2" ht="18.75" x14ac:dyDescent="0.25">
      <c r="A56" s="432"/>
      <c r="B56" s="419"/>
    </row>
    <row r="57" spans="1:2" ht="37.5" x14ac:dyDescent="0.25">
      <c r="A57" s="432" t="s">
        <v>759</v>
      </c>
      <c r="B57" s="419"/>
    </row>
    <row r="58" spans="1:2" ht="16.5" customHeight="1" x14ac:dyDescent="0.25">
      <c r="A58" s="432"/>
      <c r="B58" s="419"/>
    </row>
    <row r="59" spans="1:2" ht="6" hidden="1" customHeight="1" x14ac:dyDescent="0.25">
      <c r="A59" s="432"/>
      <c r="B59" s="419"/>
    </row>
    <row r="60" spans="1:2" ht="37.5" x14ac:dyDescent="0.25">
      <c r="A60" s="432" t="s">
        <v>760</v>
      </c>
      <c r="B60" s="419">
        <v>844000</v>
      </c>
    </row>
    <row r="61" spans="1:2" ht="18.75" x14ac:dyDescent="0.25">
      <c r="A61" s="432"/>
      <c r="B61" s="419"/>
    </row>
    <row r="62" spans="1:2" ht="38.25" thickBot="1" x14ac:dyDescent="0.3">
      <c r="A62" s="433" t="s">
        <v>761</v>
      </c>
      <c r="B62" s="420"/>
    </row>
    <row r="63" spans="1:2" ht="14.25" hidden="1" customHeight="1" x14ac:dyDescent="0.25">
      <c r="A63" s="409"/>
      <c r="B63" s="420"/>
    </row>
    <row r="64" spans="1:2" ht="18.75" hidden="1" x14ac:dyDescent="0.25">
      <c r="A64" s="409"/>
      <c r="B64" s="420"/>
    </row>
    <row r="65" spans="1:2" ht="8.25" hidden="1" customHeight="1" x14ac:dyDescent="0.25">
      <c r="A65" s="409"/>
      <c r="B65" s="420"/>
    </row>
    <row r="66" spans="1:2" ht="22.5" hidden="1" customHeight="1" x14ac:dyDescent="0.25">
      <c r="A66" s="409"/>
      <c r="B66" s="420"/>
    </row>
    <row r="67" spans="1:2" ht="22.5" hidden="1" customHeight="1" x14ac:dyDescent="0.25">
      <c r="A67" s="409"/>
      <c r="B67" s="420"/>
    </row>
    <row r="68" spans="1:2" ht="18.75" hidden="1" x14ac:dyDescent="0.25">
      <c r="A68" s="409"/>
      <c r="B68" s="420"/>
    </row>
    <row r="69" spans="1:2" ht="4.5" hidden="1" customHeight="1" x14ac:dyDescent="0.25">
      <c r="A69" s="409"/>
      <c r="B69" s="420"/>
    </row>
    <row r="70" spans="1:2" ht="42" hidden="1" customHeight="1" x14ac:dyDescent="0.25">
      <c r="A70" s="409"/>
      <c r="B70" s="420"/>
    </row>
    <row r="71" spans="1:2" ht="18" hidden="1" customHeight="1" x14ac:dyDescent="0.25">
      <c r="A71" s="409"/>
      <c r="B71" s="420"/>
    </row>
    <row r="72" spans="1:2" ht="18" hidden="1" customHeight="1" x14ac:dyDescent="0.25">
      <c r="A72" s="409"/>
      <c r="B72" s="420"/>
    </row>
    <row r="73" spans="1:2" ht="18" hidden="1" customHeight="1" x14ac:dyDescent="0.25">
      <c r="A73" s="410" t="s">
        <v>392</v>
      </c>
      <c r="B73" s="420"/>
    </row>
    <row r="74" spans="1:2" ht="18" hidden="1" customHeight="1" x14ac:dyDescent="0.25">
      <c r="A74" s="411" t="s">
        <v>380</v>
      </c>
      <c r="B74" s="727">
        <v>400000</v>
      </c>
    </row>
    <row r="75" spans="1:2" ht="18" hidden="1" customHeight="1" x14ac:dyDescent="0.25">
      <c r="A75" s="412" t="s">
        <v>729</v>
      </c>
      <c r="B75" s="728"/>
    </row>
    <row r="76" spans="1:2" ht="18" hidden="1" customHeight="1" x14ac:dyDescent="0.25">
      <c r="A76" s="412" t="s">
        <v>730</v>
      </c>
      <c r="B76" s="728"/>
    </row>
    <row r="77" spans="1:2" ht="18" hidden="1" customHeight="1" x14ac:dyDescent="0.25">
      <c r="A77" s="412" t="s">
        <v>731</v>
      </c>
      <c r="B77" s="728"/>
    </row>
    <row r="78" spans="1:2" ht="18" hidden="1" customHeight="1" x14ac:dyDescent="0.25">
      <c r="A78" s="412" t="s">
        <v>732</v>
      </c>
      <c r="B78" s="728"/>
    </row>
    <row r="79" spans="1:2" ht="18" hidden="1" customHeight="1" x14ac:dyDescent="0.25">
      <c r="A79" s="412" t="s">
        <v>733</v>
      </c>
      <c r="B79" s="728"/>
    </row>
    <row r="80" spans="1:2" ht="18" hidden="1" customHeight="1" x14ac:dyDescent="0.25">
      <c r="A80" s="412" t="s">
        <v>734</v>
      </c>
      <c r="B80" s="728"/>
    </row>
    <row r="81" spans="1:2" ht="18" hidden="1" customHeight="1" x14ac:dyDescent="0.25">
      <c r="A81" s="413" t="s">
        <v>439</v>
      </c>
      <c r="B81" s="728"/>
    </row>
    <row r="82" spans="1:2" ht="19.5" thickBot="1" x14ac:dyDescent="0.3">
      <c r="A82" s="430" t="s">
        <v>735</v>
      </c>
      <c r="B82" s="421">
        <v>12000</v>
      </c>
    </row>
    <row r="83" spans="1:2" ht="21.75" customHeight="1" thickBot="1" x14ac:dyDescent="0.3">
      <c r="A83" s="414" t="s">
        <v>594</v>
      </c>
      <c r="B83" s="422">
        <v>59920.67</v>
      </c>
    </row>
    <row r="84" spans="1:2" ht="18" customHeight="1" thickBot="1" x14ac:dyDescent="0.35">
      <c r="A84" s="415"/>
      <c r="B84" s="424">
        <f>SUM(B4:B83)</f>
        <v>2715920.67</v>
      </c>
    </row>
    <row r="85" spans="1:2" ht="18" customHeight="1" x14ac:dyDescent="0.3">
      <c r="A85" s="416" t="s">
        <v>762</v>
      </c>
      <c r="B85" s="434"/>
    </row>
    <row r="86" spans="1:2" ht="18" customHeight="1" x14ac:dyDescent="0.3">
      <c r="A86" s="416" t="s">
        <v>796</v>
      </c>
      <c r="B86" s="435"/>
    </row>
    <row r="87" spans="1:2" ht="18" customHeight="1" x14ac:dyDescent="0.3">
      <c r="A87" s="416" t="s">
        <v>763</v>
      </c>
      <c r="B87" s="435"/>
    </row>
    <row r="88" spans="1:2" ht="18" customHeight="1" thickBot="1" x14ac:dyDescent="0.35">
      <c r="A88" s="417" t="s">
        <v>797</v>
      </c>
      <c r="B88" s="436"/>
    </row>
    <row r="89" spans="1:2" ht="18" customHeight="1" x14ac:dyDescent="0.3">
      <c r="A89" s="416"/>
      <c r="B89" s="427"/>
    </row>
    <row r="90" spans="1:2" ht="18" customHeight="1" x14ac:dyDescent="0.3">
      <c r="A90" s="425" t="s">
        <v>704</v>
      </c>
      <c r="B90" s="426" t="s">
        <v>705</v>
      </c>
    </row>
    <row r="91" spans="1:2" ht="18" customHeight="1" x14ac:dyDescent="0.3">
      <c r="A91" s="427"/>
      <c r="B91" s="426"/>
    </row>
    <row r="92" spans="1:2" ht="18" customHeight="1" x14ac:dyDescent="0.3">
      <c r="A92" s="427" t="s">
        <v>706</v>
      </c>
      <c r="B92" s="426" t="s">
        <v>707</v>
      </c>
    </row>
    <row r="93" spans="1:2" ht="18.75" x14ac:dyDescent="0.3">
      <c r="A93" s="418"/>
      <c r="B93" s="418"/>
    </row>
    <row r="94" spans="1:2" ht="18.75" x14ac:dyDescent="0.3">
      <c r="A94" s="418"/>
      <c r="B94" s="418"/>
    </row>
    <row r="95" spans="1:2" ht="18.75" x14ac:dyDescent="0.3">
      <c r="A95" s="418"/>
      <c r="B95" s="418"/>
    </row>
  </sheetData>
  <mergeCells count="6">
    <mergeCell ref="B4:B25"/>
    <mergeCell ref="A26:A28"/>
    <mergeCell ref="B26:B28"/>
    <mergeCell ref="A29:A30"/>
    <mergeCell ref="B74:B81"/>
    <mergeCell ref="B29:B53"/>
  </mergeCells>
  <pageMargins left="0.7" right="0.7" top="0.75" bottom="0.75" header="0.3" footer="0.3"/>
  <pageSetup paperSize="9" scale="95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topLeftCell="A28" workbookViewId="0">
      <selection activeCell="G1" sqref="G1"/>
    </sheetView>
  </sheetViews>
  <sheetFormatPr defaultRowHeight="15" x14ac:dyDescent="0.25"/>
  <cols>
    <col min="2" max="2" width="55.5703125" customWidth="1"/>
    <col min="3" max="3" width="28.42578125" customWidth="1"/>
    <col min="4" max="4" width="24.85546875" customWidth="1"/>
    <col min="5" max="5" width="21.28515625" customWidth="1"/>
    <col min="6" max="6" width="24.140625" customWidth="1"/>
    <col min="7" max="7" width="22.7109375" customWidth="1"/>
  </cols>
  <sheetData>
    <row r="1" spans="1:7" x14ac:dyDescent="0.25">
      <c r="G1" s="557" t="s">
        <v>787</v>
      </c>
    </row>
    <row r="2" spans="1:7" ht="15" customHeight="1" x14ac:dyDescent="0.25">
      <c r="A2" s="732" t="s">
        <v>786</v>
      </c>
      <c r="B2" s="732"/>
      <c r="C2" s="732"/>
      <c r="D2" s="732"/>
      <c r="E2" s="732"/>
      <c r="F2" s="732"/>
      <c r="G2" s="732"/>
    </row>
    <row r="3" spans="1:7" ht="15.75" customHeight="1" thickBot="1" x14ac:dyDescent="0.3">
      <c r="A3" s="733"/>
      <c r="B3" s="733"/>
      <c r="C3" s="733"/>
      <c r="D3" s="733"/>
      <c r="E3" s="733"/>
      <c r="F3" s="733"/>
      <c r="G3" s="733"/>
    </row>
    <row r="4" spans="1:7" ht="19.5" customHeight="1" x14ac:dyDescent="0.25">
      <c r="A4" s="736" t="s">
        <v>442</v>
      </c>
      <c r="B4" s="736" t="s">
        <v>443</v>
      </c>
      <c r="C4" s="736" t="s">
        <v>444</v>
      </c>
      <c r="D4" s="734" t="s">
        <v>445</v>
      </c>
      <c r="E4" s="736" t="s">
        <v>446</v>
      </c>
      <c r="F4" s="185" t="s">
        <v>447</v>
      </c>
      <c r="G4" s="736" t="s">
        <v>449</v>
      </c>
    </row>
    <row r="5" spans="1:7" ht="20.25" thickBot="1" x14ac:dyDescent="0.3">
      <c r="A5" s="737"/>
      <c r="B5" s="737"/>
      <c r="C5" s="737"/>
      <c r="D5" s="735"/>
      <c r="E5" s="737"/>
      <c r="F5" s="186" t="s">
        <v>448</v>
      </c>
      <c r="G5" s="737"/>
    </row>
    <row r="6" spans="1:7" ht="39.75" thickBot="1" x14ac:dyDescent="0.3">
      <c r="A6" s="323" t="s">
        <v>450</v>
      </c>
      <c r="B6" s="186" t="s">
        <v>451</v>
      </c>
      <c r="C6" s="186" t="s">
        <v>452</v>
      </c>
      <c r="D6" s="186" t="s">
        <v>453</v>
      </c>
      <c r="E6" s="186" t="s">
        <v>454</v>
      </c>
      <c r="F6" s="187">
        <v>64</v>
      </c>
      <c r="G6" s="187">
        <v>1856</v>
      </c>
    </row>
    <row r="7" spans="1:7" ht="15" customHeight="1" x14ac:dyDescent="0.25">
      <c r="A7" s="734" t="s">
        <v>455</v>
      </c>
      <c r="B7" s="736" t="s">
        <v>456</v>
      </c>
      <c r="C7" s="736" t="s">
        <v>457</v>
      </c>
      <c r="D7" s="738" t="s">
        <v>458</v>
      </c>
      <c r="E7" s="734" t="s">
        <v>459</v>
      </c>
      <c r="F7" s="734">
        <v>16</v>
      </c>
      <c r="G7" s="734">
        <v>595.04</v>
      </c>
    </row>
    <row r="8" spans="1:7" ht="15.75" customHeight="1" thickBot="1" x14ac:dyDescent="0.3">
      <c r="A8" s="735"/>
      <c r="B8" s="737"/>
      <c r="C8" s="737"/>
      <c r="D8" s="739"/>
      <c r="E8" s="735"/>
      <c r="F8" s="735"/>
      <c r="G8" s="735"/>
    </row>
    <row r="9" spans="1:7" ht="20.25" thickBot="1" x14ac:dyDescent="0.3">
      <c r="A9" s="323" t="s">
        <v>460</v>
      </c>
      <c r="B9" s="186" t="s">
        <v>461</v>
      </c>
      <c r="C9" s="186" t="s">
        <v>457</v>
      </c>
      <c r="D9" s="186" t="s">
        <v>462</v>
      </c>
      <c r="E9" s="186" t="s">
        <v>463</v>
      </c>
      <c r="F9" s="187">
        <v>185</v>
      </c>
      <c r="G9" s="187">
        <v>623.45000000000005</v>
      </c>
    </row>
    <row r="10" spans="1:7" ht="39.75" thickBot="1" x14ac:dyDescent="0.3">
      <c r="A10" s="323" t="s">
        <v>464</v>
      </c>
      <c r="B10" s="186" t="s">
        <v>465</v>
      </c>
      <c r="C10" s="186" t="s">
        <v>452</v>
      </c>
      <c r="D10" s="186" t="s">
        <v>466</v>
      </c>
      <c r="E10" s="186" t="s">
        <v>467</v>
      </c>
      <c r="F10" s="187">
        <v>60</v>
      </c>
      <c r="G10" s="187">
        <v>1782.6</v>
      </c>
    </row>
    <row r="11" spans="1:7" ht="20.25" thickBot="1" x14ac:dyDescent="0.3">
      <c r="A11" s="323" t="s">
        <v>468</v>
      </c>
      <c r="B11" s="186" t="s">
        <v>469</v>
      </c>
      <c r="C11" s="186" t="s">
        <v>452</v>
      </c>
      <c r="D11" s="186" t="s">
        <v>470</v>
      </c>
      <c r="E11" s="186" t="s">
        <v>471</v>
      </c>
      <c r="F11" s="187">
        <v>16</v>
      </c>
      <c r="G11" s="187">
        <v>831.52</v>
      </c>
    </row>
    <row r="12" spans="1:7" ht="20.25" thickBot="1" x14ac:dyDescent="0.3">
      <c r="A12" s="323" t="s">
        <v>472</v>
      </c>
      <c r="B12" s="186" t="s">
        <v>473</v>
      </c>
      <c r="C12" s="186" t="s">
        <v>452</v>
      </c>
      <c r="D12" s="186" t="s">
        <v>474</v>
      </c>
      <c r="E12" s="186" t="s">
        <v>475</v>
      </c>
      <c r="F12" s="187">
        <v>15</v>
      </c>
      <c r="G12" s="187">
        <v>253.65</v>
      </c>
    </row>
    <row r="13" spans="1:7" ht="78.75" thickBot="1" x14ac:dyDescent="0.3">
      <c r="A13" s="323" t="s">
        <v>476</v>
      </c>
      <c r="B13" s="186" t="s">
        <v>477</v>
      </c>
      <c r="C13" s="186" t="s">
        <v>452</v>
      </c>
      <c r="D13" s="186" t="s">
        <v>478</v>
      </c>
      <c r="E13" s="186" t="s">
        <v>479</v>
      </c>
      <c r="F13" s="187">
        <v>28</v>
      </c>
      <c r="G13" s="187">
        <v>393.12</v>
      </c>
    </row>
    <row r="14" spans="1:7" ht="20.25" thickBot="1" x14ac:dyDescent="0.3">
      <c r="A14" s="323" t="s">
        <v>480</v>
      </c>
      <c r="B14" s="186" t="s">
        <v>481</v>
      </c>
      <c r="C14" s="186" t="s">
        <v>452</v>
      </c>
      <c r="D14" s="186" t="s">
        <v>482</v>
      </c>
      <c r="E14" s="186" t="s">
        <v>483</v>
      </c>
      <c r="F14" s="187">
        <v>250</v>
      </c>
      <c r="G14" s="187">
        <v>677.5</v>
      </c>
    </row>
    <row r="15" spans="1:7" ht="39.75" thickBot="1" x14ac:dyDescent="0.3">
      <c r="A15" s="323" t="s">
        <v>484</v>
      </c>
      <c r="B15" s="186" t="s">
        <v>485</v>
      </c>
      <c r="C15" s="186" t="s">
        <v>452</v>
      </c>
      <c r="D15" s="186" t="s">
        <v>486</v>
      </c>
      <c r="E15" s="186" t="s">
        <v>487</v>
      </c>
      <c r="F15" s="187">
        <v>27</v>
      </c>
      <c r="G15" s="187">
        <v>7357.23</v>
      </c>
    </row>
    <row r="16" spans="1:7" ht="39.75" thickBot="1" x14ac:dyDescent="0.3">
      <c r="A16" s="323" t="s">
        <v>488</v>
      </c>
      <c r="B16" s="186" t="s">
        <v>489</v>
      </c>
      <c r="C16" s="186" t="s">
        <v>452</v>
      </c>
      <c r="D16" s="186" t="s">
        <v>490</v>
      </c>
      <c r="E16" s="186" t="s">
        <v>491</v>
      </c>
      <c r="F16" s="187">
        <v>94</v>
      </c>
      <c r="G16" s="187">
        <v>1117.6600000000001</v>
      </c>
    </row>
    <row r="17" spans="1:7" ht="39.75" thickBot="1" x14ac:dyDescent="0.3">
      <c r="A17" s="323" t="s">
        <v>492</v>
      </c>
      <c r="B17" s="186" t="s">
        <v>493</v>
      </c>
      <c r="C17" s="186" t="s">
        <v>452</v>
      </c>
      <c r="D17" s="186" t="s">
        <v>494</v>
      </c>
      <c r="E17" s="186" t="s">
        <v>495</v>
      </c>
      <c r="F17" s="187">
        <v>52</v>
      </c>
      <c r="G17" s="187">
        <v>518.96</v>
      </c>
    </row>
    <row r="18" spans="1:7" ht="39.75" thickBot="1" x14ac:dyDescent="0.3">
      <c r="A18" s="323" t="s">
        <v>496</v>
      </c>
      <c r="B18" s="186" t="s">
        <v>497</v>
      </c>
      <c r="C18" s="186" t="s">
        <v>452</v>
      </c>
      <c r="D18" s="186" t="s">
        <v>498</v>
      </c>
      <c r="E18" s="186" t="s">
        <v>499</v>
      </c>
      <c r="F18" s="187">
        <v>25</v>
      </c>
      <c r="G18" s="187">
        <v>692.5</v>
      </c>
    </row>
    <row r="19" spans="1:7" ht="39.75" thickBot="1" x14ac:dyDescent="0.3">
      <c r="A19" s="323" t="s">
        <v>500</v>
      </c>
      <c r="B19" s="186" t="s">
        <v>501</v>
      </c>
      <c r="C19" s="186" t="s">
        <v>457</v>
      </c>
      <c r="D19" s="187" t="s">
        <v>502</v>
      </c>
      <c r="E19" s="186" t="s">
        <v>503</v>
      </c>
      <c r="F19" s="187">
        <v>135</v>
      </c>
      <c r="G19" s="187">
        <v>2592</v>
      </c>
    </row>
    <row r="20" spans="1:7" ht="39.75" thickBot="1" x14ac:dyDescent="0.3">
      <c r="A20" s="323" t="s">
        <v>504</v>
      </c>
      <c r="B20" s="186" t="s">
        <v>505</v>
      </c>
      <c r="C20" s="186" t="s">
        <v>457</v>
      </c>
      <c r="D20" s="186" t="s">
        <v>502</v>
      </c>
      <c r="E20" s="186" t="s">
        <v>503</v>
      </c>
      <c r="F20" s="187">
        <v>125</v>
      </c>
      <c r="G20" s="187">
        <v>1187.5</v>
      </c>
    </row>
    <row r="21" spans="1:7" ht="39.75" thickBot="1" x14ac:dyDescent="0.3">
      <c r="A21" s="323" t="s">
        <v>506</v>
      </c>
      <c r="B21" s="186" t="s">
        <v>507</v>
      </c>
      <c r="C21" s="186" t="s">
        <v>452</v>
      </c>
      <c r="D21" s="186" t="s">
        <v>508</v>
      </c>
      <c r="E21" s="186" t="s">
        <v>509</v>
      </c>
      <c r="F21" s="187">
        <v>57</v>
      </c>
      <c r="G21" s="187">
        <v>2109</v>
      </c>
    </row>
    <row r="22" spans="1:7" ht="39.75" thickBot="1" x14ac:dyDescent="0.3">
      <c r="A22" s="323" t="s">
        <v>510</v>
      </c>
      <c r="B22" s="186" t="s">
        <v>511</v>
      </c>
      <c r="C22" s="186" t="s">
        <v>452</v>
      </c>
      <c r="D22" s="186" t="s">
        <v>512</v>
      </c>
      <c r="E22" s="186" t="s">
        <v>513</v>
      </c>
      <c r="F22" s="187">
        <v>100</v>
      </c>
      <c r="G22" s="187">
        <v>1310</v>
      </c>
    </row>
    <row r="23" spans="1:7" ht="39.75" thickBot="1" x14ac:dyDescent="0.3">
      <c r="A23" s="323" t="s">
        <v>514</v>
      </c>
      <c r="B23" s="186" t="s">
        <v>515</v>
      </c>
      <c r="C23" s="186" t="s">
        <v>452</v>
      </c>
      <c r="D23" s="186" t="s">
        <v>516</v>
      </c>
      <c r="E23" s="186" t="s">
        <v>517</v>
      </c>
      <c r="F23" s="187">
        <v>220</v>
      </c>
      <c r="G23" s="187">
        <v>4162.3999999999996</v>
      </c>
    </row>
    <row r="24" spans="1:7" ht="39.75" thickBot="1" x14ac:dyDescent="0.3">
      <c r="A24" s="323" t="s">
        <v>518</v>
      </c>
      <c r="B24" s="186" t="s">
        <v>519</v>
      </c>
      <c r="C24" s="186" t="s">
        <v>452</v>
      </c>
      <c r="D24" s="186" t="s">
        <v>520</v>
      </c>
      <c r="E24" s="186" t="s">
        <v>521</v>
      </c>
      <c r="F24" s="187">
        <v>20</v>
      </c>
      <c r="G24" s="187">
        <v>588</v>
      </c>
    </row>
    <row r="25" spans="1:7" ht="39.75" thickBot="1" x14ac:dyDescent="0.3">
      <c r="A25" s="323" t="s">
        <v>522</v>
      </c>
      <c r="B25" s="186" t="s">
        <v>523</v>
      </c>
      <c r="C25" s="186" t="s">
        <v>457</v>
      </c>
      <c r="D25" s="186" t="s">
        <v>524</v>
      </c>
      <c r="E25" s="186" t="s">
        <v>525</v>
      </c>
      <c r="F25" s="187">
        <v>225</v>
      </c>
      <c r="G25" s="187">
        <v>2871</v>
      </c>
    </row>
    <row r="26" spans="1:7" ht="39.75" thickBot="1" x14ac:dyDescent="0.3">
      <c r="A26" s="323" t="s">
        <v>526</v>
      </c>
      <c r="B26" s="186" t="s">
        <v>527</v>
      </c>
      <c r="C26" s="186" t="s">
        <v>452</v>
      </c>
      <c r="D26" s="186" t="s">
        <v>524</v>
      </c>
      <c r="E26" s="186" t="s">
        <v>525</v>
      </c>
      <c r="F26" s="187">
        <v>85</v>
      </c>
      <c r="G26" s="187">
        <v>1181.5</v>
      </c>
    </row>
    <row r="27" spans="1:7" ht="39.75" thickBot="1" x14ac:dyDescent="0.3">
      <c r="A27" s="323" t="s">
        <v>528</v>
      </c>
      <c r="B27" s="186" t="s">
        <v>529</v>
      </c>
      <c r="C27" s="186" t="s">
        <v>452</v>
      </c>
      <c r="D27" s="186" t="s">
        <v>530</v>
      </c>
      <c r="E27" s="186" t="s">
        <v>531</v>
      </c>
      <c r="F27" s="187">
        <v>15</v>
      </c>
      <c r="G27" s="187">
        <v>814.5</v>
      </c>
    </row>
    <row r="28" spans="1:7" ht="39.75" thickBot="1" x14ac:dyDescent="0.3">
      <c r="A28" s="323" t="s">
        <v>532</v>
      </c>
      <c r="B28" s="186" t="s">
        <v>533</v>
      </c>
      <c r="C28" s="186" t="s">
        <v>452</v>
      </c>
      <c r="D28" s="186" t="s">
        <v>534</v>
      </c>
      <c r="E28" s="186" t="s">
        <v>535</v>
      </c>
      <c r="F28" s="187">
        <v>23</v>
      </c>
      <c r="G28" s="187">
        <v>199.87</v>
      </c>
    </row>
    <row r="29" spans="1:7" ht="39.75" thickBot="1" x14ac:dyDescent="0.3">
      <c r="A29" s="323" t="s">
        <v>536</v>
      </c>
      <c r="B29" s="186" t="s">
        <v>537</v>
      </c>
      <c r="C29" s="186" t="s">
        <v>452</v>
      </c>
      <c r="D29" s="186" t="s">
        <v>538</v>
      </c>
      <c r="E29" s="186" t="s">
        <v>539</v>
      </c>
      <c r="F29" s="187">
        <v>150</v>
      </c>
      <c r="G29" s="187">
        <v>2205</v>
      </c>
    </row>
    <row r="30" spans="1:7" ht="39.75" thickBot="1" x14ac:dyDescent="0.3">
      <c r="A30" s="323" t="s">
        <v>540</v>
      </c>
      <c r="B30" s="186" t="s">
        <v>541</v>
      </c>
      <c r="C30" s="186" t="s">
        <v>452</v>
      </c>
      <c r="D30" s="186" t="s">
        <v>542</v>
      </c>
      <c r="E30" s="186" t="s">
        <v>543</v>
      </c>
      <c r="F30" s="187">
        <v>85</v>
      </c>
      <c r="G30" s="187">
        <v>1076.95</v>
      </c>
    </row>
    <row r="31" spans="1:7" ht="39.75" thickBot="1" x14ac:dyDescent="0.3">
      <c r="A31" s="323" t="s">
        <v>544</v>
      </c>
      <c r="B31" s="186" t="s">
        <v>545</v>
      </c>
      <c r="C31" s="186" t="s">
        <v>452</v>
      </c>
      <c r="D31" s="186" t="s">
        <v>542</v>
      </c>
      <c r="E31" s="186" t="s">
        <v>543</v>
      </c>
      <c r="F31" s="187">
        <v>114</v>
      </c>
      <c r="G31" s="187">
        <v>744.52</v>
      </c>
    </row>
    <row r="32" spans="1:7" ht="39.75" thickBot="1" x14ac:dyDescent="0.3">
      <c r="A32" s="323" t="s">
        <v>546</v>
      </c>
      <c r="B32" s="186" t="s">
        <v>547</v>
      </c>
      <c r="C32" s="186" t="s">
        <v>452</v>
      </c>
      <c r="D32" s="186" t="s">
        <v>548</v>
      </c>
      <c r="E32" s="186" t="s">
        <v>549</v>
      </c>
      <c r="F32" s="187">
        <v>10</v>
      </c>
      <c r="G32" s="187">
        <v>496</v>
      </c>
    </row>
    <row r="33" spans="1:7" ht="39.75" thickBot="1" x14ac:dyDescent="0.3">
      <c r="A33" s="323" t="s">
        <v>550</v>
      </c>
      <c r="B33" s="186" t="s">
        <v>551</v>
      </c>
      <c r="C33" s="186" t="s">
        <v>452</v>
      </c>
      <c r="D33" s="186" t="s">
        <v>552</v>
      </c>
      <c r="E33" s="186" t="s">
        <v>553</v>
      </c>
      <c r="F33" s="187">
        <v>41</v>
      </c>
      <c r="G33" s="187">
        <v>1778.58</v>
      </c>
    </row>
    <row r="34" spans="1:7" ht="39.75" thickBot="1" x14ac:dyDescent="0.3">
      <c r="A34" s="323" t="s">
        <v>554</v>
      </c>
      <c r="B34" s="186" t="s">
        <v>555</v>
      </c>
      <c r="C34" s="186" t="s">
        <v>452</v>
      </c>
      <c r="D34" s="186" t="s">
        <v>556</v>
      </c>
      <c r="E34" s="186" t="s">
        <v>557</v>
      </c>
      <c r="F34" s="187">
        <v>31</v>
      </c>
      <c r="G34" s="187">
        <v>1202.8</v>
      </c>
    </row>
    <row r="35" spans="1:7" ht="39.75" thickBot="1" x14ac:dyDescent="0.3">
      <c r="A35" s="323" t="s">
        <v>558</v>
      </c>
      <c r="B35" s="186" t="s">
        <v>559</v>
      </c>
      <c r="C35" s="186" t="s">
        <v>452</v>
      </c>
      <c r="D35" s="186" t="s">
        <v>560</v>
      </c>
      <c r="E35" s="186" t="s">
        <v>561</v>
      </c>
      <c r="F35" s="187">
        <v>55</v>
      </c>
      <c r="G35" s="187">
        <v>990</v>
      </c>
    </row>
    <row r="36" spans="1:7" ht="39.75" thickBot="1" x14ac:dyDescent="0.3">
      <c r="A36" s="323" t="s">
        <v>562</v>
      </c>
      <c r="B36" s="186" t="s">
        <v>563</v>
      </c>
      <c r="C36" s="186" t="s">
        <v>452</v>
      </c>
      <c r="D36" s="186" t="s">
        <v>560</v>
      </c>
      <c r="E36" s="186" t="s">
        <v>561</v>
      </c>
      <c r="F36" s="187">
        <v>14</v>
      </c>
      <c r="G36" s="187">
        <v>178.5</v>
      </c>
    </row>
    <row r="37" spans="1:7" ht="39.75" thickBot="1" x14ac:dyDescent="0.3">
      <c r="A37" s="323" t="s">
        <v>564</v>
      </c>
      <c r="B37" s="186" t="s">
        <v>565</v>
      </c>
      <c r="C37" s="186" t="s">
        <v>457</v>
      </c>
      <c r="D37" s="188" t="s">
        <v>566</v>
      </c>
      <c r="E37" s="186" t="s">
        <v>567</v>
      </c>
      <c r="F37" s="187">
        <v>1010</v>
      </c>
      <c r="G37" s="187">
        <v>15655</v>
      </c>
    </row>
    <row r="38" spans="1:7" ht="39.75" thickBot="1" x14ac:dyDescent="0.3">
      <c r="A38" s="323" t="s">
        <v>568</v>
      </c>
      <c r="B38" s="186" t="s">
        <v>569</v>
      </c>
      <c r="C38" s="186" t="s">
        <v>452</v>
      </c>
      <c r="D38" s="189" t="s">
        <v>570</v>
      </c>
      <c r="E38" s="186" t="s">
        <v>571</v>
      </c>
      <c r="F38" s="187">
        <v>16</v>
      </c>
      <c r="G38" s="187">
        <v>1694.72</v>
      </c>
    </row>
    <row r="39" spans="1:7" ht="39.75" thickBot="1" x14ac:dyDescent="0.3">
      <c r="A39" s="323" t="s">
        <v>572</v>
      </c>
      <c r="B39" s="186" t="s">
        <v>573</v>
      </c>
      <c r="C39" s="186" t="s">
        <v>452</v>
      </c>
      <c r="D39" s="189" t="s">
        <v>574</v>
      </c>
      <c r="E39" s="186" t="s">
        <v>575</v>
      </c>
      <c r="F39" s="187">
        <v>9</v>
      </c>
      <c r="G39" s="187">
        <v>183.6</v>
      </c>
    </row>
    <row r="40" spans="1:7" ht="19.5" x14ac:dyDescent="0.35">
      <c r="A40" s="190" t="s">
        <v>576</v>
      </c>
    </row>
    <row r="41" spans="1:7" ht="15.75" x14ac:dyDescent="0.25">
      <c r="A41" s="183"/>
      <c r="B41" s="184"/>
      <c r="C41" s="177"/>
      <c r="D41" s="177"/>
      <c r="E41" s="177"/>
      <c r="F41" s="177"/>
      <c r="G41" s="177"/>
    </row>
    <row r="42" spans="1:7" ht="15.75" x14ac:dyDescent="0.25">
      <c r="A42" s="183"/>
      <c r="B42" s="184"/>
      <c r="C42" s="177"/>
      <c r="D42" s="177"/>
      <c r="E42" s="177"/>
      <c r="G42" s="177"/>
    </row>
    <row r="43" spans="1:7" x14ac:dyDescent="0.25">
      <c r="B43" s="184" t="s">
        <v>704</v>
      </c>
      <c r="C43" s="177"/>
      <c r="D43" s="177"/>
      <c r="E43" s="177"/>
      <c r="F43" s="177" t="s">
        <v>705</v>
      </c>
      <c r="G43" s="177"/>
    </row>
    <row r="44" spans="1:7" ht="15.75" x14ac:dyDescent="0.25">
      <c r="A44" s="183"/>
      <c r="B44" s="184"/>
      <c r="C44" s="177"/>
      <c r="D44" s="177"/>
      <c r="E44" s="177"/>
      <c r="F44" s="177"/>
      <c r="G44" s="177"/>
    </row>
    <row r="45" spans="1:7" ht="15.75" x14ac:dyDescent="0.25">
      <c r="A45" s="183"/>
      <c r="B45" s="184" t="s">
        <v>706</v>
      </c>
      <c r="C45" s="177"/>
      <c r="D45" s="177"/>
      <c r="E45" s="177"/>
      <c r="F45" s="177" t="s">
        <v>707</v>
      </c>
      <c r="G45" s="177"/>
    </row>
    <row r="46" spans="1:7" ht="15.75" x14ac:dyDescent="0.25">
      <c r="A46" s="183"/>
      <c r="B46" s="184"/>
      <c r="C46" s="177"/>
      <c r="D46" s="177"/>
      <c r="E46" s="177"/>
      <c r="F46" s="177"/>
      <c r="G46" s="177"/>
    </row>
    <row r="47" spans="1:7" ht="15.75" x14ac:dyDescent="0.25">
      <c r="A47" s="183"/>
      <c r="B47" s="184"/>
      <c r="C47" s="177"/>
      <c r="D47" s="177"/>
      <c r="E47" s="177"/>
      <c r="F47" s="177"/>
      <c r="G47" s="177"/>
    </row>
    <row r="48" spans="1:7" ht="15.75" x14ac:dyDescent="0.25">
      <c r="A48" s="183"/>
      <c r="B48" s="184"/>
      <c r="C48" s="177"/>
      <c r="D48" s="177"/>
      <c r="E48" s="177"/>
      <c r="F48" s="177"/>
      <c r="G48" s="177"/>
    </row>
    <row r="49" spans="1:7" ht="15.75" x14ac:dyDescent="0.25">
      <c r="A49" s="183"/>
      <c r="B49" s="184"/>
      <c r="C49" s="177"/>
      <c r="D49" s="177"/>
      <c r="E49" s="177"/>
      <c r="F49" s="177"/>
      <c r="G49" s="177"/>
    </row>
  </sheetData>
  <mergeCells count="14">
    <mergeCell ref="A2:G3"/>
    <mergeCell ref="A7:A8"/>
    <mergeCell ref="B7:B8"/>
    <mergeCell ref="C7:C8"/>
    <mergeCell ref="D7:D8"/>
    <mergeCell ref="E7:E8"/>
    <mergeCell ref="F7:F8"/>
    <mergeCell ref="A4:A5"/>
    <mergeCell ref="B4:B5"/>
    <mergeCell ref="C4:C5"/>
    <mergeCell ref="D4:D5"/>
    <mergeCell ref="E4:E5"/>
    <mergeCell ref="G4:G5"/>
    <mergeCell ref="G7:G8"/>
  </mergeCells>
  <pageMargins left="0.7" right="0.7" top="0.75" bottom="0.75" header="0.3" footer="0.3"/>
  <pageSetup paperSize="9" scale="65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10"/>
  <sheetViews>
    <sheetView view="pageLayout" topLeftCell="A172" zoomScaleNormal="100" workbookViewId="0">
      <selection activeCell="G110" sqref="G110:J110"/>
    </sheetView>
  </sheetViews>
  <sheetFormatPr defaultRowHeight="15" x14ac:dyDescent="0.25"/>
  <cols>
    <col min="1" max="1" width="58.28515625" customWidth="1"/>
    <col min="6" max="6" width="17.5703125" customWidth="1"/>
    <col min="7" max="7" width="13.5703125" customWidth="1"/>
    <col min="8" max="8" width="13.7109375" customWidth="1"/>
    <col min="9" max="9" width="13.28515625" customWidth="1"/>
    <col min="10" max="10" width="13.5703125" customWidth="1"/>
    <col min="11" max="11" width="11.42578125" customWidth="1"/>
    <col min="16" max="16" width="10.5703125" customWidth="1"/>
  </cols>
  <sheetData>
    <row r="1" spans="1:11" ht="39.75" customHeight="1" x14ac:dyDescent="0.25">
      <c r="A1" s="68"/>
      <c r="B1" s="69"/>
      <c r="C1" s="70"/>
      <c r="D1" s="70"/>
      <c r="E1" s="70"/>
      <c r="F1" s="68"/>
      <c r="G1" s="634" t="s">
        <v>0</v>
      </c>
      <c r="H1" s="634"/>
      <c r="I1" s="634"/>
      <c r="J1" s="634"/>
      <c r="K1" s="634"/>
    </row>
    <row r="2" spans="1:11" x14ac:dyDescent="0.25">
      <c r="A2" s="1"/>
      <c r="B2" s="69"/>
      <c r="C2" s="71"/>
      <c r="D2" s="71"/>
      <c r="E2" s="71"/>
      <c r="F2" s="1"/>
      <c r="G2" s="72"/>
      <c r="H2" s="72"/>
      <c r="I2" s="72"/>
      <c r="J2" s="72"/>
      <c r="K2" s="72"/>
    </row>
    <row r="3" spans="1:11" x14ac:dyDescent="0.25">
      <c r="A3" s="1"/>
      <c r="B3" s="69"/>
      <c r="C3" s="71"/>
      <c r="D3" s="73"/>
      <c r="E3" s="71"/>
      <c r="F3" s="74"/>
      <c r="G3" s="74" t="s">
        <v>1</v>
      </c>
      <c r="H3" s="74"/>
      <c r="I3" s="74"/>
      <c r="J3" s="74"/>
      <c r="K3" s="1"/>
    </row>
    <row r="4" spans="1:11" x14ac:dyDescent="0.25">
      <c r="A4" s="1" t="s">
        <v>2</v>
      </c>
      <c r="B4" s="69"/>
      <c r="C4" s="71"/>
      <c r="D4" s="73"/>
      <c r="E4" s="71"/>
      <c r="F4" s="74"/>
      <c r="G4" s="74"/>
      <c r="H4" s="74"/>
      <c r="I4" s="74"/>
      <c r="J4" s="74"/>
      <c r="K4" s="1"/>
    </row>
    <row r="5" spans="1:11" x14ac:dyDescent="0.25">
      <c r="A5" s="1" t="s">
        <v>676</v>
      </c>
      <c r="B5" s="69"/>
      <c r="C5" s="71"/>
      <c r="D5" s="73"/>
      <c r="E5" s="71"/>
      <c r="F5" s="74"/>
      <c r="G5" s="74" t="s">
        <v>3</v>
      </c>
      <c r="H5" s="74"/>
      <c r="I5" s="74"/>
      <c r="J5" s="645" t="s">
        <v>696</v>
      </c>
      <c r="K5" s="645"/>
    </row>
    <row r="6" spans="1:11" x14ac:dyDescent="0.25">
      <c r="A6" s="1" t="s">
        <v>9</v>
      </c>
      <c r="B6" s="69"/>
      <c r="C6" s="71"/>
      <c r="D6" s="73"/>
      <c r="E6" s="71"/>
      <c r="F6" s="74"/>
      <c r="G6" s="74"/>
      <c r="H6" s="74"/>
      <c r="I6" s="74"/>
      <c r="J6" s="74"/>
      <c r="K6" s="1"/>
    </row>
    <row r="7" spans="1:11" ht="15.75" thickBot="1" x14ac:dyDescent="0.3">
      <c r="A7" s="1" t="s">
        <v>697</v>
      </c>
      <c r="B7" s="69"/>
      <c r="C7" s="71"/>
      <c r="D7" s="73"/>
      <c r="E7" s="71"/>
      <c r="F7" s="74"/>
      <c r="G7" s="74"/>
      <c r="H7" s="74"/>
      <c r="I7" s="74"/>
      <c r="J7" s="74"/>
      <c r="K7" s="1"/>
    </row>
    <row r="8" spans="1:11" x14ac:dyDescent="0.25">
      <c r="A8" s="1" t="s">
        <v>4</v>
      </c>
      <c r="B8" s="69"/>
      <c r="C8" s="71"/>
      <c r="D8" s="73"/>
      <c r="E8" s="71"/>
      <c r="F8" s="74"/>
      <c r="G8" s="74"/>
      <c r="H8" s="1"/>
      <c r="I8" s="635" t="s">
        <v>5</v>
      </c>
      <c r="J8" s="636"/>
      <c r="K8" s="230" t="s">
        <v>700</v>
      </c>
    </row>
    <row r="9" spans="1:11" x14ac:dyDescent="0.25">
      <c r="A9" s="1" t="s">
        <v>2</v>
      </c>
      <c r="B9" s="69"/>
      <c r="C9" s="71"/>
      <c r="D9" s="73"/>
      <c r="E9" s="71"/>
      <c r="F9" s="74"/>
      <c r="G9" s="74"/>
      <c r="H9" s="1"/>
      <c r="I9" s="637" t="s">
        <v>6</v>
      </c>
      <c r="J9" s="638"/>
      <c r="K9" s="75"/>
    </row>
    <row r="10" spans="1:11" x14ac:dyDescent="0.25">
      <c r="A10" s="1" t="s">
        <v>7</v>
      </c>
      <c r="B10" s="69"/>
      <c r="C10" s="71"/>
      <c r="D10" s="73"/>
      <c r="E10" s="71"/>
      <c r="F10" s="74"/>
      <c r="G10" s="74"/>
      <c r="H10" s="1"/>
      <c r="I10" s="637" t="s">
        <v>8</v>
      </c>
      <c r="J10" s="638"/>
      <c r="K10" s="75"/>
    </row>
    <row r="11" spans="1:11" x14ac:dyDescent="0.25">
      <c r="A11" s="1" t="s">
        <v>9</v>
      </c>
      <c r="B11" s="69"/>
      <c r="C11" s="71"/>
      <c r="D11" s="73"/>
      <c r="E11" s="71"/>
      <c r="F11" s="74"/>
      <c r="G11" s="74"/>
      <c r="H11" s="1"/>
      <c r="I11" s="637" t="s">
        <v>10</v>
      </c>
      <c r="J11" s="638"/>
      <c r="K11" s="75"/>
    </row>
    <row r="12" spans="1:11" ht="15.75" thickBot="1" x14ac:dyDescent="0.3">
      <c r="A12" s="1" t="s">
        <v>698</v>
      </c>
      <c r="B12" s="69"/>
      <c r="C12" s="71"/>
      <c r="D12" s="73"/>
      <c r="E12" s="71"/>
      <c r="F12" s="74"/>
      <c r="G12" s="74"/>
      <c r="H12" s="1"/>
      <c r="I12" s="639" t="s">
        <v>11</v>
      </c>
      <c r="J12" s="640"/>
      <c r="K12" s="76"/>
    </row>
    <row r="13" spans="1:11" x14ac:dyDescent="0.25">
      <c r="A13" s="1" t="s">
        <v>4</v>
      </c>
      <c r="B13" s="69"/>
      <c r="C13" s="71"/>
      <c r="D13" s="73"/>
      <c r="E13" s="71"/>
      <c r="F13" s="74"/>
      <c r="G13" s="74"/>
      <c r="H13" s="74"/>
      <c r="I13" s="74"/>
      <c r="J13" s="74"/>
      <c r="K13" s="1"/>
    </row>
    <row r="14" spans="1:11" ht="15.75" thickBot="1" x14ac:dyDescent="0.3">
      <c r="A14" s="1"/>
      <c r="B14" s="69"/>
      <c r="C14" s="77"/>
      <c r="D14" s="77"/>
      <c r="E14" s="77"/>
      <c r="F14" s="77"/>
      <c r="G14" s="74"/>
      <c r="H14" s="74"/>
      <c r="I14" s="641"/>
      <c r="J14" s="641"/>
      <c r="K14" s="1"/>
    </row>
    <row r="15" spans="1:11" ht="15.75" thickBot="1" x14ac:dyDescent="0.3">
      <c r="A15" s="78" t="s">
        <v>12</v>
      </c>
      <c r="B15" s="642">
        <v>2022</v>
      </c>
      <c r="C15" s="643"/>
      <c r="D15" s="643"/>
      <c r="E15" s="643"/>
      <c r="F15" s="643"/>
      <c r="G15" s="643"/>
      <c r="H15" s="644"/>
      <c r="I15" s="629" t="s">
        <v>13</v>
      </c>
      <c r="J15" s="630"/>
      <c r="K15" s="631"/>
    </row>
    <row r="16" spans="1:11" ht="15.75" thickBot="1" x14ac:dyDescent="0.3">
      <c r="A16" s="79" t="s">
        <v>14</v>
      </c>
      <c r="B16" s="629" t="s">
        <v>248</v>
      </c>
      <c r="C16" s="630"/>
      <c r="D16" s="630"/>
      <c r="E16" s="630"/>
      <c r="F16" s="630"/>
      <c r="G16" s="630"/>
      <c r="H16" s="631"/>
      <c r="I16" s="632" t="s">
        <v>15</v>
      </c>
      <c r="J16" s="633"/>
      <c r="K16" s="80">
        <v>42352786</v>
      </c>
    </row>
    <row r="17" spans="1:11" ht="15.75" thickBot="1" x14ac:dyDescent="0.3">
      <c r="A17" s="79" t="s">
        <v>16</v>
      </c>
      <c r="B17" s="629" t="s">
        <v>249</v>
      </c>
      <c r="C17" s="630"/>
      <c r="D17" s="630"/>
      <c r="E17" s="630"/>
      <c r="F17" s="630"/>
      <c r="G17" s="630"/>
      <c r="H17" s="631"/>
      <c r="I17" s="632" t="s">
        <v>17</v>
      </c>
      <c r="J17" s="633"/>
      <c r="K17" s="80">
        <v>150</v>
      </c>
    </row>
    <row r="18" spans="1:11" ht="15.75" thickBot="1" x14ac:dyDescent="0.3">
      <c r="A18" s="79" t="s">
        <v>18</v>
      </c>
      <c r="B18" s="629" t="s">
        <v>250</v>
      </c>
      <c r="C18" s="630"/>
      <c r="D18" s="630"/>
      <c r="E18" s="630"/>
      <c r="F18" s="630"/>
      <c r="G18" s="630"/>
      <c r="H18" s="631"/>
      <c r="I18" s="632" t="s">
        <v>19</v>
      </c>
      <c r="J18" s="633"/>
      <c r="K18" s="80">
        <v>2610100000</v>
      </c>
    </row>
    <row r="19" spans="1:11" ht="15.75" thickBot="1" x14ac:dyDescent="0.3">
      <c r="A19" s="79" t="s">
        <v>20</v>
      </c>
      <c r="B19" s="629"/>
      <c r="C19" s="630"/>
      <c r="D19" s="630"/>
      <c r="E19" s="630"/>
      <c r="F19" s="630"/>
      <c r="G19" s="630"/>
      <c r="H19" s="631"/>
      <c r="I19" s="632" t="s">
        <v>21</v>
      </c>
      <c r="J19" s="633"/>
      <c r="K19" s="80"/>
    </row>
    <row r="20" spans="1:11" ht="15.75" thickBot="1" x14ac:dyDescent="0.3">
      <c r="A20" s="79" t="s">
        <v>22</v>
      </c>
      <c r="B20" s="629" t="s">
        <v>251</v>
      </c>
      <c r="C20" s="630"/>
      <c r="D20" s="630"/>
      <c r="E20" s="630"/>
      <c r="F20" s="630"/>
      <c r="G20" s="630"/>
      <c r="H20" s="631"/>
      <c r="I20" s="632" t="s">
        <v>23</v>
      </c>
      <c r="J20" s="633"/>
      <c r="K20" s="80"/>
    </row>
    <row r="21" spans="1:11" ht="15.75" thickBot="1" x14ac:dyDescent="0.3">
      <c r="A21" s="79" t="s">
        <v>24</v>
      </c>
      <c r="B21" s="629" t="s">
        <v>252</v>
      </c>
      <c r="C21" s="630"/>
      <c r="D21" s="630"/>
      <c r="E21" s="630"/>
      <c r="F21" s="630"/>
      <c r="G21" s="630"/>
      <c r="H21" s="631"/>
      <c r="I21" s="632" t="s">
        <v>25</v>
      </c>
      <c r="J21" s="633"/>
      <c r="K21" s="80" t="s">
        <v>256</v>
      </c>
    </row>
    <row r="22" spans="1:11" ht="15.75" thickBot="1" x14ac:dyDescent="0.3">
      <c r="A22" s="79" t="s">
        <v>26</v>
      </c>
      <c r="B22" s="646" t="s">
        <v>27</v>
      </c>
      <c r="C22" s="647"/>
      <c r="D22" s="647"/>
      <c r="E22" s="647"/>
      <c r="F22" s="647"/>
      <c r="G22" s="647"/>
      <c r="H22" s="648"/>
      <c r="I22" s="81"/>
      <c r="J22" s="82"/>
      <c r="K22" s="80"/>
    </row>
    <row r="23" spans="1:11" ht="15.75" thickBot="1" x14ac:dyDescent="0.3">
      <c r="A23" s="79" t="s">
        <v>28</v>
      </c>
      <c r="B23" s="629" t="s">
        <v>253</v>
      </c>
      <c r="C23" s="630"/>
      <c r="D23" s="630"/>
      <c r="E23" s="630"/>
      <c r="F23" s="630"/>
      <c r="G23" s="630"/>
      <c r="H23" s="631"/>
      <c r="I23" s="81"/>
      <c r="J23" s="82"/>
      <c r="K23" s="80"/>
    </row>
    <row r="24" spans="1:11" ht="15.75" thickBot="1" x14ac:dyDescent="0.3">
      <c r="A24" s="258" t="s">
        <v>219</v>
      </c>
      <c r="B24" s="629">
        <v>1121.5</v>
      </c>
      <c r="C24" s="630"/>
      <c r="D24" s="630"/>
      <c r="E24" s="630"/>
      <c r="F24" s="630"/>
      <c r="G24" s="630"/>
      <c r="H24" s="631"/>
      <c r="I24" s="632" t="s">
        <v>29</v>
      </c>
      <c r="J24" s="633"/>
      <c r="K24" s="80"/>
    </row>
    <row r="25" spans="1:11" ht="15.75" thickBot="1" x14ac:dyDescent="0.3">
      <c r="A25" s="79" t="s">
        <v>30</v>
      </c>
      <c r="B25" s="629" t="s">
        <v>254</v>
      </c>
      <c r="C25" s="630"/>
      <c r="D25" s="630"/>
      <c r="E25" s="630"/>
      <c r="F25" s="630"/>
      <c r="G25" s="630"/>
      <c r="H25" s="631"/>
      <c r="I25" s="632" t="s">
        <v>31</v>
      </c>
      <c r="J25" s="633"/>
      <c r="K25" s="80"/>
    </row>
    <row r="26" spans="1:11" ht="15.75" thickBot="1" x14ac:dyDescent="0.3">
      <c r="A26" s="79" t="s">
        <v>32</v>
      </c>
      <c r="B26" s="629" t="s">
        <v>255</v>
      </c>
      <c r="C26" s="630"/>
      <c r="D26" s="630"/>
      <c r="E26" s="630"/>
      <c r="F26" s="630"/>
      <c r="G26" s="630"/>
      <c r="H26" s="631"/>
      <c r="I26" s="83"/>
      <c r="J26" s="83"/>
      <c r="K26" s="83"/>
    </row>
    <row r="27" spans="1:11" ht="15.75" thickBot="1" x14ac:dyDescent="0.3">
      <c r="A27" s="79" t="s">
        <v>33</v>
      </c>
      <c r="B27" s="629" t="s">
        <v>247</v>
      </c>
      <c r="C27" s="630"/>
      <c r="D27" s="630"/>
      <c r="E27" s="630"/>
      <c r="F27" s="630"/>
      <c r="G27" s="630"/>
      <c r="H27" s="631"/>
      <c r="I27" s="1"/>
      <c r="J27" s="1"/>
      <c r="K27" s="1"/>
    </row>
    <row r="28" spans="1:11" x14ac:dyDescent="0.25">
      <c r="A28" s="84"/>
      <c r="B28" s="85"/>
      <c r="C28" s="71"/>
      <c r="D28" s="71"/>
      <c r="E28" s="71"/>
      <c r="F28" s="1"/>
      <c r="G28" s="1"/>
      <c r="H28" s="1"/>
      <c r="I28" s="1"/>
      <c r="J28" s="1"/>
      <c r="K28" s="1"/>
    </row>
    <row r="29" spans="1:11" ht="57" customHeight="1" x14ac:dyDescent="0.25">
      <c r="A29" s="657" t="s">
        <v>834</v>
      </c>
      <c r="B29" s="657"/>
      <c r="C29" s="657"/>
      <c r="D29" s="657"/>
      <c r="E29" s="657"/>
      <c r="F29" s="657"/>
      <c r="G29" s="657"/>
      <c r="H29" s="657"/>
      <c r="I29" s="657"/>
      <c r="J29" s="657"/>
      <c r="K29" s="1"/>
    </row>
    <row r="30" spans="1:11" ht="15.75" thickBot="1" x14ac:dyDescent="0.3">
      <c r="A30" s="86"/>
      <c r="B30" s="87"/>
      <c r="C30" s="86"/>
      <c r="D30" s="86"/>
      <c r="E30" s="86"/>
      <c r="F30" s="86"/>
      <c r="G30" s="86"/>
      <c r="H30" s="86"/>
      <c r="I30" s="86"/>
      <c r="J30" s="88" t="s">
        <v>34</v>
      </c>
      <c r="K30" s="1"/>
    </row>
    <row r="31" spans="1:11" ht="15.75" thickBot="1" x14ac:dyDescent="0.3">
      <c r="A31" s="649" t="s">
        <v>35</v>
      </c>
      <c r="B31" s="651" t="s">
        <v>118</v>
      </c>
      <c r="C31" s="653" t="s">
        <v>36</v>
      </c>
      <c r="D31" s="655" t="s">
        <v>702</v>
      </c>
      <c r="E31" s="653" t="s">
        <v>701</v>
      </c>
      <c r="F31" s="655" t="s">
        <v>703</v>
      </c>
      <c r="G31" s="661" t="s">
        <v>37</v>
      </c>
      <c r="H31" s="662"/>
      <c r="I31" s="662"/>
      <c r="J31" s="663"/>
      <c r="K31" s="653" t="s">
        <v>38</v>
      </c>
    </row>
    <row r="32" spans="1:11" ht="21" customHeight="1" thickBot="1" x14ac:dyDescent="0.3">
      <c r="A32" s="650"/>
      <c r="B32" s="652"/>
      <c r="C32" s="654"/>
      <c r="D32" s="656"/>
      <c r="E32" s="654"/>
      <c r="F32" s="656"/>
      <c r="G32" s="89" t="s">
        <v>39</v>
      </c>
      <c r="H32" s="90" t="s">
        <v>40</v>
      </c>
      <c r="I32" s="91" t="s">
        <v>41</v>
      </c>
      <c r="J32" s="90" t="s">
        <v>42</v>
      </c>
      <c r="K32" s="654"/>
    </row>
    <row r="33" spans="1:11" ht="15.75" thickBot="1" x14ac:dyDescent="0.3">
      <c r="A33" s="2">
        <v>1</v>
      </c>
      <c r="B33" s="6"/>
      <c r="C33" s="3">
        <v>2</v>
      </c>
      <c r="D33" s="3">
        <v>3</v>
      </c>
      <c r="E33" s="3"/>
      <c r="F33" s="3">
        <v>5</v>
      </c>
      <c r="G33" s="4">
        <v>6</v>
      </c>
      <c r="H33" s="5">
        <v>7</v>
      </c>
      <c r="I33" s="5">
        <v>8</v>
      </c>
      <c r="J33" s="3">
        <v>9</v>
      </c>
      <c r="K33" s="3">
        <v>10</v>
      </c>
    </row>
    <row r="34" spans="1:11" ht="15.75" thickBot="1" x14ac:dyDescent="0.3">
      <c r="A34" s="92" t="s">
        <v>43</v>
      </c>
      <c r="B34" s="93">
        <v>1</v>
      </c>
      <c r="C34" s="94">
        <v>1000</v>
      </c>
      <c r="D34" s="95"/>
      <c r="E34" s="95"/>
      <c r="F34" s="96"/>
      <c r="G34" s="97"/>
      <c r="H34" s="96"/>
      <c r="I34" s="96"/>
      <c r="J34" s="96"/>
      <c r="K34" s="96"/>
    </row>
    <row r="35" spans="1:11" ht="15.75" thickBot="1" x14ac:dyDescent="0.3">
      <c r="A35" s="98" t="s">
        <v>620</v>
      </c>
      <c r="B35" s="99">
        <f>B34+1</f>
        <v>2</v>
      </c>
      <c r="C35" s="100">
        <v>1010</v>
      </c>
      <c r="D35" s="102"/>
      <c r="E35" s="238"/>
      <c r="F35" s="312">
        <f>SUM(G35:J35)</f>
        <v>148122.59999999998</v>
      </c>
      <c r="G35" s="238">
        <f>SUM(G36,G37:G38,G42:G43)</f>
        <v>38165.300000000003</v>
      </c>
      <c r="H35" s="238">
        <f t="shared" ref="H35:J35" si="0">SUM(H36,H37:H38,H42:H43)</f>
        <v>39796.1</v>
      </c>
      <c r="I35" s="238">
        <f t="shared" si="0"/>
        <v>33384.399999999994</v>
      </c>
      <c r="J35" s="238">
        <f t="shared" si="0"/>
        <v>36776.800000000003</v>
      </c>
      <c r="K35" s="103"/>
    </row>
    <row r="36" spans="1:11" x14ac:dyDescent="0.25">
      <c r="A36" s="107" t="s">
        <v>220</v>
      </c>
      <c r="B36" s="104">
        <f t="shared" ref="B36:B99" si="1">B35+1</f>
        <v>3</v>
      </c>
      <c r="C36" s="105">
        <v>1020</v>
      </c>
      <c r="D36" s="121"/>
      <c r="E36" s="239"/>
      <c r="F36" s="245">
        <f>SUM(G36:J36)</f>
        <v>0</v>
      </c>
      <c r="G36" s="259">
        <f>G54</f>
        <v>0</v>
      </c>
      <c r="H36" s="259">
        <f>H54</f>
        <v>0</v>
      </c>
      <c r="I36" s="259">
        <f>I54</f>
        <v>0</v>
      </c>
      <c r="J36" s="259">
        <f>J54</f>
        <v>0</v>
      </c>
      <c r="K36" s="106"/>
    </row>
    <row r="37" spans="1:11" x14ac:dyDescent="0.25">
      <c r="A37" s="107" t="s">
        <v>92</v>
      </c>
      <c r="B37" s="108">
        <f t="shared" si="1"/>
        <v>4</v>
      </c>
      <c r="C37" s="105">
        <v>1030</v>
      </c>
      <c r="D37" s="121"/>
      <c r="E37" s="239"/>
      <c r="F37" s="560">
        <f t="shared" ref="F37:F114" si="2">G37+H37+I37+J37</f>
        <v>112147.8</v>
      </c>
      <c r="G37" s="561">
        <v>28081.5</v>
      </c>
      <c r="H37" s="561">
        <v>28081.5</v>
      </c>
      <c r="I37" s="561">
        <v>28081.599999999999</v>
      </c>
      <c r="J37" s="561">
        <v>27903.200000000001</v>
      </c>
      <c r="K37" s="106"/>
    </row>
    <row r="38" spans="1:11" x14ac:dyDescent="0.25">
      <c r="A38" s="107" t="s">
        <v>133</v>
      </c>
      <c r="B38" s="108">
        <f t="shared" si="1"/>
        <v>5</v>
      </c>
      <c r="C38" s="105">
        <v>1040</v>
      </c>
      <c r="D38" s="121"/>
      <c r="E38" s="239"/>
      <c r="F38" s="560">
        <f>SUM(F39:F41)</f>
        <v>30315.5</v>
      </c>
      <c r="G38" s="561">
        <f>SUM(G39:G41)</f>
        <v>8669.5</v>
      </c>
      <c r="H38" s="561">
        <f t="shared" ref="H38:J38" si="3">SUM(H39:H41)</f>
        <v>10299.599999999999</v>
      </c>
      <c r="I38" s="561">
        <f t="shared" si="3"/>
        <v>3887.7999999999993</v>
      </c>
      <c r="J38" s="561">
        <f t="shared" si="3"/>
        <v>7458.6</v>
      </c>
      <c r="K38" s="106"/>
    </row>
    <row r="39" spans="1:11" x14ac:dyDescent="0.25">
      <c r="A39" s="109" t="s">
        <v>134</v>
      </c>
      <c r="B39" s="108">
        <f t="shared" si="1"/>
        <v>6</v>
      </c>
      <c r="C39" s="110" t="s">
        <v>135</v>
      </c>
      <c r="D39" s="121"/>
      <c r="E39" s="239"/>
      <c r="F39" s="560">
        <f t="shared" si="2"/>
        <v>20538.3</v>
      </c>
      <c r="G39" s="561">
        <f>G119</f>
        <v>7725.2</v>
      </c>
      <c r="H39" s="561">
        <f>H119</f>
        <v>3355.2999999999997</v>
      </c>
      <c r="I39" s="561">
        <f>I119</f>
        <v>2943.4999999999995</v>
      </c>
      <c r="J39" s="561">
        <f>J119</f>
        <v>6514.3</v>
      </c>
      <c r="K39" s="106"/>
    </row>
    <row r="40" spans="1:11" x14ac:dyDescent="0.25">
      <c r="A40" s="109" t="s">
        <v>136</v>
      </c>
      <c r="B40" s="108">
        <f t="shared" si="1"/>
        <v>7</v>
      </c>
      <c r="C40" s="110" t="s">
        <v>137</v>
      </c>
      <c r="D40" s="121"/>
      <c r="E40" s="239"/>
      <c r="F40" s="560">
        <f t="shared" si="2"/>
        <v>6000</v>
      </c>
      <c r="G40" s="561">
        <f>G125</f>
        <v>0</v>
      </c>
      <c r="H40" s="561">
        <f t="shared" ref="H40:J40" si="4">H125</f>
        <v>6000</v>
      </c>
      <c r="I40" s="561">
        <f t="shared" si="4"/>
        <v>0</v>
      </c>
      <c r="J40" s="561">
        <f t="shared" si="4"/>
        <v>0</v>
      </c>
      <c r="K40" s="106"/>
    </row>
    <row r="41" spans="1:11" x14ac:dyDescent="0.25">
      <c r="A41" s="109" t="s">
        <v>138</v>
      </c>
      <c r="B41" s="108">
        <f t="shared" si="1"/>
        <v>8</v>
      </c>
      <c r="C41" s="110" t="s">
        <v>139</v>
      </c>
      <c r="D41" s="121"/>
      <c r="E41" s="239"/>
      <c r="F41" s="560">
        <f>G41+H41+I41+J41</f>
        <v>3777.2</v>
      </c>
      <c r="G41" s="561">
        <f>G109+G110+G111+G113+G114</f>
        <v>944.3</v>
      </c>
      <c r="H41" s="561">
        <f t="shared" ref="H41:J41" si="5">H109+H110+H111+H113+H114</f>
        <v>944.3</v>
      </c>
      <c r="I41" s="561">
        <f t="shared" si="5"/>
        <v>944.3</v>
      </c>
      <c r="J41" s="561">
        <f t="shared" si="5"/>
        <v>944.3</v>
      </c>
      <c r="K41" s="106"/>
    </row>
    <row r="42" spans="1:11" ht="25.5" x14ac:dyDescent="0.25">
      <c r="A42" s="111" t="s">
        <v>140</v>
      </c>
      <c r="B42" s="108">
        <f t="shared" si="1"/>
        <v>9</v>
      </c>
      <c r="C42" s="105">
        <v>1050</v>
      </c>
      <c r="D42" s="113"/>
      <c r="E42" s="216"/>
      <c r="F42" s="560">
        <f t="shared" si="2"/>
        <v>1599.3</v>
      </c>
      <c r="G42" s="559">
        <f>G112+G117</f>
        <v>399.3</v>
      </c>
      <c r="H42" s="559">
        <f t="shared" ref="H42:J42" si="6">H112+H117</f>
        <v>400</v>
      </c>
      <c r="I42" s="559">
        <f t="shared" si="6"/>
        <v>400</v>
      </c>
      <c r="J42" s="559">
        <f t="shared" si="6"/>
        <v>400</v>
      </c>
      <c r="K42" s="112"/>
    </row>
    <row r="43" spans="1:11" x14ac:dyDescent="0.25">
      <c r="A43" s="111" t="s">
        <v>89</v>
      </c>
      <c r="B43" s="108">
        <f t="shared" si="1"/>
        <v>10</v>
      </c>
      <c r="C43" s="105">
        <v>1060</v>
      </c>
      <c r="D43" s="113"/>
      <c r="E43" s="216"/>
      <c r="F43" s="245">
        <f t="shared" si="2"/>
        <v>4060</v>
      </c>
      <c r="G43" s="216">
        <f>SUM(G44:G50)</f>
        <v>1015</v>
      </c>
      <c r="H43" s="216">
        <f t="shared" ref="H43:J43" si="7">SUM(H44:H50)</f>
        <v>1015</v>
      </c>
      <c r="I43" s="216">
        <f t="shared" si="7"/>
        <v>1015</v>
      </c>
      <c r="J43" s="216">
        <f t="shared" si="7"/>
        <v>1015</v>
      </c>
      <c r="K43" s="112"/>
    </row>
    <row r="44" spans="1:11" x14ac:dyDescent="0.25">
      <c r="A44" s="109" t="s">
        <v>44</v>
      </c>
      <c r="B44" s="108">
        <f t="shared" si="1"/>
        <v>11</v>
      </c>
      <c r="C44" s="110" t="s">
        <v>109</v>
      </c>
      <c r="D44" s="113"/>
      <c r="E44" s="216"/>
      <c r="F44" s="560">
        <f t="shared" si="2"/>
        <v>100</v>
      </c>
      <c r="G44" s="559">
        <v>25</v>
      </c>
      <c r="H44" s="559">
        <v>25</v>
      </c>
      <c r="I44" s="559">
        <v>25</v>
      </c>
      <c r="J44" s="559">
        <v>25</v>
      </c>
      <c r="K44" s="112"/>
    </row>
    <row r="45" spans="1:11" x14ac:dyDescent="0.25">
      <c r="A45" s="109" t="s">
        <v>45</v>
      </c>
      <c r="B45" s="108">
        <f t="shared" si="1"/>
        <v>12</v>
      </c>
      <c r="C45" s="110" t="s">
        <v>141</v>
      </c>
      <c r="D45" s="113"/>
      <c r="E45" s="216"/>
      <c r="F45" s="245">
        <f t="shared" si="2"/>
        <v>0</v>
      </c>
      <c r="G45" s="260"/>
      <c r="H45" s="260"/>
      <c r="I45" s="260"/>
      <c r="J45" s="260"/>
      <c r="K45" s="112"/>
    </row>
    <row r="46" spans="1:11" x14ac:dyDescent="0.25">
      <c r="A46" s="109" t="s">
        <v>621</v>
      </c>
      <c r="B46" s="108">
        <f t="shared" si="1"/>
        <v>13</v>
      </c>
      <c r="C46" s="110" t="s">
        <v>142</v>
      </c>
      <c r="D46" s="113"/>
      <c r="E46" s="216"/>
      <c r="F46" s="245">
        <f t="shared" si="2"/>
        <v>0</v>
      </c>
      <c r="G46" s="260"/>
      <c r="H46" s="260"/>
      <c r="I46" s="260"/>
      <c r="J46" s="260"/>
      <c r="K46" s="112"/>
    </row>
    <row r="47" spans="1:11" x14ac:dyDescent="0.25">
      <c r="A47" s="114" t="s">
        <v>93</v>
      </c>
      <c r="B47" s="108">
        <f t="shared" si="1"/>
        <v>14</v>
      </c>
      <c r="C47" s="110" t="s">
        <v>143</v>
      </c>
      <c r="D47" s="113"/>
      <c r="E47" s="216"/>
      <c r="F47" s="560">
        <f t="shared" si="2"/>
        <v>3960</v>
      </c>
      <c r="G47" s="559">
        <v>990</v>
      </c>
      <c r="H47" s="559">
        <v>990</v>
      </c>
      <c r="I47" s="559">
        <v>990</v>
      </c>
      <c r="J47" s="559">
        <v>990</v>
      </c>
      <c r="K47" s="112"/>
    </row>
    <row r="48" spans="1:11" x14ac:dyDescent="0.25">
      <c r="A48" s="115" t="s">
        <v>144</v>
      </c>
      <c r="B48" s="108">
        <f t="shared" si="1"/>
        <v>15</v>
      </c>
      <c r="C48" s="116" t="s">
        <v>145</v>
      </c>
      <c r="D48" s="136"/>
      <c r="E48" s="240"/>
      <c r="F48" s="245">
        <f t="shared" si="2"/>
        <v>0</v>
      </c>
      <c r="G48" s="261"/>
      <c r="H48" s="261"/>
      <c r="I48" s="261"/>
      <c r="J48" s="261"/>
      <c r="K48" s="118"/>
    </row>
    <row r="49" spans="1:11" ht="38.25" x14ac:dyDescent="0.25">
      <c r="A49" s="132" t="s">
        <v>622</v>
      </c>
      <c r="B49" s="108">
        <f t="shared" si="1"/>
        <v>16</v>
      </c>
      <c r="C49" s="119" t="s">
        <v>146</v>
      </c>
      <c r="D49" s="113"/>
      <c r="E49" s="216"/>
      <c r="F49" s="245">
        <f t="shared" si="2"/>
        <v>0</v>
      </c>
      <c r="G49" s="260"/>
      <c r="H49" s="260"/>
      <c r="I49" s="260"/>
      <c r="J49" s="260"/>
      <c r="K49" s="112"/>
    </row>
    <row r="50" spans="1:11" ht="27" x14ac:dyDescent="0.25">
      <c r="A50" s="109" t="s">
        <v>147</v>
      </c>
      <c r="B50" s="120">
        <f t="shared" si="1"/>
        <v>17</v>
      </c>
      <c r="C50" s="110" t="s">
        <v>148</v>
      </c>
      <c r="D50" s="113"/>
      <c r="E50" s="216"/>
      <c r="F50" s="245">
        <f t="shared" si="2"/>
        <v>0</v>
      </c>
      <c r="G50" s="260"/>
      <c r="H50" s="260"/>
      <c r="I50" s="260"/>
      <c r="J50" s="260"/>
      <c r="K50" s="112"/>
    </row>
    <row r="51" spans="1:11" x14ac:dyDescent="0.25">
      <c r="A51" s="111" t="s">
        <v>623</v>
      </c>
      <c r="B51" s="108">
        <v>18</v>
      </c>
      <c r="C51" s="105">
        <v>1070</v>
      </c>
      <c r="D51" s="121"/>
      <c r="E51" s="239"/>
      <c r="F51" s="245">
        <v>0</v>
      </c>
      <c r="G51" s="239"/>
      <c r="H51" s="239"/>
      <c r="I51" s="239"/>
      <c r="J51" s="239"/>
      <c r="K51" s="106"/>
    </row>
    <row r="52" spans="1:11" ht="15.75" thickBot="1" x14ac:dyDescent="0.3">
      <c r="A52" s="107" t="s">
        <v>624</v>
      </c>
      <c r="B52" s="122">
        <v>19</v>
      </c>
      <c r="C52" s="266">
        <v>1080</v>
      </c>
      <c r="D52" s="123"/>
      <c r="E52" s="241"/>
      <c r="F52" s="314">
        <v>554.4</v>
      </c>
      <c r="G52" s="241"/>
      <c r="H52" s="241"/>
      <c r="I52" s="241"/>
      <c r="J52" s="241"/>
      <c r="K52" s="124"/>
    </row>
    <row r="53" spans="1:11" ht="15.75" thickBot="1" x14ac:dyDescent="0.3">
      <c r="A53" s="125" t="s">
        <v>107</v>
      </c>
      <c r="B53" s="126">
        <v>20</v>
      </c>
      <c r="C53" s="94">
        <v>1100</v>
      </c>
      <c r="D53" s="96"/>
      <c r="E53" s="96"/>
      <c r="F53" s="127">
        <f t="shared" si="2"/>
        <v>148122.63</v>
      </c>
      <c r="G53" s="96">
        <f>G54+G69+G107+G96</f>
        <v>38165.300000000003</v>
      </c>
      <c r="H53" s="96">
        <f>H54+H69+H107+H96</f>
        <v>39796.1</v>
      </c>
      <c r="I53" s="96">
        <f>I54+I69+I107+I96</f>
        <v>33384.399999999994</v>
      </c>
      <c r="J53" s="96">
        <f>J54+J69+J107+J96</f>
        <v>36776.83</v>
      </c>
      <c r="K53" s="97"/>
    </row>
    <row r="54" spans="1:11" ht="15.75" thickBot="1" x14ac:dyDescent="0.3">
      <c r="A54" s="232" t="s">
        <v>220</v>
      </c>
      <c r="B54" s="126">
        <f t="shared" si="1"/>
        <v>21</v>
      </c>
      <c r="C54" s="94">
        <v>1110</v>
      </c>
      <c r="D54" s="96"/>
      <c r="E54" s="133"/>
      <c r="F54" s="127">
        <f t="shared" ref="F54:J54" si="8">SUM(F55:F64)</f>
        <v>0</v>
      </c>
      <c r="G54" s="97">
        <f t="shared" si="8"/>
        <v>0</v>
      </c>
      <c r="H54" s="96">
        <f t="shared" si="8"/>
        <v>0</v>
      </c>
      <c r="I54" s="96">
        <f t="shared" si="8"/>
        <v>0</v>
      </c>
      <c r="J54" s="96">
        <f t="shared" si="8"/>
        <v>0</v>
      </c>
      <c r="K54" s="96"/>
    </row>
    <row r="55" spans="1:11" x14ac:dyDescent="0.25">
      <c r="A55" s="107" t="s">
        <v>90</v>
      </c>
      <c r="B55" s="104">
        <f t="shared" si="1"/>
        <v>22</v>
      </c>
      <c r="C55" s="105" t="s">
        <v>110</v>
      </c>
      <c r="D55" s="121"/>
      <c r="E55" s="242"/>
      <c r="F55" s="222">
        <f t="shared" si="2"/>
        <v>0</v>
      </c>
      <c r="G55" s="239"/>
      <c r="H55" s="239"/>
      <c r="I55" s="239"/>
      <c r="J55" s="239"/>
      <c r="K55" s="121"/>
    </row>
    <row r="56" spans="1:11" x14ac:dyDescent="0.25">
      <c r="A56" s="111" t="s">
        <v>91</v>
      </c>
      <c r="B56" s="108">
        <f t="shared" si="1"/>
        <v>23</v>
      </c>
      <c r="C56" s="105" t="s">
        <v>111</v>
      </c>
      <c r="D56" s="113"/>
      <c r="E56" s="243"/>
      <c r="F56" s="215">
        <f>SUM(G56:J56)</f>
        <v>0</v>
      </c>
      <c r="G56" s="216"/>
      <c r="H56" s="216"/>
      <c r="I56" s="216"/>
      <c r="J56" s="216"/>
      <c r="K56" s="113"/>
    </row>
    <row r="57" spans="1:11" x14ac:dyDescent="0.25">
      <c r="A57" s="111" t="s">
        <v>149</v>
      </c>
      <c r="B57" s="108">
        <f t="shared" si="1"/>
        <v>24</v>
      </c>
      <c r="C57" s="105" t="s">
        <v>153</v>
      </c>
      <c r="D57" s="113"/>
      <c r="E57" s="243"/>
      <c r="F57" s="129">
        <f t="shared" si="2"/>
        <v>0</v>
      </c>
      <c r="G57" s="113"/>
      <c r="H57" s="113"/>
      <c r="I57" s="113"/>
      <c r="J57" s="113"/>
      <c r="K57" s="113"/>
    </row>
    <row r="58" spans="1:11" x14ac:dyDescent="0.25">
      <c r="A58" s="111" t="s">
        <v>46</v>
      </c>
      <c r="B58" s="108">
        <f t="shared" si="1"/>
        <v>25</v>
      </c>
      <c r="C58" s="105" t="s">
        <v>154</v>
      </c>
      <c r="D58" s="113"/>
      <c r="E58" s="243"/>
      <c r="F58" s="129">
        <f t="shared" si="2"/>
        <v>0</v>
      </c>
      <c r="G58" s="113"/>
      <c r="H58" s="113"/>
      <c r="I58" s="113"/>
      <c r="J58" s="113"/>
      <c r="K58" s="113"/>
    </row>
    <row r="59" spans="1:11" x14ac:dyDescent="0.25">
      <c r="A59" s="111" t="s">
        <v>47</v>
      </c>
      <c r="B59" s="108">
        <f t="shared" si="1"/>
        <v>26</v>
      </c>
      <c r="C59" s="105" t="s">
        <v>155</v>
      </c>
      <c r="D59" s="207"/>
      <c r="E59" s="244"/>
      <c r="F59" s="129">
        <f t="shared" si="2"/>
        <v>0</v>
      </c>
      <c r="G59" s="113"/>
      <c r="H59" s="113"/>
      <c r="I59" s="113"/>
      <c r="J59" s="113"/>
      <c r="K59" s="113"/>
    </row>
    <row r="60" spans="1:11" x14ac:dyDescent="0.25">
      <c r="A60" s="111" t="s">
        <v>150</v>
      </c>
      <c r="B60" s="108">
        <f t="shared" si="1"/>
        <v>27</v>
      </c>
      <c r="C60" s="105" t="s">
        <v>156</v>
      </c>
      <c r="D60" s="207"/>
      <c r="E60" s="244"/>
      <c r="F60" s="129">
        <f t="shared" si="2"/>
        <v>0</v>
      </c>
      <c r="G60" s="113"/>
      <c r="H60" s="113"/>
      <c r="I60" s="113"/>
      <c r="J60" s="113"/>
      <c r="K60" s="113"/>
    </row>
    <row r="61" spans="1:11" x14ac:dyDescent="0.25">
      <c r="A61" s="111" t="s">
        <v>101</v>
      </c>
      <c r="B61" s="108">
        <f t="shared" si="1"/>
        <v>28</v>
      </c>
      <c r="C61" s="105" t="s">
        <v>157</v>
      </c>
      <c r="D61" s="207"/>
      <c r="E61" s="243"/>
      <c r="F61" s="129">
        <f t="shared" si="2"/>
        <v>0</v>
      </c>
      <c r="G61" s="113"/>
      <c r="H61" s="113"/>
      <c r="I61" s="113"/>
      <c r="J61" s="113"/>
      <c r="K61" s="113"/>
    </row>
    <row r="62" spans="1:11" x14ac:dyDescent="0.25">
      <c r="A62" s="111" t="s">
        <v>102</v>
      </c>
      <c r="B62" s="108">
        <f t="shared" si="1"/>
        <v>29</v>
      </c>
      <c r="C62" s="105" t="s">
        <v>158</v>
      </c>
      <c r="D62" s="207"/>
      <c r="E62" s="243"/>
      <c r="F62" s="129">
        <f t="shared" si="2"/>
        <v>0</v>
      </c>
      <c r="G62" s="113"/>
      <c r="H62" s="113"/>
      <c r="I62" s="113"/>
      <c r="J62" s="113"/>
      <c r="K62" s="113"/>
    </row>
    <row r="63" spans="1:11" x14ac:dyDescent="0.25">
      <c r="A63" s="111" t="s">
        <v>48</v>
      </c>
      <c r="B63" s="108">
        <f t="shared" si="1"/>
        <v>30</v>
      </c>
      <c r="C63" s="105" t="s">
        <v>159</v>
      </c>
      <c r="D63" s="207"/>
      <c r="E63" s="243"/>
      <c r="F63" s="129">
        <f t="shared" si="2"/>
        <v>0</v>
      </c>
      <c r="G63" s="113"/>
      <c r="H63" s="113"/>
      <c r="I63" s="113"/>
      <c r="J63" s="113"/>
      <c r="K63" s="113"/>
    </row>
    <row r="64" spans="1:11" x14ac:dyDescent="0.25">
      <c r="A64" s="111" t="s">
        <v>151</v>
      </c>
      <c r="B64" s="108">
        <f t="shared" si="1"/>
        <v>31</v>
      </c>
      <c r="C64" s="105" t="s">
        <v>160</v>
      </c>
      <c r="D64" s="207"/>
      <c r="E64" s="243"/>
      <c r="F64" s="129">
        <f t="shared" si="2"/>
        <v>0</v>
      </c>
      <c r="G64" s="113"/>
      <c r="H64" s="113"/>
      <c r="I64" s="113"/>
      <c r="J64" s="113"/>
      <c r="K64" s="113"/>
    </row>
    <row r="65" spans="1:15" x14ac:dyDescent="0.25">
      <c r="A65" s="111" t="s">
        <v>625</v>
      </c>
      <c r="B65" s="108">
        <v>32</v>
      </c>
      <c r="C65" s="105" t="s">
        <v>626</v>
      </c>
      <c r="D65" s="207"/>
      <c r="E65" s="243"/>
      <c r="F65" s="129"/>
      <c r="G65" s="113"/>
      <c r="H65" s="113"/>
      <c r="I65" s="113"/>
      <c r="J65" s="113"/>
      <c r="K65" s="113"/>
    </row>
    <row r="66" spans="1:15" x14ac:dyDescent="0.25">
      <c r="A66" s="137" t="s">
        <v>103</v>
      </c>
      <c r="B66" s="108">
        <v>33</v>
      </c>
      <c r="C66" s="130" t="s">
        <v>627</v>
      </c>
      <c r="D66" s="208"/>
      <c r="E66" s="239"/>
      <c r="F66" s="214">
        <f t="shared" ref="F66:F68" si="9">G66+H66+I66+J66</f>
        <v>0</v>
      </c>
      <c r="G66" s="106"/>
      <c r="H66" s="121"/>
      <c r="I66" s="121"/>
      <c r="J66" s="121"/>
      <c r="K66" s="121"/>
    </row>
    <row r="67" spans="1:15" x14ac:dyDescent="0.25">
      <c r="A67" s="132" t="s">
        <v>104</v>
      </c>
      <c r="B67" s="108">
        <v>34</v>
      </c>
      <c r="C67" s="131" t="s">
        <v>628</v>
      </c>
      <c r="D67" s="207"/>
      <c r="E67" s="216"/>
      <c r="F67" s="129">
        <f t="shared" si="9"/>
        <v>0</v>
      </c>
      <c r="G67" s="112"/>
      <c r="H67" s="113"/>
      <c r="I67" s="113"/>
      <c r="J67" s="113"/>
      <c r="K67" s="113"/>
    </row>
    <row r="68" spans="1:15" ht="15.75" thickBot="1" x14ac:dyDescent="0.3">
      <c r="A68" s="132" t="s">
        <v>105</v>
      </c>
      <c r="B68" s="122">
        <v>35</v>
      </c>
      <c r="C68" s="131" t="s">
        <v>629</v>
      </c>
      <c r="D68" s="207"/>
      <c r="E68" s="216"/>
      <c r="F68" s="129">
        <f t="shared" si="9"/>
        <v>0</v>
      </c>
      <c r="G68" s="112"/>
      <c r="H68" s="113"/>
      <c r="I68" s="113"/>
      <c r="J68" s="113"/>
      <c r="K68" s="113"/>
    </row>
    <row r="69" spans="1:15" ht="15.75" thickBot="1" x14ac:dyDescent="0.3">
      <c r="A69" s="125" t="s">
        <v>630</v>
      </c>
      <c r="B69" s="126">
        <v>36</v>
      </c>
      <c r="C69" s="94">
        <v>1120</v>
      </c>
      <c r="D69" s="96"/>
      <c r="E69" s="133"/>
      <c r="F69" s="127">
        <f t="shared" si="2"/>
        <v>112147.83</v>
      </c>
      <c r="G69" s="97">
        <f>SUM(G70:G72,G78:G80,G91:G95)</f>
        <v>28081.5</v>
      </c>
      <c r="H69" s="96">
        <f>SUM(H70:H72,H78:H80,H91:H95)</f>
        <v>28081.5</v>
      </c>
      <c r="I69" s="96">
        <f>SUM(I70:I72,I78:I80,I91:I95)</f>
        <v>28081.599999999999</v>
      </c>
      <c r="J69" s="96">
        <f>SUM(J70:J71,J72,J78:J80,J91:J95)</f>
        <v>27903.23</v>
      </c>
      <c r="K69" s="96"/>
    </row>
    <row r="70" spans="1:15" x14ac:dyDescent="0.25">
      <c r="A70" s="107" t="s">
        <v>90</v>
      </c>
      <c r="B70" s="104">
        <f t="shared" si="1"/>
        <v>37</v>
      </c>
      <c r="C70" s="105" t="s">
        <v>631</v>
      </c>
      <c r="D70" s="121"/>
      <c r="E70" s="242"/>
      <c r="F70" s="222">
        <f t="shared" si="2"/>
        <v>91924.7</v>
      </c>
      <c r="G70" s="239">
        <v>23017.7</v>
      </c>
      <c r="H70" s="239">
        <v>23017.7</v>
      </c>
      <c r="I70" s="239">
        <v>23017.8</v>
      </c>
      <c r="J70" s="239">
        <v>22871.5</v>
      </c>
      <c r="K70" s="239"/>
      <c r="L70" s="257"/>
      <c r="M70" s="257"/>
      <c r="N70" s="257"/>
      <c r="O70" s="257"/>
    </row>
    <row r="71" spans="1:15" x14ac:dyDescent="0.25">
      <c r="A71" s="111" t="s">
        <v>91</v>
      </c>
      <c r="B71" s="108">
        <f t="shared" si="1"/>
        <v>38</v>
      </c>
      <c r="C71" s="105" t="s">
        <v>632</v>
      </c>
      <c r="D71" s="113"/>
      <c r="E71" s="243"/>
      <c r="F71" s="215">
        <f t="shared" si="2"/>
        <v>20223.13</v>
      </c>
      <c r="G71" s="216">
        <v>5063.8</v>
      </c>
      <c r="H71" s="216">
        <v>5063.8</v>
      </c>
      <c r="I71" s="216">
        <v>5063.8</v>
      </c>
      <c r="J71" s="216">
        <v>5031.7299999999996</v>
      </c>
      <c r="K71" s="216"/>
      <c r="L71" s="257"/>
      <c r="M71" s="257"/>
      <c r="N71" s="257"/>
    </row>
    <row r="72" spans="1:15" x14ac:dyDescent="0.25">
      <c r="A72" s="111" t="s">
        <v>149</v>
      </c>
      <c r="B72" s="108">
        <f t="shared" si="1"/>
        <v>39</v>
      </c>
      <c r="C72" s="105" t="s">
        <v>633</v>
      </c>
      <c r="D72" s="113"/>
      <c r="E72" s="243"/>
      <c r="F72" s="215">
        <f t="shared" si="2"/>
        <v>0</v>
      </c>
      <c r="G72" s="216">
        <f>SUM(G73:G77)</f>
        <v>0</v>
      </c>
      <c r="H72" s="216">
        <f>SUM(H73:H77)</f>
        <v>0</v>
      </c>
      <c r="I72" s="216">
        <f>SUM(I73:I77)</f>
        <v>0</v>
      </c>
      <c r="J72" s="216">
        <f>SUM(J73:J77)</f>
        <v>0</v>
      </c>
      <c r="K72" s="216"/>
      <c r="L72" s="257"/>
      <c r="M72" s="257"/>
      <c r="N72" s="257"/>
    </row>
    <row r="73" spans="1:15" x14ac:dyDescent="0.25">
      <c r="A73" s="132" t="s">
        <v>119</v>
      </c>
      <c r="B73" s="108">
        <f t="shared" si="1"/>
        <v>40</v>
      </c>
      <c r="C73" s="130" t="s">
        <v>634</v>
      </c>
      <c r="D73" s="113"/>
      <c r="E73" s="243"/>
      <c r="F73" s="270">
        <f t="shared" si="2"/>
        <v>0</v>
      </c>
      <c r="G73" s="271"/>
      <c r="H73" s="271"/>
      <c r="I73" s="271"/>
      <c r="J73" s="271"/>
      <c r="K73" s="113"/>
    </row>
    <row r="74" spans="1:15" x14ac:dyDescent="0.25">
      <c r="A74" s="132" t="s">
        <v>99</v>
      </c>
      <c r="B74" s="108">
        <f t="shared" si="1"/>
        <v>41</v>
      </c>
      <c r="C74" s="130" t="s">
        <v>635</v>
      </c>
      <c r="D74" s="113"/>
      <c r="E74" s="243"/>
      <c r="F74" s="270">
        <f t="shared" si="2"/>
        <v>0</v>
      </c>
      <c r="G74" s="271"/>
      <c r="H74" s="271"/>
      <c r="I74" s="271"/>
      <c r="J74" s="271"/>
      <c r="K74" s="113"/>
    </row>
    <row r="75" spans="1:15" x14ac:dyDescent="0.25">
      <c r="A75" s="132" t="s">
        <v>94</v>
      </c>
      <c r="B75" s="108">
        <f t="shared" si="1"/>
        <v>42</v>
      </c>
      <c r="C75" s="130" t="s">
        <v>636</v>
      </c>
      <c r="D75" s="113"/>
      <c r="E75" s="243"/>
      <c r="F75" s="270">
        <f t="shared" si="2"/>
        <v>0</v>
      </c>
      <c r="G75" s="271"/>
      <c r="H75" s="271"/>
      <c r="I75" s="271"/>
      <c r="J75" s="271"/>
      <c r="K75" s="113"/>
    </row>
    <row r="76" spans="1:15" x14ac:dyDescent="0.25">
      <c r="A76" s="132" t="s">
        <v>116</v>
      </c>
      <c r="B76" s="108">
        <f t="shared" si="1"/>
        <v>43</v>
      </c>
      <c r="C76" s="130" t="s">
        <v>637</v>
      </c>
      <c r="D76" s="113"/>
      <c r="E76" s="243"/>
      <c r="F76" s="270">
        <f t="shared" si="2"/>
        <v>0</v>
      </c>
      <c r="G76" s="271"/>
      <c r="H76" s="271"/>
      <c r="I76" s="271"/>
      <c r="J76" s="271"/>
      <c r="K76" s="113"/>
    </row>
    <row r="77" spans="1:15" x14ac:dyDescent="0.25">
      <c r="A77" s="132" t="s">
        <v>117</v>
      </c>
      <c r="B77" s="108">
        <f t="shared" si="1"/>
        <v>44</v>
      </c>
      <c r="C77" s="130" t="s">
        <v>638</v>
      </c>
      <c r="D77" s="113"/>
      <c r="E77" s="243"/>
      <c r="F77" s="270">
        <f t="shared" si="2"/>
        <v>0</v>
      </c>
      <c r="G77" s="271"/>
      <c r="H77" s="271"/>
      <c r="I77" s="271"/>
      <c r="J77" s="271"/>
      <c r="K77" s="113"/>
    </row>
    <row r="78" spans="1:15" x14ac:dyDescent="0.25">
      <c r="A78" s="111" t="s">
        <v>46</v>
      </c>
      <c r="B78" s="108">
        <f t="shared" si="1"/>
        <v>45</v>
      </c>
      <c r="C78" s="105" t="s">
        <v>639</v>
      </c>
      <c r="D78" s="113"/>
      <c r="E78" s="243"/>
      <c r="F78" s="215">
        <f t="shared" si="2"/>
        <v>0</v>
      </c>
      <c r="G78" s="216"/>
      <c r="H78" s="216"/>
      <c r="I78" s="216"/>
      <c r="J78" s="216"/>
      <c r="K78" s="113"/>
    </row>
    <row r="79" spans="1:15" x14ac:dyDescent="0.25">
      <c r="A79" s="111" t="s">
        <v>47</v>
      </c>
      <c r="B79" s="108">
        <f t="shared" si="1"/>
        <v>46</v>
      </c>
      <c r="C79" s="105" t="s">
        <v>640</v>
      </c>
      <c r="D79" s="207"/>
      <c r="E79" s="244"/>
      <c r="F79" s="215">
        <f t="shared" si="2"/>
        <v>0</v>
      </c>
      <c r="G79" s="216"/>
      <c r="H79" s="216"/>
      <c r="I79" s="216"/>
      <c r="J79" s="216"/>
      <c r="K79" s="113"/>
    </row>
    <row r="80" spans="1:15" x14ac:dyDescent="0.25">
      <c r="A80" s="111" t="s">
        <v>150</v>
      </c>
      <c r="B80" s="108">
        <f t="shared" si="1"/>
        <v>47</v>
      </c>
      <c r="C80" s="105" t="s">
        <v>641</v>
      </c>
      <c r="D80" s="207"/>
      <c r="E80" s="244"/>
      <c r="F80" s="215">
        <f t="shared" si="2"/>
        <v>0</v>
      </c>
      <c r="G80" s="216">
        <f>SUM(G81:G90)</f>
        <v>0</v>
      </c>
      <c r="H80" s="216">
        <f>SUM(H81:H90)</f>
        <v>0</v>
      </c>
      <c r="I80" s="216">
        <f>SUM(I81:I90)</f>
        <v>0</v>
      </c>
      <c r="J80" s="216">
        <f>SUM(J81:J90)</f>
        <v>0</v>
      </c>
      <c r="K80" s="113"/>
    </row>
    <row r="81" spans="1:11" x14ac:dyDescent="0.25">
      <c r="A81" s="132" t="s">
        <v>120</v>
      </c>
      <c r="B81" s="108">
        <f t="shared" si="1"/>
        <v>48</v>
      </c>
      <c r="C81" s="130" t="s">
        <v>642</v>
      </c>
      <c r="D81" s="207"/>
      <c r="E81" s="244"/>
      <c r="F81" s="270">
        <f t="shared" si="2"/>
        <v>0</v>
      </c>
      <c r="G81" s="271"/>
      <c r="H81" s="216"/>
      <c r="I81" s="216"/>
      <c r="J81" s="216"/>
      <c r="K81" s="113"/>
    </row>
    <row r="82" spans="1:11" x14ac:dyDescent="0.25">
      <c r="A82" s="132" t="s">
        <v>122</v>
      </c>
      <c r="B82" s="108">
        <f t="shared" si="1"/>
        <v>49</v>
      </c>
      <c r="C82" s="130" t="s">
        <v>643</v>
      </c>
      <c r="D82" s="207"/>
      <c r="E82" s="244"/>
      <c r="F82" s="270">
        <f t="shared" si="2"/>
        <v>0</v>
      </c>
      <c r="G82" s="271"/>
      <c r="H82" s="113"/>
      <c r="I82" s="113"/>
      <c r="J82" s="113"/>
      <c r="K82" s="113"/>
    </row>
    <row r="83" spans="1:11" x14ac:dyDescent="0.25">
      <c r="A83" s="132" t="s">
        <v>121</v>
      </c>
      <c r="B83" s="108">
        <f t="shared" si="1"/>
        <v>50</v>
      </c>
      <c r="C83" s="130" t="s">
        <v>644</v>
      </c>
      <c r="D83" s="207"/>
      <c r="E83" s="244"/>
      <c r="F83" s="270">
        <f t="shared" si="2"/>
        <v>0</v>
      </c>
      <c r="G83" s="271"/>
      <c r="H83" s="113"/>
      <c r="I83" s="113"/>
      <c r="J83" s="113"/>
      <c r="K83" s="113"/>
    </row>
    <row r="84" spans="1:11" x14ac:dyDescent="0.25">
      <c r="A84" s="132" t="s">
        <v>95</v>
      </c>
      <c r="B84" s="108">
        <f t="shared" si="1"/>
        <v>51</v>
      </c>
      <c r="C84" s="130" t="s">
        <v>645</v>
      </c>
      <c r="D84" s="207"/>
      <c r="E84" s="244"/>
      <c r="F84" s="270">
        <f t="shared" si="2"/>
        <v>0</v>
      </c>
      <c r="G84" s="271"/>
      <c r="H84" s="113"/>
      <c r="I84" s="113"/>
      <c r="J84" s="113"/>
      <c r="K84" s="113"/>
    </row>
    <row r="85" spans="1:11" x14ac:dyDescent="0.25">
      <c r="A85" s="132" t="s">
        <v>96</v>
      </c>
      <c r="B85" s="108">
        <f t="shared" si="1"/>
        <v>52</v>
      </c>
      <c r="C85" s="130" t="s">
        <v>646</v>
      </c>
      <c r="D85" s="207"/>
      <c r="E85" s="244"/>
      <c r="F85" s="270">
        <f t="shared" si="2"/>
        <v>0</v>
      </c>
      <c r="G85" s="271"/>
      <c r="H85" s="113"/>
      <c r="I85" s="113"/>
      <c r="J85" s="113"/>
      <c r="K85" s="113"/>
    </row>
    <row r="86" spans="1:11" ht="25.5" x14ac:dyDescent="0.25">
      <c r="A86" s="132" t="s">
        <v>108</v>
      </c>
      <c r="B86" s="233">
        <f t="shared" si="1"/>
        <v>53</v>
      </c>
      <c r="C86" s="234" t="s">
        <v>647</v>
      </c>
      <c r="D86" s="207"/>
      <c r="E86" s="244"/>
      <c r="F86" s="270">
        <f t="shared" si="2"/>
        <v>0</v>
      </c>
      <c r="G86" s="271"/>
      <c r="H86" s="113"/>
      <c r="I86" s="113"/>
      <c r="J86" s="113"/>
      <c r="K86" s="113"/>
    </row>
    <row r="87" spans="1:11" x14ac:dyDescent="0.25">
      <c r="A87" s="132" t="s">
        <v>97</v>
      </c>
      <c r="B87" s="108">
        <f t="shared" si="1"/>
        <v>54</v>
      </c>
      <c r="C87" s="130" t="s">
        <v>648</v>
      </c>
      <c r="D87" s="207"/>
      <c r="E87" s="244"/>
      <c r="F87" s="270">
        <f t="shared" si="2"/>
        <v>0</v>
      </c>
      <c r="G87" s="271"/>
      <c r="H87" s="113"/>
      <c r="I87" s="113"/>
      <c r="J87" s="113"/>
      <c r="K87" s="113"/>
    </row>
    <row r="88" spans="1:11" x14ac:dyDescent="0.25">
      <c r="A88" s="132" t="s">
        <v>98</v>
      </c>
      <c r="B88" s="108">
        <f t="shared" si="1"/>
        <v>55</v>
      </c>
      <c r="C88" s="130" t="s">
        <v>649</v>
      </c>
      <c r="D88" s="207"/>
      <c r="E88" s="244"/>
      <c r="F88" s="270">
        <f t="shared" si="2"/>
        <v>0</v>
      </c>
      <c r="G88" s="271"/>
      <c r="H88" s="113"/>
      <c r="I88" s="113"/>
      <c r="J88" s="113"/>
      <c r="K88" s="113"/>
    </row>
    <row r="89" spans="1:11" x14ac:dyDescent="0.25">
      <c r="A89" s="132" t="s">
        <v>100</v>
      </c>
      <c r="B89" s="108">
        <f t="shared" si="1"/>
        <v>56</v>
      </c>
      <c r="C89" s="130" t="s">
        <v>650</v>
      </c>
      <c r="D89" s="207"/>
      <c r="E89" s="244"/>
      <c r="F89" s="270">
        <f t="shared" si="2"/>
        <v>0</v>
      </c>
      <c r="G89" s="271"/>
      <c r="H89" s="113"/>
      <c r="I89" s="113"/>
      <c r="J89" s="113"/>
      <c r="K89" s="113"/>
    </row>
    <row r="90" spans="1:11" x14ac:dyDescent="0.25">
      <c r="A90" s="132" t="s">
        <v>117</v>
      </c>
      <c r="B90" s="108">
        <f t="shared" si="1"/>
        <v>57</v>
      </c>
      <c r="C90" s="130" t="s">
        <v>651</v>
      </c>
      <c r="D90" s="207"/>
      <c r="E90" s="244"/>
      <c r="F90" s="270">
        <f t="shared" si="2"/>
        <v>0</v>
      </c>
      <c r="G90" s="271"/>
      <c r="H90" s="113"/>
      <c r="I90" s="113"/>
      <c r="J90" s="113"/>
      <c r="K90" s="113"/>
    </row>
    <row r="91" spans="1:11" x14ac:dyDescent="0.25">
      <c r="A91" s="111" t="s">
        <v>101</v>
      </c>
      <c r="B91" s="108">
        <f t="shared" si="1"/>
        <v>58</v>
      </c>
      <c r="C91" s="105" t="s">
        <v>652</v>
      </c>
      <c r="D91" s="207"/>
      <c r="E91" s="243"/>
      <c r="F91" s="215">
        <f t="shared" si="2"/>
        <v>0</v>
      </c>
      <c r="G91" s="216"/>
      <c r="H91" s="113"/>
      <c r="I91" s="113"/>
      <c r="J91" s="113"/>
      <c r="K91" s="113"/>
    </row>
    <row r="92" spans="1:11" x14ac:dyDescent="0.25">
      <c r="A92" s="111" t="s">
        <v>102</v>
      </c>
      <c r="B92" s="108">
        <f t="shared" si="1"/>
        <v>59</v>
      </c>
      <c r="C92" s="105" t="s">
        <v>653</v>
      </c>
      <c r="D92" s="207"/>
      <c r="E92" s="243"/>
      <c r="F92" s="215">
        <f t="shared" si="2"/>
        <v>0</v>
      </c>
      <c r="G92" s="216"/>
      <c r="H92" s="113"/>
      <c r="I92" s="113"/>
      <c r="J92" s="113"/>
      <c r="K92" s="113"/>
    </row>
    <row r="93" spans="1:11" x14ac:dyDescent="0.25">
      <c r="A93" s="111" t="s">
        <v>48</v>
      </c>
      <c r="B93" s="108">
        <f t="shared" si="1"/>
        <v>60</v>
      </c>
      <c r="C93" s="105" t="s">
        <v>654</v>
      </c>
      <c r="D93" s="207"/>
      <c r="E93" s="243"/>
      <c r="F93" s="215">
        <f t="shared" si="2"/>
        <v>0</v>
      </c>
      <c r="G93" s="216"/>
      <c r="H93" s="113"/>
      <c r="I93" s="113"/>
      <c r="J93" s="113"/>
      <c r="K93" s="113"/>
    </row>
    <row r="94" spans="1:11" x14ac:dyDescent="0.25">
      <c r="A94" s="111" t="s">
        <v>151</v>
      </c>
      <c r="B94" s="108">
        <f t="shared" si="1"/>
        <v>61</v>
      </c>
      <c r="C94" s="105" t="s">
        <v>655</v>
      </c>
      <c r="D94" s="207"/>
      <c r="E94" s="243"/>
      <c r="F94" s="215">
        <f t="shared" si="2"/>
        <v>0</v>
      </c>
      <c r="G94" s="216"/>
      <c r="H94" s="113"/>
      <c r="I94" s="113"/>
      <c r="J94" s="113"/>
      <c r="K94" s="113"/>
    </row>
    <row r="95" spans="1:11" ht="15.75" thickBot="1" x14ac:dyDescent="0.3">
      <c r="A95" s="111" t="s">
        <v>152</v>
      </c>
      <c r="B95" s="108">
        <f t="shared" si="1"/>
        <v>62</v>
      </c>
      <c r="C95" s="105" t="s">
        <v>656</v>
      </c>
      <c r="D95" s="207"/>
      <c r="E95" s="243"/>
      <c r="F95" s="215">
        <f>G95+H95+I95+J95</f>
        <v>0</v>
      </c>
      <c r="G95" s="216"/>
      <c r="H95" s="113"/>
      <c r="I95" s="113"/>
      <c r="J95" s="113"/>
      <c r="K95" s="113"/>
    </row>
    <row r="96" spans="1:11" ht="15.75" thickBot="1" x14ac:dyDescent="0.3">
      <c r="A96" s="125" t="s">
        <v>106</v>
      </c>
      <c r="B96" s="126">
        <f>B95+1</f>
        <v>63</v>
      </c>
      <c r="C96" s="94">
        <v>1130</v>
      </c>
      <c r="D96" s="96"/>
      <c r="E96" s="133"/>
      <c r="F96" s="127">
        <f t="shared" si="2"/>
        <v>4060</v>
      </c>
      <c r="G96" s="97">
        <f>SUM(G97:G106)</f>
        <v>1015</v>
      </c>
      <c r="H96" s="96">
        <f>SUM(H97:H106)</f>
        <v>1015</v>
      </c>
      <c r="I96" s="96">
        <f>SUM(I97:I106)</f>
        <v>1015</v>
      </c>
      <c r="J96" s="96">
        <f>SUM(J97:J106)</f>
        <v>1015</v>
      </c>
      <c r="K96" s="96"/>
    </row>
    <row r="97" spans="1:21" x14ac:dyDescent="0.25">
      <c r="A97" s="107" t="s">
        <v>90</v>
      </c>
      <c r="B97" s="104">
        <f t="shared" si="1"/>
        <v>64</v>
      </c>
      <c r="C97" s="105" t="s">
        <v>163</v>
      </c>
      <c r="D97" s="121"/>
      <c r="E97" s="242"/>
      <c r="F97" s="222">
        <f t="shared" si="2"/>
        <v>190.7</v>
      </c>
      <c r="G97" s="239">
        <v>39.4</v>
      </c>
      <c r="H97" s="239">
        <v>39.4</v>
      </c>
      <c r="I97" s="239">
        <v>39.299999999999997</v>
      </c>
      <c r="J97" s="239">
        <v>72.599999999999994</v>
      </c>
      <c r="K97" s="121"/>
      <c r="L97" s="257"/>
      <c r="M97" s="257"/>
      <c r="N97" s="257"/>
      <c r="O97" s="257"/>
      <c r="P97" s="257"/>
      <c r="Q97" s="257"/>
      <c r="R97" s="257"/>
      <c r="S97" s="257"/>
      <c r="T97" s="257"/>
      <c r="U97" s="257"/>
    </row>
    <row r="98" spans="1:21" x14ac:dyDescent="0.25">
      <c r="A98" s="111" t="s">
        <v>91</v>
      </c>
      <c r="B98" s="108">
        <f t="shared" si="1"/>
        <v>65</v>
      </c>
      <c r="C98" s="105" t="s">
        <v>164</v>
      </c>
      <c r="D98" s="113"/>
      <c r="E98" s="243"/>
      <c r="F98" s="215">
        <f t="shared" si="2"/>
        <v>25.6</v>
      </c>
      <c r="G98" s="216">
        <v>6.4</v>
      </c>
      <c r="H98" s="216">
        <v>6.4</v>
      </c>
      <c r="I98" s="216">
        <v>6.4</v>
      </c>
      <c r="J98" s="216">
        <v>6.4</v>
      </c>
      <c r="K98" s="113"/>
      <c r="L98" s="257"/>
      <c r="M98" s="257"/>
      <c r="N98" s="257"/>
      <c r="O98" s="257"/>
      <c r="P98" s="257"/>
      <c r="Q98" s="257"/>
      <c r="R98" s="257"/>
      <c r="S98" s="257"/>
      <c r="T98" s="257"/>
      <c r="U98" s="257"/>
    </row>
    <row r="99" spans="1:21" x14ac:dyDescent="0.25">
      <c r="A99" s="111" t="s">
        <v>149</v>
      </c>
      <c r="B99" s="108">
        <f t="shared" si="1"/>
        <v>66</v>
      </c>
      <c r="C99" s="105" t="s">
        <v>165</v>
      </c>
      <c r="D99" s="113"/>
      <c r="E99" s="243"/>
      <c r="F99" s="215">
        <f t="shared" si="2"/>
        <v>894.7</v>
      </c>
      <c r="G99" s="216">
        <f>70+162</f>
        <v>232</v>
      </c>
      <c r="H99" s="216">
        <f t="shared" ref="H99:I99" si="10">70+162</f>
        <v>232</v>
      </c>
      <c r="I99" s="216">
        <f t="shared" si="10"/>
        <v>232</v>
      </c>
      <c r="J99" s="216">
        <f>42.3+156.4</f>
        <v>198.7</v>
      </c>
      <c r="K99" s="113" t="s">
        <v>792</v>
      </c>
      <c r="L99" s="257"/>
      <c r="M99" s="257"/>
      <c r="N99" s="257"/>
      <c r="O99" s="257"/>
      <c r="P99" s="257"/>
      <c r="Q99" s="257"/>
      <c r="R99" s="257"/>
      <c r="S99" s="257"/>
      <c r="T99" s="257"/>
      <c r="U99" s="257"/>
    </row>
    <row r="100" spans="1:21" x14ac:dyDescent="0.25">
      <c r="A100" s="111" t="s">
        <v>46</v>
      </c>
      <c r="B100" s="108">
        <f t="shared" ref="B100:B106" si="11">B99+1</f>
        <v>67</v>
      </c>
      <c r="C100" s="105" t="s">
        <v>166</v>
      </c>
      <c r="D100" s="113"/>
      <c r="E100" s="243"/>
      <c r="F100" s="215">
        <f t="shared" si="2"/>
        <v>1358</v>
      </c>
      <c r="G100" s="216">
        <v>339</v>
      </c>
      <c r="H100" s="216">
        <v>339</v>
      </c>
      <c r="I100" s="216">
        <v>340</v>
      </c>
      <c r="J100" s="216">
        <v>340</v>
      </c>
      <c r="K100" s="113" t="s">
        <v>795</v>
      </c>
      <c r="L100" s="333"/>
      <c r="M100" s="257"/>
      <c r="N100" s="257"/>
      <c r="O100" s="257"/>
      <c r="P100" s="257"/>
      <c r="Q100" s="257"/>
      <c r="R100" s="257"/>
      <c r="S100" s="257"/>
      <c r="T100" s="257"/>
      <c r="U100" s="257"/>
    </row>
    <row r="101" spans="1:21" x14ac:dyDescent="0.25">
      <c r="A101" s="111" t="s">
        <v>47</v>
      </c>
      <c r="B101" s="108">
        <f t="shared" si="11"/>
        <v>68</v>
      </c>
      <c r="C101" s="105" t="s">
        <v>167</v>
      </c>
      <c r="D101" s="207"/>
      <c r="E101" s="244"/>
      <c r="F101" s="215">
        <f t="shared" si="2"/>
        <v>0</v>
      </c>
      <c r="G101" s="216"/>
      <c r="H101" s="216"/>
      <c r="I101" s="216"/>
      <c r="J101" s="216"/>
      <c r="K101" s="113"/>
    </row>
    <row r="102" spans="1:21" x14ac:dyDescent="0.25">
      <c r="A102" s="111" t="s">
        <v>150</v>
      </c>
      <c r="B102" s="108">
        <f t="shared" si="11"/>
        <v>69</v>
      </c>
      <c r="C102" s="105" t="s">
        <v>168</v>
      </c>
      <c r="D102" s="207"/>
      <c r="E102" s="244"/>
      <c r="F102" s="215">
        <f t="shared" si="2"/>
        <v>1315</v>
      </c>
      <c r="G102" s="216">
        <f>113+216.2</f>
        <v>329.2</v>
      </c>
      <c r="H102" s="216">
        <f>113+216.2</f>
        <v>329.2</v>
      </c>
      <c r="I102" s="216">
        <f>112+216.3</f>
        <v>328.3</v>
      </c>
      <c r="J102" s="216">
        <f>112+216.3</f>
        <v>328.3</v>
      </c>
      <c r="K102" s="231" t="s">
        <v>788</v>
      </c>
    </row>
    <row r="103" spans="1:21" x14ac:dyDescent="0.25">
      <c r="A103" s="111" t="s">
        <v>101</v>
      </c>
      <c r="B103" s="108">
        <f t="shared" si="11"/>
        <v>70</v>
      </c>
      <c r="C103" s="105" t="s">
        <v>169</v>
      </c>
      <c r="D103" s="207"/>
      <c r="E103" s="243"/>
      <c r="F103" s="215">
        <f t="shared" si="2"/>
        <v>0</v>
      </c>
      <c r="G103" s="216"/>
      <c r="H103" s="216"/>
      <c r="I103" s="216"/>
      <c r="J103" s="216"/>
      <c r="K103" s="113"/>
    </row>
    <row r="104" spans="1:21" x14ac:dyDescent="0.25">
      <c r="A104" s="111" t="s">
        <v>102</v>
      </c>
      <c r="B104" s="108">
        <f t="shared" si="11"/>
        <v>71</v>
      </c>
      <c r="C104" s="105" t="s">
        <v>170</v>
      </c>
      <c r="D104" s="207"/>
      <c r="E104" s="243"/>
      <c r="F104" s="215">
        <f t="shared" si="2"/>
        <v>276</v>
      </c>
      <c r="G104" s="216">
        <v>69</v>
      </c>
      <c r="H104" s="216">
        <v>69</v>
      </c>
      <c r="I104" s="216">
        <v>69</v>
      </c>
      <c r="J104" s="216">
        <v>69</v>
      </c>
      <c r="K104" s="113"/>
    </row>
    <row r="105" spans="1:21" x14ac:dyDescent="0.25">
      <c r="A105" s="111" t="s">
        <v>48</v>
      </c>
      <c r="B105" s="108">
        <f t="shared" si="11"/>
        <v>72</v>
      </c>
      <c r="C105" s="105" t="s">
        <v>171</v>
      </c>
      <c r="D105" s="207"/>
      <c r="E105" s="243"/>
      <c r="F105" s="215">
        <f t="shared" si="2"/>
        <v>0</v>
      </c>
      <c r="G105" s="216"/>
      <c r="H105" s="216"/>
      <c r="I105" s="216"/>
      <c r="J105" s="216"/>
      <c r="K105" s="113"/>
    </row>
    <row r="106" spans="1:21" ht="15.75" thickBot="1" x14ac:dyDescent="0.3">
      <c r="A106" s="111" t="s">
        <v>151</v>
      </c>
      <c r="B106" s="122">
        <f t="shared" si="11"/>
        <v>73</v>
      </c>
      <c r="C106" s="105" t="s">
        <v>172</v>
      </c>
      <c r="D106" s="207"/>
      <c r="E106" s="243"/>
      <c r="F106" s="215">
        <f t="shared" si="2"/>
        <v>0</v>
      </c>
      <c r="G106" s="216"/>
      <c r="H106" s="216"/>
      <c r="I106" s="216"/>
      <c r="J106" s="216"/>
      <c r="K106" s="113"/>
    </row>
    <row r="107" spans="1:21" ht="15.75" thickBot="1" x14ac:dyDescent="0.3">
      <c r="A107" s="125" t="s">
        <v>161</v>
      </c>
      <c r="B107" s="126">
        <f>B106+1</f>
        <v>74</v>
      </c>
      <c r="C107" s="94">
        <v>1140</v>
      </c>
      <c r="D107" s="133"/>
      <c r="E107" s="133"/>
      <c r="F107" s="127">
        <f t="shared" si="2"/>
        <v>31914.799999999996</v>
      </c>
      <c r="G107" s="133">
        <f t="shared" ref="G107:J107" si="12">G108+G119+G125</f>
        <v>9068.7999999999993</v>
      </c>
      <c r="H107" s="133">
        <f t="shared" si="12"/>
        <v>10699.599999999999</v>
      </c>
      <c r="I107" s="133">
        <f t="shared" si="12"/>
        <v>4287.7999999999993</v>
      </c>
      <c r="J107" s="133">
        <f t="shared" si="12"/>
        <v>7858.6</v>
      </c>
      <c r="K107" s="133"/>
    </row>
    <row r="108" spans="1:21" ht="15.75" thickBot="1" x14ac:dyDescent="0.3">
      <c r="A108" s="125" t="s">
        <v>162</v>
      </c>
      <c r="B108" s="126">
        <f>B107+1</f>
        <v>75</v>
      </c>
      <c r="C108" s="94">
        <v>1150</v>
      </c>
      <c r="D108" s="133"/>
      <c r="E108" s="133"/>
      <c r="F108" s="127">
        <f>SUM(G108:J108)</f>
        <v>5376.5</v>
      </c>
      <c r="G108" s="133">
        <f>SUM(G109:G118)</f>
        <v>1343.6</v>
      </c>
      <c r="H108" s="133">
        <f>SUM(H109:H118)</f>
        <v>1344.3</v>
      </c>
      <c r="I108" s="133">
        <f>SUM(I109:I118)</f>
        <v>1344.3</v>
      </c>
      <c r="J108" s="133">
        <f>SUM(J109:J118)</f>
        <v>1344.3</v>
      </c>
      <c r="K108" s="133"/>
    </row>
    <row r="109" spans="1:21" x14ac:dyDescent="0.25">
      <c r="A109" s="107" t="s">
        <v>90</v>
      </c>
      <c r="B109" s="104">
        <f>B108+1</f>
        <v>76</v>
      </c>
      <c r="C109" s="105" t="s">
        <v>112</v>
      </c>
      <c r="D109" s="208"/>
      <c r="E109" s="245"/>
      <c r="F109" s="394">
        <f t="shared" si="2"/>
        <v>3096</v>
      </c>
      <c r="G109" s="403">
        <v>774</v>
      </c>
      <c r="H109" s="403">
        <v>774</v>
      </c>
      <c r="I109" s="403">
        <v>774</v>
      </c>
      <c r="J109" s="403">
        <v>774</v>
      </c>
      <c r="K109" s="121"/>
    </row>
    <row r="110" spans="1:21" x14ac:dyDescent="0.25">
      <c r="A110" s="111" t="s">
        <v>91</v>
      </c>
      <c r="B110" s="108">
        <f t="shared" ref="B110:B173" si="13">B109+1</f>
        <v>77</v>
      </c>
      <c r="C110" s="105" t="s">
        <v>175</v>
      </c>
      <c r="D110" s="207"/>
      <c r="E110" s="246"/>
      <c r="F110" s="397">
        <f t="shared" si="2"/>
        <v>681.2</v>
      </c>
      <c r="G110" s="404">
        <v>170.3</v>
      </c>
      <c r="H110" s="404">
        <v>170.3</v>
      </c>
      <c r="I110" s="404">
        <v>170.3</v>
      </c>
      <c r="J110" s="404">
        <v>170.3</v>
      </c>
      <c r="K110" s="113"/>
    </row>
    <row r="111" spans="1:21" x14ac:dyDescent="0.25">
      <c r="A111" s="111" t="s">
        <v>149</v>
      </c>
      <c r="B111" s="108">
        <f t="shared" si="13"/>
        <v>78</v>
      </c>
      <c r="C111" s="105" t="s">
        <v>176</v>
      </c>
      <c r="D111" s="207"/>
      <c r="E111" s="246"/>
      <c r="F111" s="397">
        <f t="shared" si="2"/>
        <v>0</v>
      </c>
      <c r="G111" s="404"/>
      <c r="H111" s="404"/>
      <c r="I111" s="404"/>
      <c r="J111" s="404"/>
      <c r="K111" s="113"/>
    </row>
    <row r="112" spans="1:21" x14ac:dyDescent="0.25">
      <c r="A112" s="111" t="s">
        <v>46</v>
      </c>
      <c r="B112" s="108">
        <f t="shared" si="13"/>
        <v>79</v>
      </c>
      <c r="C112" s="105" t="s">
        <v>657</v>
      </c>
      <c r="D112" s="207"/>
      <c r="E112" s="246"/>
      <c r="F112" s="397">
        <f t="shared" si="2"/>
        <v>1599.3</v>
      </c>
      <c r="G112" s="404">
        <v>399.3</v>
      </c>
      <c r="H112" s="404">
        <v>400</v>
      </c>
      <c r="I112" s="404">
        <v>400</v>
      </c>
      <c r="J112" s="404">
        <v>400</v>
      </c>
      <c r="K112" s="113"/>
    </row>
    <row r="113" spans="1:11" x14ac:dyDescent="0.25">
      <c r="A113" s="111" t="s">
        <v>47</v>
      </c>
      <c r="B113" s="108">
        <f t="shared" si="13"/>
        <v>80</v>
      </c>
      <c r="C113" s="105" t="s">
        <v>658</v>
      </c>
      <c r="D113" s="207"/>
      <c r="E113" s="246"/>
      <c r="F113" s="397">
        <f t="shared" si="2"/>
        <v>0</v>
      </c>
      <c r="G113" s="404"/>
      <c r="H113" s="404"/>
      <c r="I113" s="404"/>
      <c r="J113" s="404"/>
      <c r="K113" s="113"/>
    </row>
    <row r="114" spans="1:11" x14ac:dyDescent="0.25">
      <c r="A114" s="111" t="s">
        <v>150</v>
      </c>
      <c r="B114" s="108">
        <f t="shared" si="13"/>
        <v>81</v>
      </c>
      <c r="C114" s="105" t="s">
        <v>659</v>
      </c>
      <c r="D114" s="207"/>
      <c r="E114" s="246"/>
      <c r="F114" s="397">
        <f t="shared" si="2"/>
        <v>0</v>
      </c>
      <c r="G114" s="404"/>
      <c r="H114" s="404"/>
      <c r="I114" s="404"/>
      <c r="J114" s="404"/>
      <c r="K114" s="113"/>
    </row>
    <row r="115" spans="1:11" x14ac:dyDescent="0.25">
      <c r="A115" s="111" t="s">
        <v>101</v>
      </c>
      <c r="B115" s="108">
        <f t="shared" si="13"/>
        <v>82</v>
      </c>
      <c r="C115" s="105" t="s">
        <v>660</v>
      </c>
      <c r="D115" s="207"/>
      <c r="E115" s="246"/>
      <c r="F115" s="397">
        <f t="shared" ref="F115:F174" si="14">G115+H115+I115+J115</f>
        <v>0</v>
      </c>
      <c r="G115" s="404"/>
      <c r="H115" s="404"/>
      <c r="I115" s="404"/>
      <c r="J115" s="404"/>
      <c r="K115" s="113"/>
    </row>
    <row r="116" spans="1:11" x14ac:dyDescent="0.25">
      <c r="A116" s="111" t="s">
        <v>102</v>
      </c>
      <c r="B116" s="108">
        <f t="shared" si="13"/>
        <v>83</v>
      </c>
      <c r="C116" s="105" t="s">
        <v>661</v>
      </c>
      <c r="D116" s="207"/>
      <c r="E116" s="243"/>
      <c r="F116" s="397">
        <f t="shared" si="14"/>
        <v>0</v>
      </c>
      <c r="G116" s="404"/>
      <c r="H116" s="404"/>
      <c r="I116" s="404"/>
      <c r="J116" s="404"/>
      <c r="K116" s="113"/>
    </row>
    <row r="117" spans="1:11" x14ac:dyDescent="0.25">
      <c r="A117" s="111" t="s">
        <v>48</v>
      </c>
      <c r="B117" s="108">
        <f t="shared" si="13"/>
        <v>84</v>
      </c>
      <c r="C117" s="105" t="s">
        <v>662</v>
      </c>
      <c r="D117" s="207"/>
      <c r="E117" s="243"/>
      <c r="F117" s="397">
        <f t="shared" si="14"/>
        <v>0</v>
      </c>
      <c r="G117" s="404"/>
      <c r="H117" s="404"/>
      <c r="I117" s="404"/>
      <c r="J117" s="404"/>
      <c r="K117" s="113"/>
    </row>
    <row r="118" spans="1:11" ht="15.75" thickBot="1" x14ac:dyDescent="0.3">
      <c r="A118" s="134" t="s">
        <v>151</v>
      </c>
      <c r="B118" s="120">
        <f t="shared" si="13"/>
        <v>85</v>
      </c>
      <c r="C118" s="135" t="s">
        <v>663</v>
      </c>
      <c r="D118" s="209"/>
      <c r="E118" s="240"/>
      <c r="F118" s="400">
        <f t="shared" si="14"/>
        <v>0</v>
      </c>
      <c r="G118" s="405"/>
      <c r="H118" s="406"/>
      <c r="I118" s="406"/>
      <c r="J118" s="406"/>
      <c r="K118" s="136"/>
    </row>
    <row r="119" spans="1:11" ht="15.75" thickBot="1" x14ac:dyDescent="0.3">
      <c r="A119" s="125" t="s">
        <v>664</v>
      </c>
      <c r="B119" s="126">
        <f t="shared" si="13"/>
        <v>86</v>
      </c>
      <c r="C119" s="94">
        <v>1160</v>
      </c>
      <c r="D119" s="133"/>
      <c r="E119" s="133"/>
      <c r="F119" s="127">
        <f t="shared" si="14"/>
        <v>20538.3</v>
      </c>
      <c r="G119" s="133">
        <f t="shared" ref="G119:J119" si="15">G120+G121+G122+G123+G124</f>
        <v>7725.2</v>
      </c>
      <c r="H119" s="133">
        <f t="shared" si="15"/>
        <v>3355.2999999999997</v>
      </c>
      <c r="I119" s="133">
        <f t="shared" si="15"/>
        <v>2943.4999999999995</v>
      </c>
      <c r="J119" s="133">
        <f t="shared" si="15"/>
        <v>6514.3</v>
      </c>
      <c r="K119" s="133"/>
    </row>
    <row r="120" spans="1:11" x14ac:dyDescent="0.25">
      <c r="A120" s="137" t="s">
        <v>123</v>
      </c>
      <c r="B120" s="138">
        <f t="shared" si="13"/>
        <v>87</v>
      </c>
      <c r="C120" s="130" t="s">
        <v>665</v>
      </c>
      <c r="D120" s="210"/>
      <c r="E120" s="247"/>
      <c r="F120" s="394">
        <f t="shared" si="14"/>
        <v>15137.800000000001</v>
      </c>
      <c r="G120" s="395">
        <v>6219</v>
      </c>
      <c r="H120" s="396">
        <v>1997.7</v>
      </c>
      <c r="I120" s="396">
        <v>1792.1</v>
      </c>
      <c r="J120" s="396">
        <v>5129</v>
      </c>
      <c r="K120" s="121"/>
    </row>
    <row r="121" spans="1:11" x14ac:dyDescent="0.25">
      <c r="A121" s="132" t="s">
        <v>124</v>
      </c>
      <c r="B121" s="108">
        <f t="shared" si="13"/>
        <v>88</v>
      </c>
      <c r="C121" s="130" t="s">
        <v>666</v>
      </c>
      <c r="D121" s="211"/>
      <c r="E121" s="248"/>
      <c r="F121" s="397">
        <f t="shared" si="14"/>
        <v>600</v>
      </c>
      <c r="G121" s="398">
        <v>155</v>
      </c>
      <c r="H121" s="399">
        <v>150</v>
      </c>
      <c r="I121" s="399">
        <v>150</v>
      </c>
      <c r="J121" s="399">
        <v>145</v>
      </c>
      <c r="K121" s="113"/>
    </row>
    <row r="122" spans="1:11" x14ac:dyDescent="0.25">
      <c r="A122" s="132" t="s">
        <v>125</v>
      </c>
      <c r="B122" s="108">
        <f t="shared" si="13"/>
        <v>89</v>
      </c>
      <c r="C122" s="130" t="s">
        <v>667</v>
      </c>
      <c r="D122" s="211"/>
      <c r="E122" s="248"/>
      <c r="F122" s="397">
        <f t="shared" si="14"/>
        <v>3500</v>
      </c>
      <c r="G122" s="398">
        <v>971</v>
      </c>
      <c r="H122" s="399">
        <v>827.6</v>
      </c>
      <c r="I122" s="399">
        <v>731.1</v>
      </c>
      <c r="J122" s="399">
        <v>970.3</v>
      </c>
      <c r="K122" s="113"/>
    </row>
    <row r="123" spans="1:11" x14ac:dyDescent="0.25">
      <c r="A123" s="132" t="s">
        <v>126</v>
      </c>
      <c r="B123" s="108">
        <f t="shared" si="13"/>
        <v>90</v>
      </c>
      <c r="C123" s="130" t="s">
        <v>668</v>
      </c>
      <c r="D123" s="211"/>
      <c r="E123" s="248"/>
      <c r="F123" s="397">
        <f t="shared" si="14"/>
        <v>1100.5</v>
      </c>
      <c r="G123" s="398">
        <v>330.2</v>
      </c>
      <c r="H123" s="399">
        <v>330.1</v>
      </c>
      <c r="I123" s="399">
        <v>220.1</v>
      </c>
      <c r="J123" s="399">
        <v>220.1</v>
      </c>
      <c r="K123" s="113"/>
    </row>
    <row r="124" spans="1:11" ht="17.25" customHeight="1" thickBot="1" x14ac:dyDescent="0.3">
      <c r="A124" s="139" t="s">
        <v>173</v>
      </c>
      <c r="B124" s="120">
        <f t="shared" si="13"/>
        <v>91</v>
      </c>
      <c r="C124" s="140" t="s">
        <v>669</v>
      </c>
      <c r="D124" s="209"/>
      <c r="E124" s="249"/>
      <c r="F124" s="400">
        <f t="shared" si="14"/>
        <v>200.00000000000003</v>
      </c>
      <c r="G124" s="401">
        <v>50</v>
      </c>
      <c r="H124" s="402">
        <v>49.9</v>
      </c>
      <c r="I124" s="402">
        <v>50.2</v>
      </c>
      <c r="J124" s="402">
        <v>49.9</v>
      </c>
      <c r="K124" s="136"/>
    </row>
    <row r="125" spans="1:11" ht="15.75" thickBot="1" x14ac:dyDescent="0.3">
      <c r="A125" s="125" t="s">
        <v>174</v>
      </c>
      <c r="B125" s="126">
        <f t="shared" si="13"/>
        <v>92</v>
      </c>
      <c r="C125" s="94">
        <v>1170</v>
      </c>
      <c r="D125" s="133"/>
      <c r="E125" s="133"/>
      <c r="F125" s="127">
        <f t="shared" si="14"/>
        <v>6000</v>
      </c>
      <c r="G125" s="133">
        <f t="shared" ref="G125:J125" si="16">G126+G127+G128</f>
        <v>0</v>
      </c>
      <c r="H125" s="133">
        <f t="shared" si="16"/>
        <v>6000</v>
      </c>
      <c r="I125" s="133">
        <f t="shared" si="16"/>
        <v>0</v>
      </c>
      <c r="J125" s="133">
        <f t="shared" si="16"/>
        <v>0</v>
      </c>
      <c r="K125" s="133"/>
    </row>
    <row r="126" spans="1:11" x14ac:dyDescent="0.25">
      <c r="A126" s="137" t="s">
        <v>103</v>
      </c>
      <c r="B126" s="104">
        <f t="shared" si="13"/>
        <v>93</v>
      </c>
      <c r="C126" s="130" t="s">
        <v>670</v>
      </c>
      <c r="D126" s="208"/>
      <c r="E126" s="239"/>
      <c r="F126" s="628">
        <f t="shared" si="14"/>
        <v>6000</v>
      </c>
      <c r="G126" s="297"/>
      <c r="H126" s="297">
        <v>6000</v>
      </c>
      <c r="I126" s="297"/>
      <c r="J126" s="297"/>
      <c r="K126" s="121"/>
    </row>
    <row r="127" spans="1:11" x14ac:dyDescent="0.25">
      <c r="A127" s="132" t="s">
        <v>104</v>
      </c>
      <c r="B127" s="108">
        <f t="shared" si="13"/>
        <v>94</v>
      </c>
      <c r="C127" s="131" t="s">
        <v>671</v>
      </c>
      <c r="D127" s="207"/>
      <c r="E127" s="216"/>
      <c r="F127" s="129">
        <f t="shared" si="14"/>
        <v>0</v>
      </c>
      <c r="G127" s="112"/>
      <c r="H127" s="113"/>
      <c r="I127" s="113"/>
      <c r="J127" s="113"/>
      <c r="K127" s="113"/>
    </row>
    <row r="128" spans="1:11" ht="15.75" thickBot="1" x14ac:dyDescent="0.3">
      <c r="A128" s="139" t="s">
        <v>105</v>
      </c>
      <c r="B128" s="120">
        <f t="shared" si="13"/>
        <v>95</v>
      </c>
      <c r="C128" s="235" t="s">
        <v>672</v>
      </c>
      <c r="D128" s="207"/>
      <c r="E128" s="216"/>
      <c r="F128" s="129">
        <f t="shared" si="14"/>
        <v>0</v>
      </c>
      <c r="G128" s="112"/>
      <c r="H128" s="113"/>
      <c r="I128" s="113"/>
      <c r="J128" s="113"/>
      <c r="K128" s="113"/>
    </row>
    <row r="129" spans="1:12" ht="15.75" thickBot="1" x14ac:dyDescent="0.3">
      <c r="A129" s="98" t="s">
        <v>673</v>
      </c>
      <c r="B129" s="99">
        <f t="shared" si="13"/>
        <v>96</v>
      </c>
      <c r="C129" s="100">
        <v>1180</v>
      </c>
      <c r="D129" s="113"/>
      <c r="E129" s="216"/>
      <c r="F129" s="215">
        <f>F37-F69</f>
        <v>-2.9999999998835847E-2</v>
      </c>
      <c r="G129" s="216">
        <f>G37-G69</f>
        <v>0</v>
      </c>
      <c r="H129" s="216">
        <f>G129+H37-H69</f>
        <v>0</v>
      </c>
      <c r="I129" s="216">
        <f>H129+I37-I69</f>
        <v>0</v>
      </c>
      <c r="J129" s="216">
        <f>I129+J37-J69</f>
        <v>-2.9999999998835847E-2</v>
      </c>
      <c r="K129" s="112"/>
      <c r="L129" s="223"/>
    </row>
    <row r="130" spans="1:12" ht="15.75" thickBot="1" x14ac:dyDescent="0.3">
      <c r="A130" s="107" t="s">
        <v>674</v>
      </c>
      <c r="B130" s="236">
        <f t="shared" si="13"/>
        <v>97</v>
      </c>
      <c r="C130" s="237">
        <v>1190</v>
      </c>
      <c r="D130" s="123"/>
      <c r="E130" s="241"/>
      <c r="F130" s="215">
        <f>F52+F43-F96</f>
        <v>554.39999999999964</v>
      </c>
      <c r="G130" s="241">
        <f>F52+G43-G96</f>
        <v>554.40000000000009</v>
      </c>
      <c r="H130" s="241">
        <f>G130+H43-H96</f>
        <v>554.40000000000009</v>
      </c>
      <c r="I130" s="241">
        <f>H130+I43-I96</f>
        <v>554.40000000000009</v>
      </c>
      <c r="J130" s="241">
        <f>I130+J43-J96</f>
        <v>554.40000000000009</v>
      </c>
      <c r="K130" s="124"/>
      <c r="L130" s="223"/>
    </row>
    <row r="131" spans="1:12" ht="15.75" thickBot="1" x14ac:dyDescent="0.3">
      <c r="A131" s="125" t="s">
        <v>177</v>
      </c>
      <c r="B131" s="126">
        <f t="shared" si="13"/>
        <v>98</v>
      </c>
      <c r="C131" s="94">
        <v>1200</v>
      </c>
      <c r="D131" s="133"/>
      <c r="E131" s="96"/>
      <c r="F131" s="127">
        <f t="shared" si="14"/>
        <v>0</v>
      </c>
      <c r="G131" s="97"/>
      <c r="H131" s="96"/>
      <c r="I131" s="96"/>
      <c r="J131" s="96"/>
      <c r="K131" s="96"/>
    </row>
    <row r="132" spans="1:12" ht="15.75" thickBot="1" x14ac:dyDescent="0.3">
      <c r="A132" s="125" t="s">
        <v>49</v>
      </c>
      <c r="B132" s="126">
        <f t="shared" si="13"/>
        <v>99</v>
      </c>
      <c r="C132" s="94">
        <v>1210</v>
      </c>
      <c r="D132" s="133"/>
      <c r="E132" s="96"/>
      <c r="F132" s="127">
        <f>F35</f>
        <v>148122.59999999998</v>
      </c>
      <c r="G132" s="97">
        <f>G35</f>
        <v>38165.300000000003</v>
      </c>
      <c r="H132" s="96">
        <f>H35</f>
        <v>39796.1</v>
      </c>
      <c r="I132" s="96">
        <f>I35</f>
        <v>33384.399999999994</v>
      </c>
      <c r="J132" s="96">
        <f>J35</f>
        <v>36776.800000000003</v>
      </c>
      <c r="K132" s="96"/>
    </row>
    <row r="133" spans="1:12" ht="15.75" thickBot="1" x14ac:dyDescent="0.3">
      <c r="A133" s="141" t="s">
        <v>50</v>
      </c>
      <c r="B133" s="126">
        <f t="shared" si="13"/>
        <v>100</v>
      </c>
      <c r="C133" s="142">
        <v>1220</v>
      </c>
      <c r="D133" s="144"/>
      <c r="E133" s="143"/>
      <c r="F133" s="127">
        <f>SUM(F53,F131)</f>
        <v>148122.63</v>
      </c>
      <c r="G133" s="217">
        <f>G53+G131</f>
        <v>38165.300000000003</v>
      </c>
      <c r="H133" s="143">
        <f>H53+H131</f>
        <v>39796.1</v>
      </c>
      <c r="I133" s="143">
        <f>I53+I131</f>
        <v>33384.399999999994</v>
      </c>
      <c r="J133" s="143">
        <f>J53+J131</f>
        <v>36776.83</v>
      </c>
      <c r="K133" s="143"/>
    </row>
    <row r="134" spans="1:12" ht="15.75" thickBot="1" x14ac:dyDescent="0.3">
      <c r="A134" s="141" t="s">
        <v>51</v>
      </c>
      <c r="B134" s="126">
        <f t="shared" si="13"/>
        <v>101</v>
      </c>
      <c r="C134" s="142">
        <v>1230</v>
      </c>
      <c r="D134" s="144"/>
      <c r="E134" s="144"/>
      <c r="F134" s="144">
        <f t="shared" ref="F134:J134" si="17">SUM(F132-F133)</f>
        <v>-3.0000000027939677E-2</v>
      </c>
      <c r="G134" s="144">
        <f t="shared" si="17"/>
        <v>0</v>
      </c>
      <c r="H134" s="144">
        <f t="shared" si="17"/>
        <v>0</v>
      </c>
      <c r="I134" s="144">
        <f t="shared" si="17"/>
        <v>0</v>
      </c>
      <c r="J134" s="144">
        <f t="shared" si="17"/>
        <v>-2.9999999998835847E-2</v>
      </c>
      <c r="K134" s="144"/>
    </row>
    <row r="135" spans="1:12" ht="15.75" thickBot="1" x14ac:dyDescent="0.3">
      <c r="A135" s="125" t="s">
        <v>52</v>
      </c>
      <c r="B135" s="126">
        <f t="shared" si="13"/>
        <v>102</v>
      </c>
      <c r="C135" s="94">
        <v>2000</v>
      </c>
      <c r="D135" s="133"/>
      <c r="E135" s="96"/>
      <c r="F135" s="127">
        <f t="shared" si="14"/>
        <v>39496.152999999998</v>
      </c>
      <c r="G135" s="97">
        <f>SUM(G136:G138)</f>
        <v>9887.5645000000004</v>
      </c>
      <c r="H135" s="96">
        <f>SUM(H136:H138)</f>
        <v>9887.5645000000004</v>
      </c>
      <c r="I135" s="96">
        <f>SUM(I136:I138)</f>
        <v>9887.5645000000004</v>
      </c>
      <c r="J135" s="96">
        <f>SUM(J136:J138)</f>
        <v>9833.459499999999</v>
      </c>
      <c r="K135" s="96"/>
    </row>
    <row r="136" spans="1:12" ht="25.5" x14ac:dyDescent="0.25">
      <c r="A136" s="111" t="s">
        <v>53</v>
      </c>
      <c r="B136" s="104">
        <f t="shared" si="13"/>
        <v>103</v>
      </c>
      <c r="C136" s="145">
        <v>2010</v>
      </c>
      <c r="D136" s="207"/>
      <c r="E136" s="216"/>
      <c r="F136" s="222">
        <f t="shared" si="14"/>
        <v>20929.93</v>
      </c>
      <c r="G136" s="260">
        <f>SUM(G56,G71,G98,G110)</f>
        <v>5240.5</v>
      </c>
      <c r="H136" s="216">
        <f>SUM(H56,H71,H98,H110)</f>
        <v>5240.5</v>
      </c>
      <c r="I136" s="216">
        <f>SUM(I56,I71,I98,I110)</f>
        <v>5240.5</v>
      </c>
      <c r="J136" s="216">
        <f>SUM(J56,J71,J98,J110)</f>
        <v>5208.4299999999994</v>
      </c>
      <c r="K136" s="113"/>
      <c r="L136" s="223"/>
    </row>
    <row r="137" spans="1:12" ht="19.5" customHeight="1" x14ac:dyDescent="0.25">
      <c r="A137" s="111" t="s">
        <v>54</v>
      </c>
      <c r="B137" s="108">
        <f t="shared" si="13"/>
        <v>104</v>
      </c>
      <c r="C137" s="145">
        <v>2020</v>
      </c>
      <c r="D137" s="207"/>
      <c r="E137" s="216"/>
      <c r="F137" s="215">
        <f t="shared" si="14"/>
        <v>18566.222999999998</v>
      </c>
      <c r="G137" s="260">
        <f>G183*19.5%</f>
        <v>4647.0644999999995</v>
      </c>
      <c r="H137" s="216">
        <f>H183*19.5%</f>
        <v>4647.0644999999995</v>
      </c>
      <c r="I137" s="216">
        <f>I183*19.5%</f>
        <v>4647.0644999999995</v>
      </c>
      <c r="J137" s="216">
        <f>J183*19.5%</f>
        <v>4625.0294999999996</v>
      </c>
      <c r="K137" s="113"/>
    </row>
    <row r="138" spans="1:12" x14ac:dyDescent="0.25">
      <c r="A138" s="111" t="s">
        <v>55</v>
      </c>
      <c r="B138" s="108">
        <f t="shared" si="13"/>
        <v>105</v>
      </c>
      <c r="C138" s="145">
        <v>2030</v>
      </c>
      <c r="D138" s="207"/>
      <c r="E138" s="216"/>
      <c r="F138" s="129">
        <f t="shared" si="14"/>
        <v>0</v>
      </c>
      <c r="G138" s="112"/>
      <c r="H138" s="113"/>
      <c r="I138" s="113"/>
      <c r="J138" s="113"/>
      <c r="K138" s="113"/>
    </row>
    <row r="139" spans="1:12" ht="15.75" thickBot="1" x14ac:dyDescent="0.3">
      <c r="A139" s="134" t="s">
        <v>56</v>
      </c>
      <c r="B139" s="122">
        <f t="shared" si="13"/>
        <v>106</v>
      </c>
      <c r="C139" s="146">
        <v>2040</v>
      </c>
      <c r="D139" s="209"/>
      <c r="E139" s="240"/>
      <c r="F139" s="147">
        <f t="shared" si="14"/>
        <v>0</v>
      </c>
      <c r="G139" s="117">
        <v>0</v>
      </c>
      <c r="H139" s="136">
        <v>0</v>
      </c>
      <c r="I139" s="136">
        <v>0</v>
      </c>
      <c r="J139" s="136">
        <v>0</v>
      </c>
      <c r="K139" s="136"/>
    </row>
    <row r="140" spans="1:12" ht="15.75" thickBot="1" x14ac:dyDescent="0.3">
      <c r="A140" s="98" t="s">
        <v>57</v>
      </c>
      <c r="B140" s="99">
        <f t="shared" si="13"/>
        <v>107</v>
      </c>
      <c r="C140" s="100">
        <v>3000</v>
      </c>
      <c r="D140" s="212"/>
      <c r="E140" s="238"/>
      <c r="F140" s="101">
        <f t="shared" si="14"/>
        <v>0</v>
      </c>
      <c r="G140" s="103">
        <f>SUM(G143)</f>
        <v>0</v>
      </c>
      <c r="H140" s="102">
        <f>SUM(H143)</f>
        <v>0</v>
      </c>
      <c r="I140" s="102">
        <f>SUM(I143)</f>
        <v>0</v>
      </c>
      <c r="J140" s="102">
        <f>SUM(J143)</f>
        <v>0</v>
      </c>
      <c r="K140" s="102"/>
    </row>
    <row r="141" spans="1:12" x14ac:dyDescent="0.25">
      <c r="A141" s="107" t="s">
        <v>58</v>
      </c>
      <c r="B141" s="104">
        <f t="shared" si="13"/>
        <v>108</v>
      </c>
      <c r="C141" s="105">
        <v>3010</v>
      </c>
      <c r="D141" s="208"/>
      <c r="E141" s="239"/>
      <c r="F141" s="128">
        <f t="shared" si="14"/>
        <v>0</v>
      </c>
      <c r="G141" s="106"/>
      <c r="H141" s="121"/>
      <c r="I141" s="121"/>
      <c r="J141" s="121"/>
      <c r="K141" s="121"/>
    </row>
    <row r="142" spans="1:12" ht="25.5" x14ac:dyDescent="0.25">
      <c r="A142" s="111" t="s">
        <v>59</v>
      </c>
      <c r="B142" s="108">
        <f t="shared" si="13"/>
        <v>109</v>
      </c>
      <c r="C142" s="145">
        <v>3020</v>
      </c>
      <c r="D142" s="207"/>
      <c r="E142" s="216"/>
      <c r="F142" s="129">
        <f t="shared" si="14"/>
        <v>0</v>
      </c>
      <c r="G142" s="112"/>
      <c r="H142" s="113"/>
      <c r="I142" s="113"/>
      <c r="J142" s="113"/>
      <c r="K142" s="113"/>
    </row>
    <row r="143" spans="1:12" x14ac:dyDescent="0.25">
      <c r="A143" s="111" t="s">
        <v>60</v>
      </c>
      <c r="B143" s="108">
        <f t="shared" si="13"/>
        <v>110</v>
      </c>
      <c r="C143" s="145">
        <v>3030</v>
      </c>
      <c r="D143" s="207"/>
      <c r="E143" s="216"/>
      <c r="F143" s="129">
        <f t="shared" si="14"/>
        <v>0</v>
      </c>
      <c r="G143" s="112">
        <f>G145+G149</f>
        <v>0</v>
      </c>
      <c r="H143" s="112">
        <f>H145+H149</f>
        <v>0</v>
      </c>
      <c r="I143" s="112">
        <f>I145+I149</f>
        <v>0</v>
      </c>
      <c r="J143" s="112">
        <f>J145+J149</f>
        <v>0</v>
      </c>
      <c r="K143" s="113"/>
    </row>
    <row r="144" spans="1:12" x14ac:dyDescent="0.25">
      <c r="A144" s="111" t="s">
        <v>61</v>
      </c>
      <c r="B144" s="108">
        <f t="shared" si="13"/>
        <v>111</v>
      </c>
      <c r="C144" s="145" t="s">
        <v>178</v>
      </c>
      <c r="D144" s="207"/>
      <c r="E144" s="216"/>
      <c r="F144" s="129">
        <f t="shared" si="14"/>
        <v>0</v>
      </c>
      <c r="G144" s="112"/>
      <c r="H144" s="113"/>
      <c r="I144" s="113"/>
      <c r="J144" s="113"/>
      <c r="K144" s="113"/>
    </row>
    <row r="145" spans="1:11" x14ac:dyDescent="0.25">
      <c r="A145" s="111" t="s">
        <v>62</v>
      </c>
      <c r="B145" s="108">
        <f t="shared" si="13"/>
        <v>112</v>
      </c>
      <c r="C145" s="145" t="s">
        <v>179</v>
      </c>
      <c r="D145" s="207"/>
      <c r="E145" s="216"/>
      <c r="F145" s="129">
        <f t="shared" si="14"/>
        <v>0</v>
      </c>
      <c r="G145" s="112"/>
      <c r="H145" s="113"/>
      <c r="I145" s="113"/>
      <c r="J145" s="113"/>
      <c r="K145" s="113"/>
    </row>
    <row r="146" spans="1:11" x14ac:dyDescent="0.25">
      <c r="A146" s="111" t="s">
        <v>63</v>
      </c>
      <c r="B146" s="108">
        <f t="shared" si="13"/>
        <v>113</v>
      </c>
      <c r="C146" s="145" t="s">
        <v>180</v>
      </c>
      <c r="D146" s="207"/>
      <c r="E146" s="216"/>
      <c r="F146" s="129">
        <f t="shared" si="14"/>
        <v>0</v>
      </c>
      <c r="G146" s="112"/>
      <c r="H146" s="113"/>
      <c r="I146" s="113"/>
      <c r="J146" s="113"/>
      <c r="K146" s="113"/>
    </row>
    <row r="147" spans="1:11" x14ac:dyDescent="0.25">
      <c r="A147" s="111" t="s">
        <v>64</v>
      </c>
      <c r="B147" s="108">
        <f t="shared" si="13"/>
        <v>114</v>
      </c>
      <c r="C147" s="145" t="s">
        <v>181</v>
      </c>
      <c r="D147" s="207"/>
      <c r="E147" s="216"/>
      <c r="F147" s="129">
        <f t="shared" si="14"/>
        <v>0</v>
      </c>
      <c r="G147" s="112"/>
      <c r="H147" s="113"/>
      <c r="I147" s="113"/>
      <c r="J147" s="113"/>
      <c r="K147" s="113"/>
    </row>
    <row r="148" spans="1:11" ht="25.5" x14ac:dyDescent="0.25">
      <c r="A148" s="111" t="s">
        <v>65</v>
      </c>
      <c r="B148" s="108">
        <f t="shared" si="13"/>
        <v>115</v>
      </c>
      <c r="C148" s="145" t="s">
        <v>182</v>
      </c>
      <c r="D148" s="207"/>
      <c r="E148" s="216"/>
      <c r="F148" s="129">
        <f t="shared" si="14"/>
        <v>0</v>
      </c>
      <c r="G148" s="112"/>
      <c r="H148" s="113"/>
      <c r="I148" s="113"/>
      <c r="J148" s="113"/>
      <c r="K148" s="113"/>
    </row>
    <row r="149" spans="1:11" x14ac:dyDescent="0.25">
      <c r="A149" s="111" t="s">
        <v>66</v>
      </c>
      <c r="B149" s="108">
        <f t="shared" si="13"/>
        <v>116</v>
      </c>
      <c r="C149" s="145" t="s">
        <v>183</v>
      </c>
      <c r="D149" s="207"/>
      <c r="E149" s="216"/>
      <c r="F149" s="129">
        <f t="shared" si="14"/>
        <v>0</v>
      </c>
      <c r="G149" s="112"/>
      <c r="H149" s="113"/>
      <c r="I149" s="113"/>
      <c r="J149" s="113"/>
      <c r="K149" s="113"/>
    </row>
    <row r="150" spans="1:11" ht="15.75" thickBot="1" x14ac:dyDescent="0.3">
      <c r="A150" s="134" t="s">
        <v>113</v>
      </c>
      <c r="B150" s="122">
        <f t="shared" si="13"/>
        <v>117</v>
      </c>
      <c r="C150" s="146">
        <v>3040</v>
      </c>
      <c r="D150" s="213"/>
      <c r="E150" s="250"/>
      <c r="F150" s="147">
        <f t="shared" si="14"/>
        <v>0</v>
      </c>
      <c r="G150" s="218"/>
      <c r="H150" s="148"/>
      <c r="I150" s="148"/>
      <c r="J150" s="148"/>
      <c r="K150" s="148"/>
    </row>
    <row r="151" spans="1:11" ht="15.75" thickBot="1" x14ac:dyDescent="0.3">
      <c r="A151" s="125" t="s">
        <v>127</v>
      </c>
      <c r="B151" s="126">
        <f t="shared" si="13"/>
        <v>118</v>
      </c>
      <c r="C151" s="94">
        <v>4000</v>
      </c>
      <c r="D151" s="133"/>
      <c r="E151" s="96"/>
      <c r="F151" s="127">
        <f>E151+F145</f>
        <v>0</v>
      </c>
      <c r="G151" s="97"/>
      <c r="H151" s="96"/>
      <c r="I151" s="96"/>
      <c r="J151" s="96"/>
      <c r="K151" s="96"/>
    </row>
    <row r="152" spans="1:11" ht="15.75" thickBot="1" x14ac:dyDescent="0.3">
      <c r="A152" s="125" t="s">
        <v>128</v>
      </c>
      <c r="B152" s="126">
        <f t="shared" si="13"/>
        <v>119</v>
      </c>
      <c r="C152" s="94">
        <v>5000</v>
      </c>
      <c r="D152" s="133"/>
      <c r="E152" s="96"/>
      <c r="F152" s="127">
        <f t="shared" si="14"/>
        <v>0</v>
      </c>
      <c r="G152" s="97">
        <f>G153</f>
        <v>0</v>
      </c>
      <c r="H152" s="96">
        <f>H153</f>
        <v>0</v>
      </c>
      <c r="I152" s="96">
        <f>I153</f>
        <v>0</v>
      </c>
      <c r="J152" s="96">
        <f>J153</f>
        <v>0</v>
      </c>
      <c r="K152" s="96"/>
    </row>
    <row r="153" spans="1:11" x14ac:dyDescent="0.25">
      <c r="A153" s="111" t="s">
        <v>67</v>
      </c>
      <c r="B153" s="104">
        <f t="shared" si="13"/>
        <v>120</v>
      </c>
      <c r="C153" s="145">
        <v>5010</v>
      </c>
      <c r="D153" s="207"/>
      <c r="E153" s="216"/>
      <c r="F153" s="311">
        <f t="shared" si="14"/>
        <v>0</v>
      </c>
      <c r="G153" s="260"/>
      <c r="H153" s="216"/>
      <c r="I153" s="216"/>
      <c r="J153" s="216"/>
      <c r="K153" s="113"/>
    </row>
    <row r="154" spans="1:11" x14ac:dyDescent="0.25">
      <c r="A154" s="111" t="s">
        <v>68</v>
      </c>
      <c r="B154" s="108">
        <f t="shared" si="13"/>
        <v>121</v>
      </c>
      <c r="C154" s="145" t="s">
        <v>184</v>
      </c>
      <c r="D154" s="207"/>
      <c r="E154" s="216"/>
      <c r="F154" s="215">
        <f t="shared" si="14"/>
        <v>0</v>
      </c>
      <c r="G154" s="260"/>
      <c r="H154" s="216"/>
      <c r="I154" s="216"/>
      <c r="J154" s="216"/>
      <c r="K154" s="113"/>
    </row>
    <row r="155" spans="1:11" x14ac:dyDescent="0.25">
      <c r="A155" s="111" t="s">
        <v>69</v>
      </c>
      <c r="B155" s="108">
        <f t="shared" si="13"/>
        <v>122</v>
      </c>
      <c r="C155" s="145" t="s">
        <v>185</v>
      </c>
      <c r="D155" s="207"/>
      <c r="E155" s="216"/>
      <c r="F155" s="215">
        <f t="shared" si="14"/>
        <v>0</v>
      </c>
      <c r="G155" s="260"/>
      <c r="H155" s="216"/>
      <c r="I155" s="216"/>
      <c r="J155" s="216"/>
      <c r="K155" s="113"/>
    </row>
    <row r="156" spans="1:11" x14ac:dyDescent="0.25">
      <c r="A156" s="111" t="s">
        <v>70</v>
      </c>
      <c r="B156" s="108">
        <f t="shared" si="13"/>
        <v>123</v>
      </c>
      <c r="C156" s="145" t="s">
        <v>186</v>
      </c>
      <c r="D156" s="207"/>
      <c r="E156" s="216"/>
      <c r="F156" s="215">
        <f t="shared" si="14"/>
        <v>0</v>
      </c>
      <c r="G156" s="260"/>
      <c r="H156" s="216"/>
      <c r="I156" s="216"/>
      <c r="J156" s="216"/>
      <c r="K156" s="113"/>
    </row>
    <row r="157" spans="1:11" x14ac:dyDescent="0.25">
      <c r="A157" s="111" t="s">
        <v>71</v>
      </c>
      <c r="B157" s="108">
        <f t="shared" si="13"/>
        <v>124</v>
      </c>
      <c r="C157" s="145">
        <v>5020</v>
      </c>
      <c r="D157" s="207"/>
      <c r="E157" s="216"/>
      <c r="F157" s="129">
        <f t="shared" si="14"/>
        <v>0</v>
      </c>
      <c r="G157" s="112"/>
      <c r="H157" s="113"/>
      <c r="I157" s="113"/>
      <c r="J157" s="113"/>
      <c r="K157" s="113"/>
    </row>
    <row r="158" spans="1:11" x14ac:dyDescent="0.25">
      <c r="A158" s="111" t="s">
        <v>72</v>
      </c>
      <c r="B158" s="108">
        <f t="shared" si="13"/>
        <v>125</v>
      </c>
      <c r="C158" s="145">
        <v>5030</v>
      </c>
      <c r="D158" s="207"/>
      <c r="E158" s="216"/>
      <c r="F158" s="129">
        <f t="shared" si="14"/>
        <v>0</v>
      </c>
      <c r="G158" s="112"/>
      <c r="H158" s="113"/>
      <c r="I158" s="113"/>
      <c r="J158" s="113"/>
      <c r="K158" s="113"/>
    </row>
    <row r="159" spans="1:11" x14ac:dyDescent="0.25">
      <c r="A159" s="111" t="s">
        <v>68</v>
      </c>
      <c r="B159" s="108">
        <f t="shared" si="13"/>
        <v>126</v>
      </c>
      <c r="C159" s="145" t="s">
        <v>187</v>
      </c>
      <c r="D159" s="207"/>
      <c r="E159" s="216"/>
      <c r="F159" s="129">
        <f t="shared" si="14"/>
        <v>0</v>
      </c>
      <c r="G159" s="112"/>
      <c r="H159" s="113"/>
      <c r="I159" s="113"/>
      <c r="J159" s="113"/>
      <c r="K159" s="113"/>
    </row>
    <row r="160" spans="1:11" x14ac:dyDescent="0.25">
      <c r="A160" s="111" t="s">
        <v>69</v>
      </c>
      <c r="B160" s="108">
        <f t="shared" si="13"/>
        <v>127</v>
      </c>
      <c r="C160" s="145" t="s">
        <v>188</v>
      </c>
      <c r="D160" s="207"/>
      <c r="E160" s="216"/>
      <c r="F160" s="129">
        <f t="shared" si="14"/>
        <v>0</v>
      </c>
      <c r="G160" s="112"/>
      <c r="H160" s="113"/>
      <c r="I160" s="113"/>
      <c r="J160" s="113"/>
      <c r="K160" s="113"/>
    </row>
    <row r="161" spans="1:19" x14ac:dyDescent="0.25">
      <c r="A161" s="111" t="s">
        <v>70</v>
      </c>
      <c r="B161" s="108">
        <f t="shared" si="13"/>
        <v>128</v>
      </c>
      <c r="C161" s="145" t="s">
        <v>189</v>
      </c>
      <c r="D161" s="207"/>
      <c r="E161" s="216"/>
      <c r="F161" s="129">
        <f t="shared" si="14"/>
        <v>0</v>
      </c>
      <c r="G161" s="112"/>
      <c r="H161" s="113"/>
      <c r="I161" s="113"/>
      <c r="J161" s="113"/>
      <c r="K161" s="113"/>
    </row>
    <row r="162" spans="1:19" ht="15.75" thickBot="1" x14ac:dyDescent="0.3">
      <c r="A162" s="111" t="s">
        <v>190</v>
      </c>
      <c r="B162" s="122">
        <f t="shared" si="13"/>
        <v>129</v>
      </c>
      <c r="C162" s="145">
        <v>5040</v>
      </c>
      <c r="D162" s="207"/>
      <c r="E162" s="216"/>
      <c r="F162" s="147">
        <f t="shared" si="14"/>
        <v>0</v>
      </c>
      <c r="G162" s="112"/>
      <c r="H162" s="113"/>
      <c r="I162" s="113"/>
      <c r="J162" s="113"/>
      <c r="K162" s="113"/>
    </row>
    <row r="163" spans="1:19" ht="15.75" thickBot="1" x14ac:dyDescent="0.3">
      <c r="A163" s="125" t="s">
        <v>129</v>
      </c>
      <c r="B163" s="126">
        <f t="shared" si="13"/>
        <v>130</v>
      </c>
      <c r="C163" s="94">
        <v>6000</v>
      </c>
      <c r="D163" s="133"/>
      <c r="E163" s="96"/>
      <c r="F163" s="127">
        <f t="shared" si="14"/>
        <v>0</v>
      </c>
      <c r="G163" s="97"/>
      <c r="H163" s="96"/>
      <c r="I163" s="96"/>
      <c r="J163" s="96"/>
      <c r="K163" s="96"/>
    </row>
    <row r="164" spans="1:19" x14ac:dyDescent="0.25">
      <c r="A164" s="111" t="s">
        <v>73</v>
      </c>
      <c r="B164" s="104">
        <f t="shared" si="13"/>
        <v>131</v>
      </c>
      <c r="C164" s="145">
        <v>6010</v>
      </c>
      <c r="D164" s="207"/>
      <c r="E164" s="216"/>
      <c r="F164" s="128">
        <f t="shared" si="14"/>
        <v>0</v>
      </c>
      <c r="G164" s="112"/>
      <c r="H164" s="113"/>
      <c r="I164" s="113"/>
      <c r="J164" s="113"/>
      <c r="K164" s="113"/>
    </row>
    <row r="165" spans="1:19" x14ac:dyDescent="0.25">
      <c r="A165" s="111" t="s">
        <v>74</v>
      </c>
      <c r="B165" s="108">
        <f t="shared" si="13"/>
        <v>132</v>
      </c>
      <c r="C165" s="145">
        <v>6020</v>
      </c>
      <c r="D165" s="207"/>
      <c r="E165" s="216"/>
      <c r="F165" s="129">
        <f t="shared" si="14"/>
        <v>0</v>
      </c>
      <c r="G165" s="112"/>
      <c r="H165" s="113"/>
      <c r="I165" s="113"/>
      <c r="J165" s="113"/>
      <c r="K165" s="113"/>
    </row>
    <row r="166" spans="1:19" ht="25.5" x14ac:dyDescent="0.25">
      <c r="A166" s="111" t="s">
        <v>130</v>
      </c>
      <c r="B166" s="108">
        <f t="shared" si="13"/>
        <v>133</v>
      </c>
      <c r="C166" s="145">
        <v>6030</v>
      </c>
      <c r="D166" s="207"/>
      <c r="E166" s="216"/>
      <c r="F166" s="129">
        <f t="shared" si="14"/>
        <v>0</v>
      </c>
      <c r="G166" s="112"/>
      <c r="H166" s="113"/>
      <c r="I166" s="113"/>
      <c r="J166" s="113"/>
      <c r="K166" s="113"/>
    </row>
    <row r="167" spans="1:19" ht="15.75" thickBot="1" x14ac:dyDescent="0.3">
      <c r="A167" s="134" t="s">
        <v>75</v>
      </c>
      <c r="B167" s="122">
        <f t="shared" si="13"/>
        <v>134</v>
      </c>
      <c r="C167" s="146">
        <v>6040</v>
      </c>
      <c r="D167" s="209"/>
      <c r="E167" s="240"/>
      <c r="F167" s="147">
        <f t="shared" si="14"/>
        <v>0</v>
      </c>
      <c r="G167" s="117"/>
      <c r="H167" s="136"/>
      <c r="I167" s="136"/>
      <c r="J167" s="136"/>
      <c r="K167" s="136"/>
    </row>
    <row r="168" spans="1:19" ht="15.75" thickBot="1" x14ac:dyDescent="0.3">
      <c r="A168" s="125" t="s">
        <v>131</v>
      </c>
      <c r="B168" s="126">
        <f t="shared" si="13"/>
        <v>135</v>
      </c>
      <c r="C168" s="94">
        <v>7000</v>
      </c>
      <c r="D168" s="133"/>
      <c r="E168" s="96"/>
      <c r="F168" s="127">
        <f t="shared" si="14"/>
        <v>0</v>
      </c>
      <c r="G168" s="97"/>
      <c r="H168" s="96"/>
      <c r="I168" s="96"/>
      <c r="J168" s="96"/>
      <c r="K168" s="96"/>
    </row>
    <row r="169" spans="1:19" x14ac:dyDescent="0.25">
      <c r="A169" s="107" t="s">
        <v>76</v>
      </c>
      <c r="B169" s="104">
        <f t="shared" si="13"/>
        <v>136</v>
      </c>
      <c r="C169" s="105">
        <v>7010</v>
      </c>
      <c r="D169" s="208"/>
      <c r="E169" s="239"/>
      <c r="F169" s="128">
        <f>E169+F145</f>
        <v>0</v>
      </c>
      <c r="G169" s="106"/>
      <c r="H169" s="121"/>
      <c r="I169" s="121"/>
      <c r="J169" s="121"/>
      <c r="K169" s="121"/>
    </row>
    <row r="170" spans="1:19" x14ac:dyDescent="0.25">
      <c r="A170" s="111" t="s">
        <v>77</v>
      </c>
      <c r="B170" s="108">
        <f t="shared" si="13"/>
        <v>137</v>
      </c>
      <c r="C170" s="145">
        <v>7020</v>
      </c>
      <c r="D170" s="207"/>
      <c r="E170" s="216"/>
      <c r="F170" s="129">
        <v>0</v>
      </c>
      <c r="G170" s="112"/>
      <c r="H170" s="113"/>
      <c r="I170" s="113"/>
      <c r="J170" s="113"/>
      <c r="K170" s="113"/>
    </row>
    <row r="171" spans="1:19" x14ac:dyDescent="0.25">
      <c r="A171" s="111" t="s">
        <v>78</v>
      </c>
      <c r="B171" s="108">
        <f t="shared" si="13"/>
        <v>138</v>
      </c>
      <c r="C171" s="145">
        <v>7030</v>
      </c>
      <c r="D171" s="207"/>
      <c r="E171" s="216"/>
      <c r="F171" s="129">
        <v>0</v>
      </c>
      <c r="G171" s="112"/>
      <c r="H171" s="113"/>
      <c r="I171" s="113"/>
      <c r="J171" s="113"/>
      <c r="K171" s="113"/>
    </row>
    <row r="172" spans="1:19" x14ac:dyDescent="0.25">
      <c r="A172" s="111" t="s">
        <v>79</v>
      </c>
      <c r="B172" s="108">
        <f t="shared" si="13"/>
        <v>139</v>
      </c>
      <c r="C172" s="145">
        <v>7040</v>
      </c>
      <c r="D172" s="207"/>
      <c r="E172" s="216"/>
      <c r="F172" s="129">
        <f t="shared" si="14"/>
        <v>0</v>
      </c>
      <c r="G172" s="112">
        <v>0</v>
      </c>
      <c r="H172" s="113">
        <v>0</v>
      </c>
      <c r="I172" s="113">
        <v>0</v>
      </c>
      <c r="J172" s="113">
        <v>0</v>
      </c>
      <c r="K172" s="113"/>
    </row>
    <row r="173" spans="1:19" ht="15.75" thickBot="1" x14ac:dyDescent="0.3">
      <c r="A173" s="134" t="s">
        <v>80</v>
      </c>
      <c r="B173" s="122">
        <f t="shared" si="13"/>
        <v>140</v>
      </c>
      <c r="C173" s="146">
        <v>7050</v>
      </c>
      <c r="D173" s="209"/>
      <c r="E173" s="240"/>
      <c r="F173" s="147">
        <f t="shared" si="14"/>
        <v>0</v>
      </c>
      <c r="G173" s="117">
        <v>0</v>
      </c>
      <c r="H173" s="136">
        <v>0</v>
      </c>
      <c r="I173" s="136">
        <v>0</v>
      </c>
      <c r="J173" s="136">
        <v>0</v>
      </c>
      <c r="K173" s="136"/>
    </row>
    <row r="174" spans="1:19" ht="15.75" thickBot="1" x14ac:dyDescent="0.3">
      <c r="A174" s="125" t="s">
        <v>132</v>
      </c>
      <c r="B174" s="126">
        <f t="shared" ref="B174:B206" si="18">B173+1</f>
        <v>141</v>
      </c>
      <c r="C174" s="149">
        <v>8000</v>
      </c>
      <c r="D174" s="127"/>
      <c r="E174" s="150"/>
      <c r="F174" s="127">
        <f t="shared" si="14"/>
        <v>0</v>
      </c>
      <c r="G174" s="97"/>
      <c r="H174" s="150"/>
      <c r="I174" s="150"/>
      <c r="J174" s="150"/>
      <c r="K174" s="96"/>
    </row>
    <row r="175" spans="1:19" x14ac:dyDescent="0.25">
      <c r="A175" s="107" t="s">
        <v>221</v>
      </c>
      <c r="B175" s="104">
        <f t="shared" si="18"/>
        <v>142</v>
      </c>
      <c r="C175" s="151">
        <v>8010</v>
      </c>
      <c r="D175" s="214"/>
      <c r="E175" s="252"/>
      <c r="F175" s="343">
        <f t="shared" ref="F175:J175" si="19">SUM(F176:F182)</f>
        <v>552</v>
      </c>
      <c r="G175" s="301">
        <f t="shared" si="19"/>
        <v>552</v>
      </c>
      <c r="H175" s="302">
        <f t="shared" si="19"/>
        <v>552</v>
      </c>
      <c r="I175" s="302">
        <f t="shared" si="19"/>
        <v>552</v>
      </c>
      <c r="J175" s="302">
        <f t="shared" si="19"/>
        <v>552</v>
      </c>
      <c r="K175" s="302"/>
      <c r="L175" s="658"/>
      <c r="M175" s="667"/>
      <c r="N175" s="667"/>
      <c r="O175" s="667"/>
      <c r="P175" s="257"/>
      <c r="Q175" s="257"/>
      <c r="R175" s="257"/>
      <c r="S175" s="257"/>
    </row>
    <row r="176" spans="1:19" x14ac:dyDescent="0.25">
      <c r="A176" s="111" t="s">
        <v>81</v>
      </c>
      <c r="B176" s="108">
        <f t="shared" si="18"/>
        <v>143</v>
      </c>
      <c r="C176" s="152" t="s">
        <v>191</v>
      </c>
      <c r="D176" s="129"/>
      <c r="E176" s="253"/>
      <c r="F176" s="328">
        <f t="shared" ref="F176:F177" si="20">G176</f>
        <v>0</v>
      </c>
      <c r="G176" s="303"/>
      <c r="H176" s="303"/>
      <c r="I176" s="303"/>
      <c r="J176" s="303"/>
      <c r="K176" s="344"/>
      <c r="L176" s="658"/>
      <c r="M176" s="667"/>
      <c r="N176" s="667"/>
      <c r="O176" s="667"/>
      <c r="P176" s="257"/>
      <c r="Q176" s="257"/>
      <c r="R176" s="257"/>
      <c r="S176" s="257"/>
    </row>
    <row r="177" spans="1:19" x14ac:dyDescent="0.25">
      <c r="A177" s="111" t="s">
        <v>114</v>
      </c>
      <c r="B177" s="108">
        <f t="shared" si="18"/>
        <v>144</v>
      </c>
      <c r="C177" s="152" t="s">
        <v>192</v>
      </c>
      <c r="D177" s="129"/>
      <c r="E177" s="253"/>
      <c r="F177" s="328">
        <f t="shared" si="20"/>
        <v>0</v>
      </c>
      <c r="G177" s="303"/>
      <c r="H177" s="303"/>
      <c r="I177" s="303"/>
      <c r="J177" s="303"/>
      <c r="K177" s="344"/>
      <c r="L177" s="257"/>
      <c r="M177" s="257"/>
      <c r="N177" s="257"/>
      <c r="O177" s="257"/>
      <c r="P177" s="257"/>
      <c r="Q177" s="257"/>
      <c r="R177" s="257"/>
      <c r="S177" s="257"/>
    </row>
    <row r="178" spans="1:19" x14ac:dyDescent="0.25">
      <c r="A178" s="111" t="s">
        <v>82</v>
      </c>
      <c r="B178" s="108">
        <f t="shared" si="18"/>
        <v>145</v>
      </c>
      <c r="C178" s="152" t="s">
        <v>193</v>
      </c>
      <c r="D178" s="129"/>
      <c r="E178" s="253"/>
      <c r="F178" s="303">
        <v>141.5</v>
      </c>
      <c r="G178" s="303">
        <v>141.5</v>
      </c>
      <c r="H178" s="303">
        <v>141.5</v>
      </c>
      <c r="I178" s="303">
        <v>141.5</v>
      </c>
      <c r="J178" s="303">
        <v>141.5</v>
      </c>
      <c r="K178" s="344"/>
      <c r="L178" s="348"/>
      <c r="M178" s="257"/>
      <c r="N178" s="257"/>
      <c r="O178" s="257"/>
      <c r="P178" s="257"/>
      <c r="Q178" s="257"/>
      <c r="R178" s="257"/>
      <c r="S178" s="257"/>
    </row>
    <row r="179" spans="1:19" x14ac:dyDescent="0.25">
      <c r="A179" s="111" t="s">
        <v>83</v>
      </c>
      <c r="B179" s="108">
        <f t="shared" si="18"/>
        <v>146</v>
      </c>
      <c r="C179" s="152" t="s">
        <v>194</v>
      </c>
      <c r="D179" s="129"/>
      <c r="E179" s="253"/>
      <c r="F179" s="303"/>
      <c r="G179" s="303"/>
      <c r="H179" s="303"/>
      <c r="I179" s="303"/>
      <c r="J179" s="303"/>
      <c r="K179" s="344"/>
      <c r="L179" s="257"/>
      <c r="M179" s="257"/>
      <c r="N179" s="257"/>
      <c r="O179" s="257"/>
      <c r="P179" s="257"/>
      <c r="Q179" s="257"/>
      <c r="R179" s="257"/>
      <c r="S179" s="257"/>
    </row>
    <row r="180" spans="1:19" x14ac:dyDescent="0.25">
      <c r="A180" s="111" t="s">
        <v>84</v>
      </c>
      <c r="B180" s="108">
        <f t="shared" si="18"/>
        <v>147</v>
      </c>
      <c r="C180" s="152" t="s">
        <v>195</v>
      </c>
      <c r="D180" s="129"/>
      <c r="E180" s="253"/>
      <c r="F180" s="303">
        <v>230.25</v>
      </c>
      <c r="G180" s="303">
        <v>230.25</v>
      </c>
      <c r="H180" s="303">
        <v>230.25</v>
      </c>
      <c r="I180" s="303">
        <v>230.25</v>
      </c>
      <c r="J180" s="303">
        <v>230.25</v>
      </c>
      <c r="K180" s="344"/>
      <c r="L180" s="257"/>
      <c r="M180" s="257"/>
      <c r="N180" s="257"/>
      <c r="O180" s="257"/>
      <c r="P180" s="257"/>
      <c r="Q180" s="257"/>
      <c r="R180" s="257"/>
      <c r="S180" s="257"/>
    </row>
    <row r="181" spans="1:19" x14ac:dyDescent="0.25">
      <c r="A181" s="111" t="s">
        <v>85</v>
      </c>
      <c r="B181" s="108">
        <f t="shared" si="18"/>
        <v>148</v>
      </c>
      <c r="C181" s="153" t="s">
        <v>196</v>
      </c>
      <c r="D181" s="129"/>
      <c r="E181" s="253"/>
      <c r="F181" s="303">
        <v>118</v>
      </c>
      <c r="G181" s="303">
        <v>118</v>
      </c>
      <c r="H181" s="303">
        <v>118</v>
      </c>
      <c r="I181" s="303">
        <v>118</v>
      </c>
      <c r="J181" s="303">
        <v>118</v>
      </c>
      <c r="K181" s="344"/>
      <c r="L181" s="257"/>
      <c r="M181" s="257"/>
      <c r="N181" s="257"/>
      <c r="O181" s="257"/>
      <c r="P181" s="257"/>
      <c r="Q181" s="313"/>
      <c r="R181" s="257"/>
      <c r="S181" s="257"/>
    </row>
    <row r="182" spans="1:19" ht="15.75" thickBot="1" x14ac:dyDescent="0.3">
      <c r="A182" s="134" t="s">
        <v>86</v>
      </c>
      <c r="B182" s="122">
        <f t="shared" si="18"/>
        <v>149</v>
      </c>
      <c r="C182" s="153" t="s">
        <v>197</v>
      </c>
      <c r="D182" s="147"/>
      <c r="E182" s="254"/>
      <c r="F182" s="304">
        <v>62.25</v>
      </c>
      <c r="G182" s="304">
        <v>62.25</v>
      </c>
      <c r="H182" s="304">
        <v>62.25</v>
      </c>
      <c r="I182" s="304">
        <v>62.25</v>
      </c>
      <c r="J182" s="304">
        <v>62.25</v>
      </c>
      <c r="K182" s="345"/>
      <c r="L182" s="257"/>
      <c r="M182" s="257"/>
      <c r="N182" s="257"/>
      <c r="O182" s="257"/>
      <c r="P182" s="257"/>
      <c r="Q182" s="313"/>
      <c r="R182" s="257"/>
      <c r="S182" s="257"/>
    </row>
    <row r="183" spans="1:19" ht="15.75" thickBot="1" x14ac:dyDescent="0.3">
      <c r="A183" s="98" t="s">
        <v>87</v>
      </c>
      <c r="B183" s="99">
        <f t="shared" si="18"/>
        <v>150</v>
      </c>
      <c r="C183" s="154">
        <v>8020</v>
      </c>
      <c r="D183" s="103"/>
      <c r="E183" s="251"/>
      <c r="F183" s="312">
        <f>G183+H183+I183+J183</f>
        <v>95211.4</v>
      </c>
      <c r="G183" s="305">
        <f>SUM(G184:G190)</f>
        <v>23831.1</v>
      </c>
      <c r="H183" s="309">
        <f>SUM(H184:H190)</f>
        <v>23831.1</v>
      </c>
      <c r="I183" s="238">
        <f>SUM(I184:I190)</f>
        <v>23831.1</v>
      </c>
      <c r="J183" s="251">
        <f>SUM(J184:J190)</f>
        <v>23718.1</v>
      </c>
      <c r="K183" s="309"/>
      <c r="L183" s="333"/>
      <c r="M183" s="333">
        <f>SUM(G55,G70,G97,G109)</f>
        <v>23831.100000000002</v>
      </c>
      <c r="N183" s="333">
        <f>SUM(H55,H70,H97,H109)</f>
        <v>23831.100000000002</v>
      </c>
      <c r="O183" s="333">
        <f>SUM(I55,I70,I97,I109)</f>
        <v>23831.1</v>
      </c>
      <c r="P183" s="333">
        <f>SUM(J55,J70,J97,J109)</f>
        <v>23718.1</v>
      </c>
      <c r="Q183" s="332"/>
      <c r="R183" s="257"/>
      <c r="S183" s="257"/>
    </row>
    <row r="184" spans="1:19" x14ac:dyDescent="0.25">
      <c r="A184" s="107" t="s">
        <v>81</v>
      </c>
      <c r="B184" s="104">
        <f t="shared" si="18"/>
        <v>151</v>
      </c>
      <c r="C184" s="152" t="s">
        <v>198</v>
      </c>
      <c r="D184" s="106"/>
      <c r="E184" s="239"/>
      <c r="F184" s="222">
        <f>SUM(G184:J184)</f>
        <v>0</v>
      </c>
      <c r="G184" s="306"/>
      <c r="H184" s="259"/>
      <c r="I184" s="255"/>
      <c r="J184" s="315"/>
      <c r="K184" s="331"/>
      <c r="L184" s="257"/>
      <c r="M184" s="257"/>
      <c r="N184" s="257"/>
      <c r="O184" s="257"/>
      <c r="P184" s="257"/>
      <c r="Q184" s="332"/>
      <c r="R184" s="257"/>
      <c r="S184" s="257"/>
    </row>
    <row r="185" spans="1:19" x14ac:dyDescent="0.25">
      <c r="A185" s="107" t="s">
        <v>115</v>
      </c>
      <c r="B185" s="108">
        <f t="shared" si="18"/>
        <v>152</v>
      </c>
      <c r="C185" s="152" t="s">
        <v>199</v>
      </c>
      <c r="D185" s="106"/>
      <c r="E185" s="239"/>
      <c r="F185" s="215">
        <f t="shared" ref="F185:F190" si="21">G185+H185+I185+J185</f>
        <v>0</v>
      </c>
      <c r="G185" s="306"/>
      <c r="H185" s="259"/>
      <c r="I185" s="255"/>
      <c r="J185" s="306"/>
      <c r="K185" s="259"/>
      <c r="L185" s="257"/>
      <c r="M185" s="257"/>
      <c r="N185" s="257"/>
      <c r="O185" s="257"/>
      <c r="P185" s="257"/>
      <c r="Q185" s="332"/>
      <c r="R185" s="257"/>
      <c r="S185" s="257"/>
    </row>
    <row r="186" spans="1:19" x14ac:dyDescent="0.25">
      <c r="A186" s="111" t="s">
        <v>82</v>
      </c>
      <c r="B186" s="108">
        <f t="shared" si="18"/>
        <v>153</v>
      </c>
      <c r="C186" s="152" t="s">
        <v>200</v>
      </c>
      <c r="D186" s="112"/>
      <c r="E186" s="216"/>
      <c r="F186" s="215">
        <f t="shared" si="21"/>
        <v>33960</v>
      </c>
      <c r="G186" s="307">
        <v>8490</v>
      </c>
      <c r="H186" s="307">
        <v>8490</v>
      </c>
      <c r="I186" s="307">
        <v>8490</v>
      </c>
      <c r="J186" s="307">
        <v>8490</v>
      </c>
      <c r="K186" s="260"/>
      <c r="L186" s="257"/>
      <c r="M186" s="257"/>
      <c r="N186" s="257"/>
      <c r="O186" s="257"/>
      <c r="P186" s="257"/>
      <c r="Q186" s="332"/>
      <c r="R186" s="257"/>
      <c r="S186" s="257"/>
    </row>
    <row r="187" spans="1:19" x14ac:dyDescent="0.25">
      <c r="A187" s="111" t="s">
        <v>83</v>
      </c>
      <c r="B187" s="108">
        <f t="shared" si="18"/>
        <v>154</v>
      </c>
      <c r="C187" s="152" t="s">
        <v>201</v>
      </c>
      <c r="D187" s="112"/>
      <c r="E187" s="216"/>
      <c r="F187" s="215">
        <f t="shared" si="21"/>
        <v>0</v>
      </c>
      <c r="G187" s="307"/>
      <c r="H187" s="260"/>
      <c r="I187" s="244"/>
      <c r="J187" s="307"/>
      <c r="K187" s="260"/>
      <c r="L187" s="257"/>
      <c r="M187" s="257"/>
      <c r="N187" s="257"/>
      <c r="O187" s="257"/>
      <c r="P187" s="257"/>
      <c r="Q187" s="332"/>
      <c r="R187" s="257"/>
      <c r="S187" s="257"/>
    </row>
    <row r="188" spans="1:19" x14ac:dyDescent="0.25">
      <c r="A188" s="111" t="s">
        <v>84</v>
      </c>
      <c r="B188" s="108">
        <f t="shared" si="18"/>
        <v>155</v>
      </c>
      <c r="C188" s="152" t="s">
        <v>202</v>
      </c>
      <c r="D188" s="112"/>
      <c r="E188" s="216"/>
      <c r="F188" s="215">
        <f t="shared" si="21"/>
        <v>37300.400000000001</v>
      </c>
      <c r="G188" s="307">
        <v>9325.1</v>
      </c>
      <c r="H188" s="307">
        <v>9325.1</v>
      </c>
      <c r="I188" s="307">
        <v>9325.1</v>
      </c>
      <c r="J188" s="307">
        <v>9325.1</v>
      </c>
      <c r="K188" s="260"/>
      <c r="L188" s="257"/>
      <c r="M188" s="257"/>
      <c r="N188" s="257"/>
      <c r="O188" s="257"/>
      <c r="P188" s="257"/>
      <c r="Q188" s="332"/>
      <c r="R188" s="257"/>
      <c r="S188" s="257"/>
    </row>
    <row r="189" spans="1:19" x14ac:dyDescent="0.25">
      <c r="A189" s="111" t="s">
        <v>85</v>
      </c>
      <c r="B189" s="108">
        <f t="shared" si="18"/>
        <v>156</v>
      </c>
      <c r="C189" s="153" t="s">
        <v>203</v>
      </c>
      <c r="D189" s="112"/>
      <c r="E189" s="216"/>
      <c r="F189" s="215">
        <f t="shared" si="21"/>
        <v>17265</v>
      </c>
      <c r="G189" s="307">
        <v>4333</v>
      </c>
      <c r="H189" s="307">
        <v>4333</v>
      </c>
      <c r="I189" s="307">
        <v>4333</v>
      </c>
      <c r="J189" s="307">
        <v>4266</v>
      </c>
      <c r="K189" s="260"/>
      <c r="L189" s="257"/>
      <c r="M189" s="257"/>
      <c r="N189" s="257"/>
      <c r="O189" s="257"/>
      <c r="P189" s="257"/>
      <c r="Q189" s="332"/>
      <c r="R189" s="257"/>
      <c r="S189" s="257"/>
    </row>
    <row r="190" spans="1:19" ht="15.75" thickBot="1" x14ac:dyDescent="0.3">
      <c r="A190" s="134" t="s">
        <v>86</v>
      </c>
      <c r="B190" s="122">
        <f t="shared" si="18"/>
        <v>157</v>
      </c>
      <c r="C190" s="153" t="s">
        <v>204</v>
      </c>
      <c r="D190" s="117"/>
      <c r="E190" s="240"/>
      <c r="F190" s="264">
        <f t="shared" si="21"/>
        <v>6686</v>
      </c>
      <c r="G190" s="308">
        <v>1683</v>
      </c>
      <c r="H190" s="261">
        <v>1683</v>
      </c>
      <c r="I190" s="261">
        <v>1683</v>
      </c>
      <c r="J190" s="308">
        <v>1637</v>
      </c>
      <c r="K190" s="310"/>
      <c r="L190" s="257"/>
      <c r="M190" s="257"/>
      <c r="N190" s="257"/>
      <c r="O190" s="257"/>
      <c r="P190" s="257"/>
      <c r="Q190" s="332"/>
      <c r="R190" s="257"/>
      <c r="S190" s="257"/>
    </row>
    <row r="191" spans="1:19" ht="26.25" thickBot="1" x14ac:dyDescent="0.3">
      <c r="A191" s="98" t="s">
        <v>675</v>
      </c>
      <c r="B191" s="99">
        <f t="shared" si="18"/>
        <v>158</v>
      </c>
      <c r="C191" s="154">
        <v>8030</v>
      </c>
      <c r="D191" s="103"/>
      <c r="E191" s="251"/>
      <c r="F191" s="312">
        <f t="shared" ref="F191:F198" si="22">F183/F175/12</f>
        <v>14.373701690821255</v>
      </c>
      <c r="G191" s="238">
        <f>G183/G175/3</f>
        <v>14.390760869565218</v>
      </c>
      <c r="H191" s="329">
        <f>H183/H175/3</f>
        <v>14.390760869565218</v>
      </c>
      <c r="I191" s="330">
        <f>I183/I175/3</f>
        <v>14.390760869565218</v>
      </c>
      <c r="J191" s="329">
        <f>J183/J175/3</f>
        <v>14.322524154589372</v>
      </c>
      <c r="K191" s="238"/>
      <c r="L191" s="257"/>
      <c r="M191" s="257"/>
      <c r="N191" s="257"/>
      <c r="O191" s="257"/>
      <c r="P191" s="257"/>
      <c r="Q191" s="313"/>
      <c r="R191" s="257"/>
      <c r="S191" s="257"/>
    </row>
    <row r="192" spans="1:19" x14ac:dyDescent="0.25">
      <c r="A192" s="107" t="s">
        <v>81</v>
      </c>
      <c r="B192" s="104">
        <f t="shared" si="18"/>
        <v>159</v>
      </c>
      <c r="C192" s="152" t="s">
        <v>205</v>
      </c>
      <c r="D192" s="106"/>
      <c r="E192" s="255"/>
      <c r="F192" s="222"/>
      <c r="G192" s="255"/>
      <c r="H192" s="331"/>
      <c r="I192" s="331"/>
      <c r="J192" s="331"/>
      <c r="K192" s="331"/>
    </row>
    <row r="193" spans="1:11" x14ac:dyDescent="0.25">
      <c r="A193" s="107" t="s">
        <v>115</v>
      </c>
      <c r="B193" s="108">
        <f t="shared" si="18"/>
        <v>160</v>
      </c>
      <c r="C193" s="152" t="s">
        <v>206</v>
      </c>
      <c r="D193" s="106"/>
      <c r="E193" s="255"/>
      <c r="F193" s="215"/>
      <c r="G193" s="255"/>
      <c r="H193" s="260"/>
      <c r="I193" s="260"/>
      <c r="J193" s="260"/>
      <c r="K193" s="259"/>
    </row>
    <row r="194" spans="1:11" x14ac:dyDescent="0.25">
      <c r="A194" s="111" t="s">
        <v>82</v>
      </c>
      <c r="B194" s="108">
        <f t="shared" si="18"/>
        <v>161</v>
      </c>
      <c r="C194" s="152" t="s">
        <v>207</v>
      </c>
      <c r="D194" s="112"/>
      <c r="E194" s="244"/>
      <c r="F194" s="215">
        <f t="shared" si="22"/>
        <v>20</v>
      </c>
      <c r="G194" s="244">
        <f>G186/G178/3</f>
        <v>20</v>
      </c>
      <c r="H194" s="260">
        <f>H186/H178/3</f>
        <v>20</v>
      </c>
      <c r="I194" s="260">
        <f>I186/I178/3</f>
        <v>20</v>
      </c>
      <c r="J194" s="260">
        <f>J186/J178/3</f>
        <v>20</v>
      </c>
      <c r="K194" s="260"/>
    </row>
    <row r="195" spans="1:11" x14ac:dyDescent="0.25">
      <c r="A195" s="111" t="s">
        <v>83</v>
      </c>
      <c r="B195" s="108">
        <f t="shared" si="18"/>
        <v>162</v>
      </c>
      <c r="C195" s="152" t="s">
        <v>208</v>
      </c>
      <c r="D195" s="112"/>
      <c r="E195" s="244"/>
      <c r="F195" s="215"/>
      <c r="G195" s="244"/>
      <c r="H195" s="260"/>
      <c r="I195" s="260"/>
      <c r="J195" s="260"/>
      <c r="K195" s="260"/>
    </row>
    <row r="196" spans="1:11" x14ac:dyDescent="0.25">
      <c r="A196" s="111" t="s">
        <v>84</v>
      </c>
      <c r="B196" s="108">
        <f t="shared" si="18"/>
        <v>163</v>
      </c>
      <c r="C196" s="152" t="s">
        <v>209</v>
      </c>
      <c r="D196" s="112"/>
      <c r="E196" s="244"/>
      <c r="F196" s="215">
        <f t="shared" si="22"/>
        <v>13.499963807455664</v>
      </c>
      <c r="G196" s="244">
        <f t="shared" ref="G196:J198" si="23">G188/G180/3</f>
        <v>13.499963807455664</v>
      </c>
      <c r="H196" s="260">
        <f t="shared" si="23"/>
        <v>13.499963807455664</v>
      </c>
      <c r="I196" s="260">
        <f t="shared" si="23"/>
        <v>13.499963807455664</v>
      </c>
      <c r="J196" s="260">
        <f t="shared" si="23"/>
        <v>13.499963807455664</v>
      </c>
      <c r="K196" s="260"/>
    </row>
    <row r="197" spans="1:11" x14ac:dyDescent="0.25">
      <c r="A197" s="111" t="s">
        <v>85</v>
      </c>
      <c r="B197" s="108">
        <f t="shared" si="18"/>
        <v>164</v>
      </c>
      <c r="C197" s="153" t="s">
        <v>210</v>
      </c>
      <c r="D197" s="112"/>
      <c r="E197" s="244"/>
      <c r="F197" s="215">
        <f t="shared" si="22"/>
        <v>12.192796610169493</v>
      </c>
      <c r="G197" s="244">
        <f t="shared" si="23"/>
        <v>12.240112994350282</v>
      </c>
      <c r="H197" s="260">
        <f t="shared" si="23"/>
        <v>12.240112994350282</v>
      </c>
      <c r="I197" s="260">
        <f t="shared" si="23"/>
        <v>12.240112994350282</v>
      </c>
      <c r="J197" s="260">
        <f t="shared" si="23"/>
        <v>12.050847457627119</v>
      </c>
      <c r="K197" s="260"/>
    </row>
    <row r="198" spans="1:11" ht="15.75" thickBot="1" x14ac:dyDescent="0.3">
      <c r="A198" s="134" t="s">
        <v>86</v>
      </c>
      <c r="B198" s="122">
        <f t="shared" si="18"/>
        <v>165</v>
      </c>
      <c r="C198" s="153" t="s">
        <v>211</v>
      </c>
      <c r="D198" s="117"/>
      <c r="E198" s="256"/>
      <c r="F198" s="264">
        <f t="shared" si="22"/>
        <v>8.950468540829986</v>
      </c>
      <c r="G198" s="256">
        <f t="shared" si="23"/>
        <v>9.0120481927710845</v>
      </c>
      <c r="H198" s="310">
        <f t="shared" si="23"/>
        <v>9.0120481927710845</v>
      </c>
      <c r="I198" s="310">
        <f t="shared" si="23"/>
        <v>9.0120481927710845</v>
      </c>
      <c r="J198" s="310">
        <f t="shared" si="23"/>
        <v>8.7657295850066941</v>
      </c>
      <c r="K198" s="310"/>
    </row>
    <row r="199" spans="1:11" ht="15.75" thickBot="1" x14ac:dyDescent="0.3">
      <c r="A199" s="98" t="s">
        <v>88</v>
      </c>
      <c r="B199" s="99">
        <f t="shared" si="18"/>
        <v>166</v>
      </c>
      <c r="C199" s="154">
        <v>8040</v>
      </c>
      <c r="D199" s="103"/>
      <c r="E199" s="251"/>
      <c r="F199" s="312">
        <f t="shared" ref="F199:F206" si="24">G199+H199+I199+J199</f>
        <v>0</v>
      </c>
      <c r="G199" s="251"/>
      <c r="H199" s="346"/>
      <c r="I199" s="347"/>
      <c r="J199" s="346"/>
      <c r="K199" s="238"/>
    </row>
    <row r="200" spans="1:11" x14ac:dyDescent="0.25">
      <c r="A200" s="107" t="s">
        <v>81</v>
      </c>
      <c r="B200" s="104">
        <f t="shared" si="18"/>
        <v>167</v>
      </c>
      <c r="C200" s="152" t="s">
        <v>212</v>
      </c>
      <c r="D200" s="106"/>
      <c r="E200" s="239"/>
      <c r="F200" s="128">
        <f t="shared" si="24"/>
        <v>0</v>
      </c>
      <c r="G200" s="156"/>
      <c r="H200" s="106"/>
      <c r="I200" s="157"/>
      <c r="J200" s="106"/>
      <c r="K200" s="121"/>
    </row>
    <row r="201" spans="1:11" x14ac:dyDescent="0.25">
      <c r="A201" s="111" t="s">
        <v>115</v>
      </c>
      <c r="B201" s="108">
        <f t="shared" si="18"/>
        <v>168</v>
      </c>
      <c r="C201" s="152" t="s">
        <v>213</v>
      </c>
      <c r="D201" s="112"/>
      <c r="E201" s="216"/>
      <c r="F201" s="129">
        <f t="shared" si="24"/>
        <v>0</v>
      </c>
      <c r="G201" s="159"/>
      <c r="H201" s="112"/>
      <c r="I201" s="160"/>
      <c r="J201" s="112"/>
      <c r="K201" s="113"/>
    </row>
    <row r="202" spans="1:11" x14ac:dyDescent="0.25">
      <c r="A202" s="111" t="s">
        <v>82</v>
      </c>
      <c r="B202" s="108">
        <f t="shared" si="18"/>
        <v>169</v>
      </c>
      <c r="C202" s="152" t="s">
        <v>214</v>
      </c>
      <c r="D202" s="112"/>
      <c r="E202" s="216"/>
      <c r="F202" s="129">
        <f t="shared" si="24"/>
        <v>0</v>
      </c>
      <c r="G202" s="159"/>
      <c r="H202" s="112"/>
      <c r="I202" s="160"/>
      <c r="J202" s="112"/>
      <c r="K202" s="113"/>
    </row>
    <row r="203" spans="1:11" x14ac:dyDescent="0.25">
      <c r="A203" s="111" t="s">
        <v>83</v>
      </c>
      <c r="B203" s="108">
        <f t="shared" si="18"/>
        <v>170</v>
      </c>
      <c r="C203" s="152" t="s">
        <v>215</v>
      </c>
      <c r="D203" s="112"/>
      <c r="E203" s="216"/>
      <c r="F203" s="129">
        <f t="shared" si="24"/>
        <v>0</v>
      </c>
      <c r="G203" s="159"/>
      <c r="H203" s="112"/>
      <c r="I203" s="160"/>
      <c r="J203" s="112"/>
      <c r="K203" s="113"/>
    </row>
    <row r="204" spans="1:11" x14ac:dyDescent="0.25">
      <c r="A204" s="111" t="s">
        <v>84</v>
      </c>
      <c r="B204" s="108">
        <f t="shared" si="18"/>
        <v>171</v>
      </c>
      <c r="C204" s="152" t="s">
        <v>216</v>
      </c>
      <c r="D204" s="112"/>
      <c r="E204" s="216"/>
      <c r="F204" s="129">
        <f t="shared" si="24"/>
        <v>0</v>
      </c>
      <c r="G204" s="159"/>
      <c r="H204" s="112"/>
      <c r="I204" s="160"/>
      <c r="J204" s="112"/>
      <c r="K204" s="113"/>
    </row>
    <row r="205" spans="1:11" x14ac:dyDescent="0.25">
      <c r="A205" s="111" t="s">
        <v>85</v>
      </c>
      <c r="B205" s="108">
        <f t="shared" si="18"/>
        <v>172</v>
      </c>
      <c r="C205" s="153" t="s">
        <v>217</v>
      </c>
      <c r="D205" s="112"/>
      <c r="E205" s="216"/>
      <c r="F205" s="129">
        <f t="shared" si="24"/>
        <v>0</v>
      </c>
      <c r="G205" s="159"/>
      <c r="H205" s="112"/>
      <c r="I205" s="160"/>
      <c r="J205" s="112"/>
      <c r="K205" s="113"/>
    </row>
    <row r="206" spans="1:11" ht="15.75" thickBot="1" x14ac:dyDescent="0.3">
      <c r="A206" s="161" t="s">
        <v>86</v>
      </c>
      <c r="B206" s="122">
        <f t="shared" si="18"/>
        <v>173</v>
      </c>
      <c r="C206" s="266" t="s">
        <v>218</v>
      </c>
      <c r="D206" s="124"/>
      <c r="E206" s="241"/>
      <c r="F206" s="147">
        <f t="shared" si="24"/>
        <v>0</v>
      </c>
      <c r="G206" s="163"/>
      <c r="H206" s="124"/>
      <c r="I206" s="164"/>
      <c r="J206" s="124"/>
      <c r="K206" s="123"/>
    </row>
    <row r="207" spans="1:11" x14ac:dyDescent="0.25">
      <c r="A207" s="72"/>
      <c r="B207" s="87"/>
      <c r="C207" s="165"/>
      <c r="D207" s="664"/>
      <c r="E207" s="664"/>
      <c r="F207" s="664"/>
      <c r="G207" s="166"/>
      <c r="K207" s="1"/>
    </row>
    <row r="208" spans="1:11" x14ac:dyDescent="0.25">
      <c r="B208" s="87"/>
      <c r="C208" s="71"/>
      <c r="D208" s="665"/>
      <c r="E208" s="665"/>
      <c r="F208" s="665"/>
      <c r="G208" s="167"/>
      <c r="K208" s="168"/>
    </row>
    <row r="209" spans="1:10" x14ac:dyDescent="0.25">
      <c r="A209" s="72" t="s">
        <v>704</v>
      </c>
      <c r="E209" s="257"/>
      <c r="H209" s="666" t="s">
        <v>705</v>
      </c>
      <c r="I209" s="666"/>
      <c r="J209" s="666"/>
    </row>
    <row r="210" spans="1:10" x14ac:dyDescent="0.25">
      <c r="A210" s="231"/>
      <c r="E210" s="257"/>
      <c r="H210" s="660"/>
      <c r="I210" s="660"/>
      <c r="J210" s="660"/>
    </row>
  </sheetData>
  <mergeCells count="44">
    <mergeCell ref="H210:J210"/>
    <mergeCell ref="F31:F32"/>
    <mergeCell ref="G31:J31"/>
    <mergeCell ref="K31:K32"/>
    <mergeCell ref="D207:F207"/>
    <mergeCell ref="D208:F208"/>
    <mergeCell ref="H209:J209"/>
    <mergeCell ref="B25:H25"/>
    <mergeCell ref="I25:J25"/>
    <mergeCell ref="B26:H26"/>
    <mergeCell ref="B27:H27"/>
    <mergeCell ref="A29:J29"/>
    <mergeCell ref="A31:A32"/>
    <mergeCell ref="B31:B32"/>
    <mergeCell ref="C31:C32"/>
    <mergeCell ref="D31:D32"/>
    <mergeCell ref="E31:E32"/>
    <mergeCell ref="B21:H21"/>
    <mergeCell ref="I21:J21"/>
    <mergeCell ref="B22:H22"/>
    <mergeCell ref="B23:H23"/>
    <mergeCell ref="B24:H24"/>
    <mergeCell ref="I24:J24"/>
    <mergeCell ref="I18:J18"/>
    <mergeCell ref="B19:H19"/>
    <mergeCell ref="I19:J19"/>
    <mergeCell ref="B20:H20"/>
    <mergeCell ref="I20:J20"/>
    <mergeCell ref="J5:K5"/>
    <mergeCell ref="L175:O176"/>
    <mergeCell ref="B17:H17"/>
    <mergeCell ref="I17:J17"/>
    <mergeCell ref="G1:K1"/>
    <mergeCell ref="I8:J8"/>
    <mergeCell ref="I9:J9"/>
    <mergeCell ref="I10:J10"/>
    <mergeCell ref="I11:J11"/>
    <mergeCell ref="I12:J12"/>
    <mergeCell ref="I14:J14"/>
    <mergeCell ref="B15:H15"/>
    <mergeCell ref="I15:K15"/>
    <mergeCell ref="B16:H16"/>
    <mergeCell ref="I16:J16"/>
    <mergeCell ref="B18:H18"/>
  </mergeCells>
  <pageMargins left="0.7" right="0.7" top="0.75" bottom="0.75" header="0.3" footer="0.3"/>
  <pageSetup paperSize="9" scale="70" orientation="landscape" r:id="rId1"/>
  <headerFooter>
    <oddHeader xml:space="preserve">&amp;C
</oddHeader>
    <oddFooter xml:space="preserve">&amp;C&amp;P
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2"/>
  <sheetViews>
    <sheetView tabSelected="1" view="pageBreakPreview" topLeftCell="A181" zoomScale="80" zoomScaleNormal="100" zoomScaleSheetLayoutView="80" workbookViewId="0">
      <selection activeCell="B25" sqref="B25:H25"/>
    </sheetView>
  </sheetViews>
  <sheetFormatPr defaultRowHeight="15" x14ac:dyDescent="0.25"/>
  <cols>
    <col min="1" max="1" width="69.7109375" customWidth="1"/>
    <col min="4" max="4" width="11" customWidth="1"/>
    <col min="5" max="5" width="11.7109375" style="257" customWidth="1"/>
    <col min="6" max="6" width="14.28515625" customWidth="1"/>
    <col min="7" max="7" width="12.28515625" customWidth="1"/>
    <col min="8" max="8" width="11.85546875" customWidth="1"/>
    <col min="9" max="10" width="12.28515625" customWidth="1"/>
    <col min="11" max="11" width="13" customWidth="1"/>
  </cols>
  <sheetData>
    <row r="1" spans="1:11" ht="47.25" customHeight="1" x14ac:dyDescent="0.25">
      <c r="A1" s="68"/>
      <c r="B1" s="69"/>
      <c r="C1" s="70"/>
      <c r="D1" s="70"/>
      <c r="E1" s="70"/>
      <c r="F1" s="68"/>
      <c r="G1" s="634" t="s">
        <v>0</v>
      </c>
      <c r="H1" s="634"/>
      <c r="I1" s="634"/>
      <c r="J1" s="634"/>
      <c r="K1" s="634"/>
    </row>
    <row r="2" spans="1:11" x14ac:dyDescent="0.25">
      <c r="A2" s="1"/>
      <c r="B2" s="69"/>
      <c r="C2" s="71"/>
      <c r="D2" s="71"/>
      <c r="E2" s="71"/>
      <c r="F2" s="1"/>
      <c r="G2" s="72"/>
      <c r="H2" s="72"/>
      <c r="I2" s="72"/>
      <c r="J2" s="72"/>
      <c r="K2" s="72"/>
    </row>
    <row r="3" spans="1:11" x14ac:dyDescent="0.25">
      <c r="A3" s="1"/>
      <c r="B3" s="69"/>
      <c r="C3" s="71"/>
      <c r="D3" s="73"/>
      <c r="E3" s="71"/>
      <c r="F3" s="74"/>
      <c r="G3" s="74" t="s">
        <v>1</v>
      </c>
      <c r="H3" s="74"/>
      <c r="I3" s="74"/>
      <c r="J3" s="74"/>
      <c r="K3" s="1"/>
    </row>
    <row r="4" spans="1:11" x14ac:dyDescent="0.25">
      <c r="A4" s="1" t="s">
        <v>2</v>
      </c>
      <c r="B4" s="69"/>
      <c r="C4" s="71"/>
      <c r="D4" s="73"/>
      <c r="E4" s="71"/>
      <c r="F4" s="74"/>
      <c r="G4" s="74"/>
      <c r="H4" s="74"/>
      <c r="I4" s="74"/>
      <c r="J4" s="74"/>
      <c r="K4" s="1"/>
    </row>
    <row r="5" spans="1:11" x14ac:dyDescent="0.25">
      <c r="A5" s="1" t="s">
        <v>676</v>
      </c>
      <c r="B5" s="69"/>
      <c r="C5" s="71"/>
      <c r="D5" s="73"/>
      <c r="E5" s="71"/>
      <c r="F5" s="74"/>
      <c r="G5" s="74" t="s">
        <v>3</v>
      </c>
      <c r="H5" s="74"/>
      <c r="I5" s="74"/>
      <c r="J5" s="645" t="s">
        <v>696</v>
      </c>
      <c r="K5" s="645"/>
    </row>
    <row r="6" spans="1:11" x14ac:dyDescent="0.25">
      <c r="A6" s="1" t="s">
        <v>9</v>
      </c>
      <c r="B6" s="69"/>
      <c r="C6" s="71"/>
      <c r="D6" s="73"/>
      <c r="E6" s="71"/>
      <c r="F6" s="74"/>
      <c r="G6" s="74"/>
      <c r="H6" s="74"/>
      <c r="I6" s="74"/>
      <c r="J6" s="74"/>
      <c r="K6" s="1"/>
    </row>
    <row r="7" spans="1:11" ht="15.75" thickBot="1" x14ac:dyDescent="0.3">
      <c r="A7" s="1" t="s">
        <v>697</v>
      </c>
      <c r="B7" s="69"/>
      <c r="C7" s="71"/>
      <c r="D7" s="73"/>
      <c r="E7" s="71"/>
      <c r="F7" s="74"/>
      <c r="G7" s="74"/>
      <c r="H7" s="74"/>
      <c r="I7" s="74"/>
      <c r="J7" s="74"/>
      <c r="K7" s="1"/>
    </row>
    <row r="8" spans="1:11" x14ac:dyDescent="0.25">
      <c r="A8" s="1" t="s">
        <v>4</v>
      </c>
      <c r="B8" s="69"/>
      <c r="C8" s="71"/>
      <c r="D8" s="73"/>
      <c r="E8" s="71"/>
      <c r="F8" s="74"/>
      <c r="G8" s="74"/>
      <c r="H8" s="1"/>
      <c r="I8" s="635" t="s">
        <v>5</v>
      </c>
      <c r="J8" s="636"/>
      <c r="K8" s="230"/>
    </row>
    <row r="9" spans="1:11" x14ac:dyDescent="0.25">
      <c r="A9" s="1" t="s">
        <v>2</v>
      </c>
      <c r="B9" s="69"/>
      <c r="C9" s="71"/>
      <c r="D9" s="73"/>
      <c r="E9" s="71"/>
      <c r="F9" s="74"/>
      <c r="G9" s="74"/>
      <c r="H9" s="1"/>
      <c r="I9" s="637" t="s">
        <v>6</v>
      </c>
      <c r="J9" s="638"/>
      <c r="K9" s="75"/>
    </row>
    <row r="10" spans="1:11" x14ac:dyDescent="0.25">
      <c r="A10" s="1" t="s">
        <v>7</v>
      </c>
      <c r="B10" s="69"/>
      <c r="C10" s="71"/>
      <c r="D10" s="73"/>
      <c r="E10" s="71"/>
      <c r="F10" s="74"/>
      <c r="G10" s="74"/>
      <c r="H10" s="1"/>
      <c r="I10" s="637" t="s">
        <v>8</v>
      </c>
      <c r="J10" s="638"/>
      <c r="K10" s="75"/>
    </row>
    <row r="11" spans="1:11" x14ac:dyDescent="0.25">
      <c r="A11" s="1" t="s">
        <v>9</v>
      </c>
      <c r="B11" s="69"/>
      <c r="C11" s="71"/>
      <c r="D11" s="73"/>
      <c r="E11" s="71"/>
      <c r="F11" s="74"/>
      <c r="G11" s="74"/>
      <c r="H11" s="1"/>
      <c r="I11" s="637" t="s">
        <v>10</v>
      </c>
      <c r="J11" s="638"/>
      <c r="K11" s="75"/>
    </row>
    <row r="12" spans="1:11" ht="15.75" thickBot="1" x14ac:dyDescent="0.3">
      <c r="A12" s="1" t="s">
        <v>698</v>
      </c>
      <c r="B12" s="69"/>
      <c r="C12" s="71"/>
      <c r="D12" s="73"/>
      <c r="E12" s="71"/>
      <c r="F12" s="74"/>
      <c r="G12" s="74"/>
      <c r="H12" s="1"/>
      <c r="I12" s="639" t="s">
        <v>11</v>
      </c>
      <c r="J12" s="640"/>
      <c r="K12" s="76"/>
    </row>
    <row r="13" spans="1:11" x14ac:dyDescent="0.25">
      <c r="A13" s="1" t="s">
        <v>4</v>
      </c>
      <c r="B13" s="69"/>
      <c r="C13" s="71"/>
      <c r="D13" s="73"/>
      <c r="E13" s="71"/>
      <c r="F13" s="74"/>
      <c r="G13" s="74"/>
      <c r="H13" s="74"/>
      <c r="I13" s="74"/>
      <c r="J13" s="74"/>
      <c r="K13" s="1"/>
    </row>
    <row r="14" spans="1:11" ht="15.75" thickBot="1" x14ac:dyDescent="0.3">
      <c r="A14" s="1"/>
      <c r="B14" s="69"/>
      <c r="C14" s="77"/>
      <c r="D14" s="77"/>
      <c r="E14" s="77"/>
      <c r="F14" s="77"/>
      <c r="G14" s="74"/>
      <c r="H14" s="74"/>
      <c r="I14" s="641"/>
      <c r="J14" s="641"/>
      <c r="K14" s="1"/>
    </row>
    <row r="15" spans="1:11" ht="15.75" thickBot="1" x14ac:dyDescent="0.3">
      <c r="A15" s="78" t="s">
        <v>12</v>
      </c>
      <c r="B15" s="642">
        <v>2022</v>
      </c>
      <c r="C15" s="643"/>
      <c r="D15" s="643"/>
      <c r="E15" s="643"/>
      <c r="F15" s="643"/>
      <c r="G15" s="643"/>
      <c r="H15" s="644"/>
      <c r="I15" s="629" t="s">
        <v>13</v>
      </c>
      <c r="J15" s="630"/>
      <c r="K15" s="631"/>
    </row>
    <row r="16" spans="1:11" ht="15.75" thickBot="1" x14ac:dyDescent="0.3">
      <c r="A16" s="79" t="s">
        <v>14</v>
      </c>
      <c r="B16" s="629" t="s">
        <v>248</v>
      </c>
      <c r="C16" s="630"/>
      <c r="D16" s="630"/>
      <c r="E16" s="630"/>
      <c r="F16" s="630"/>
      <c r="G16" s="630"/>
      <c r="H16" s="631"/>
      <c r="I16" s="632" t="s">
        <v>15</v>
      </c>
      <c r="J16" s="633"/>
      <c r="K16" s="80">
        <v>42352786</v>
      </c>
    </row>
    <row r="17" spans="1:11" ht="15.75" thickBot="1" x14ac:dyDescent="0.3">
      <c r="A17" s="79" t="s">
        <v>16</v>
      </c>
      <c r="B17" s="629" t="s">
        <v>249</v>
      </c>
      <c r="C17" s="630"/>
      <c r="D17" s="630"/>
      <c r="E17" s="630"/>
      <c r="F17" s="630"/>
      <c r="G17" s="630"/>
      <c r="H17" s="631"/>
      <c r="I17" s="632" t="s">
        <v>17</v>
      </c>
      <c r="J17" s="633"/>
      <c r="K17" s="80">
        <v>150</v>
      </c>
    </row>
    <row r="18" spans="1:11" ht="15.75" thickBot="1" x14ac:dyDescent="0.3">
      <c r="A18" s="79" t="s">
        <v>18</v>
      </c>
      <c r="B18" s="629" t="s">
        <v>250</v>
      </c>
      <c r="C18" s="630"/>
      <c r="D18" s="630"/>
      <c r="E18" s="630"/>
      <c r="F18" s="630"/>
      <c r="G18" s="630"/>
      <c r="H18" s="631"/>
      <c r="I18" s="632" t="s">
        <v>19</v>
      </c>
      <c r="J18" s="633"/>
      <c r="K18" s="80">
        <v>2610100000</v>
      </c>
    </row>
    <row r="19" spans="1:11" ht="15.75" thickBot="1" x14ac:dyDescent="0.3">
      <c r="A19" s="79" t="s">
        <v>20</v>
      </c>
      <c r="B19" s="629"/>
      <c r="C19" s="630"/>
      <c r="D19" s="630"/>
      <c r="E19" s="630"/>
      <c r="F19" s="630"/>
      <c r="G19" s="630"/>
      <c r="H19" s="631"/>
      <c r="I19" s="632" t="s">
        <v>21</v>
      </c>
      <c r="J19" s="633"/>
      <c r="K19" s="80"/>
    </row>
    <row r="20" spans="1:11" ht="15.75" thickBot="1" x14ac:dyDescent="0.3">
      <c r="A20" s="79" t="s">
        <v>22</v>
      </c>
      <c r="B20" s="629" t="s">
        <v>251</v>
      </c>
      <c r="C20" s="630"/>
      <c r="D20" s="630"/>
      <c r="E20" s="630"/>
      <c r="F20" s="630"/>
      <c r="G20" s="630"/>
      <c r="H20" s="631"/>
      <c r="I20" s="632" t="s">
        <v>23</v>
      </c>
      <c r="J20" s="633"/>
      <c r="K20" s="80"/>
    </row>
    <row r="21" spans="1:11" ht="15.75" thickBot="1" x14ac:dyDescent="0.3">
      <c r="A21" s="79" t="s">
        <v>24</v>
      </c>
      <c r="B21" s="629" t="s">
        <v>252</v>
      </c>
      <c r="C21" s="630"/>
      <c r="D21" s="630"/>
      <c r="E21" s="630"/>
      <c r="F21" s="630"/>
      <c r="G21" s="630"/>
      <c r="H21" s="631"/>
      <c r="I21" s="632" t="s">
        <v>25</v>
      </c>
      <c r="J21" s="633"/>
      <c r="K21" s="80" t="s">
        <v>256</v>
      </c>
    </row>
    <row r="22" spans="1:11" ht="15.75" thickBot="1" x14ac:dyDescent="0.3">
      <c r="A22" s="79" t="s">
        <v>26</v>
      </c>
      <c r="B22" s="646" t="s">
        <v>27</v>
      </c>
      <c r="C22" s="647"/>
      <c r="D22" s="647"/>
      <c r="E22" s="647"/>
      <c r="F22" s="647"/>
      <c r="G22" s="647"/>
      <c r="H22" s="648"/>
      <c r="I22" s="81"/>
      <c r="J22" s="82"/>
      <c r="K22" s="80"/>
    </row>
    <row r="23" spans="1:11" ht="15.75" thickBot="1" x14ac:dyDescent="0.3">
      <c r="A23" s="79" t="s">
        <v>28</v>
      </c>
      <c r="B23" s="629" t="s">
        <v>253</v>
      </c>
      <c r="C23" s="630"/>
      <c r="D23" s="630"/>
      <c r="E23" s="630"/>
      <c r="F23" s="630"/>
      <c r="G23" s="630"/>
      <c r="H23" s="631"/>
      <c r="I23" s="81"/>
      <c r="J23" s="82"/>
      <c r="K23" s="80"/>
    </row>
    <row r="24" spans="1:11" ht="32.25" customHeight="1" thickBot="1" x14ac:dyDescent="0.3">
      <c r="A24" s="258" t="s">
        <v>219</v>
      </c>
      <c r="B24" s="646">
        <v>1121.5</v>
      </c>
      <c r="C24" s="647"/>
      <c r="D24" s="647"/>
      <c r="E24" s="647"/>
      <c r="F24" s="647"/>
      <c r="G24" s="647"/>
      <c r="H24" s="648"/>
      <c r="I24" s="632" t="s">
        <v>29</v>
      </c>
      <c r="J24" s="633"/>
      <c r="K24" s="80"/>
    </row>
    <row r="25" spans="1:11" ht="28.5" customHeight="1" thickBot="1" x14ac:dyDescent="0.3">
      <c r="A25" s="79" t="s">
        <v>30</v>
      </c>
      <c r="B25" s="646" t="s">
        <v>254</v>
      </c>
      <c r="C25" s="647"/>
      <c r="D25" s="647"/>
      <c r="E25" s="647"/>
      <c r="F25" s="647"/>
      <c r="G25" s="647"/>
      <c r="H25" s="648"/>
      <c r="I25" s="632" t="s">
        <v>31</v>
      </c>
      <c r="J25" s="633"/>
      <c r="K25" s="80"/>
    </row>
    <row r="26" spans="1:11" ht="15.75" thickBot="1" x14ac:dyDescent="0.3">
      <c r="A26" s="79" t="s">
        <v>32</v>
      </c>
      <c r="B26" s="629" t="s">
        <v>255</v>
      </c>
      <c r="C26" s="630"/>
      <c r="D26" s="630"/>
      <c r="E26" s="630"/>
      <c r="F26" s="630"/>
      <c r="G26" s="630"/>
      <c r="H26" s="631"/>
      <c r="I26" s="83"/>
      <c r="J26" s="83"/>
      <c r="K26" s="83"/>
    </row>
    <row r="27" spans="1:11" ht="15.75" thickBot="1" x14ac:dyDescent="0.3">
      <c r="A27" s="79" t="s">
        <v>33</v>
      </c>
      <c r="B27" s="629" t="s">
        <v>247</v>
      </c>
      <c r="C27" s="630"/>
      <c r="D27" s="630"/>
      <c r="E27" s="630"/>
      <c r="F27" s="630"/>
      <c r="G27" s="630"/>
      <c r="H27" s="631"/>
      <c r="I27" s="1"/>
      <c r="J27" s="1"/>
      <c r="K27" s="1"/>
    </row>
    <row r="28" spans="1:11" ht="4.5" customHeight="1" x14ac:dyDescent="0.25">
      <c r="A28" s="84"/>
      <c r="B28" s="85"/>
      <c r="C28" s="71"/>
      <c r="D28" s="71"/>
      <c r="E28" s="71"/>
      <c r="F28" s="1"/>
      <c r="G28" s="1"/>
      <c r="H28" s="1"/>
      <c r="I28" s="1"/>
      <c r="J28" s="1"/>
      <c r="K28" s="1"/>
    </row>
    <row r="29" spans="1:11" ht="60.75" customHeight="1" x14ac:dyDescent="0.25">
      <c r="A29" s="657" t="s">
        <v>798</v>
      </c>
      <c r="B29" s="657"/>
      <c r="C29" s="657"/>
      <c r="D29" s="657"/>
      <c r="E29" s="657"/>
      <c r="F29" s="657"/>
      <c r="G29" s="657"/>
      <c r="H29" s="657"/>
      <c r="I29" s="657"/>
      <c r="J29" s="657"/>
      <c r="K29" s="1"/>
    </row>
    <row r="30" spans="1:11" ht="15.75" thickBot="1" x14ac:dyDescent="0.3">
      <c r="A30" s="86"/>
      <c r="B30" s="87"/>
      <c r="C30" s="86"/>
      <c r="D30" s="86"/>
      <c r="E30" s="86"/>
      <c r="F30" s="86"/>
      <c r="G30" s="86"/>
      <c r="H30" s="86"/>
      <c r="I30" s="86"/>
      <c r="J30" s="88" t="s">
        <v>34</v>
      </c>
      <c r="K30" s="1"/>
    </row>
    <row r="31" spans="1:11" ht="15.75" customHeight="1" thickBot="1" x14ac:dyDescent="0.3">
      <c r="A31" s="649" t="s">
        <v>35</v>
      </c>
      <c r="B31" s="651" t="s">
        <v>118</v>
      </c>
      <c r="C31" s="653" t="s">
        <v>36</v>
      </c>
      <c r="D31" s="655" t="s">
        <v>702</v>
      </c>
      <c r="E31" s="653" t="s">
        <v>701</v>
      </c>
      <c r="F31" s="655" t="s">
        <v>703</v>
      </c>
      <c r="G31" s="661" t="s">
        <v>37</v>
      </c>
      <c r="H31" s="662"/>
      <c r="I31" s="662"/>
      <c r="J31" s="663"/>
      <c r="K31" s="653" t="s">
        <v>38</v>
      </c>
    </row>
    <row r="32" spans="1:11" ht="48" customHeight="1" thickBot="1" x14ac:dyDescent="0.3">
      <c r="A32" s="650"/>
      <c r="B32" s="652"/>
      <c r="C32" s="654"/>
      <c r="D32" s="656"/>
      <c r="E32" s="654"/>
      <c r="F32" s="656"/>
      <c r="G32" s="89" t="s">
        <v>39</v>
      </c>
      <c r="H32" s="90" t="s">
        <v>40</v>
      </c>
      <c r="I32" s="91" t="s">
        <v>41</v>
      </c>
      <c r="J32" s="90" t="s">
        <v>42</v>
      </c>
      <c r="K32" s="654"/>
    </row>
    <row r="33" spans="1:11" ht="15.75" thickBot="1" x14ac:dyDescent="0.3">
      <c r="A33" s="2">
        <v>1</v>
      </c>
      <c r="B33" s="6"/>
      <c r="C33" s="3">
        <v>2</v>
      </c>
      <c r="D33" s="3">
        <v>3</v>
      </c>
      <c r="E33" s="3"/>
      <c r="F33" s="3">
        <v>5</v>
      </c>
      <c r="G33" s="4">
        <v>6</v>
      </c>
      <c r="H33" s="5">
        <v>7</v>
      </c>
      <c r="I33" s="5">
        <v>8</v>
      </c>
      <c r="J33" s="3">
        <v>9</v>
      </c>
      <c r="K33" s="3">
        <v>10</v>
      </c>
    </row>
    <row r="34" spans="1:11" ht="15.75" thickBot="1" x14ac:dyDescent="0.3">
      <c r="A34" s="92" t="s">
        <v>43</v>
      </c>
      <c r="B34" s="93">
        <v>1</v>
      </c>
      <c r="C34" s="94">
        <v>1000</v>
      </c>
      <c r="D34" s="95"/>
      <c r="E34" s="95"/>
      <c r="F34" s="96"/>
      <c r="G34" s="97"/>
      <c r="H34" s="96"/>
      <c r="I34" s="96"/>
      <c r="J34" s="96"/>
      <c r="K34" s="96"/>
    </row>
    <row r="35" spans="1:11" ht="15.75" thickBot="1" x14ac:dyDescent="0.3">
      <c r="A35" s="98" t="s">
        <v>620</v>
      </c>
      <c r="B35" s="99">
        <f>B34+1</f>
        <v>2</v>
      </c>
      <c r="C35" s="100">
        <v>1010</v>
      </c>
      <c r="D35" s="102">
        <f>D36+D37+D38+D42+D43</f>
        <v>211679.2</v>
      </c>
      <c r="E35" s="238">
        <f>SUM(E36:E37,E38,E42,E43)</f>
        <v>218135.30000000002</v>
      </c>
      <c r="F35" s="312">
        <f>SUM(G35:J35)</f>
        <v>321531.09999999998</v>
      </c>
      <c r="G35" s="238">
        <f>SUM(G36,G37:G38,G42:G43)</f>
        <v>79389.2</v>
      </c>
      <c r="H35" s="238">
        <f t="shared" ref="H35:J35" si="0">SUM(H36,H37:H38,H42:H43)</f>
        <v>83257.2</v>
      </c>
      <c r="I35" s="238">
        <f t="shared" si="0"/>
        <v>77737.5</v>
      </c>
      <c r="J35" s="238">
        <f t="shared" si="0"/>
        <v>81147.199999999983</v>
      </c>
      <c r="K35" s="103"/>
    </row>
    <row r="36" spans="1:11" x14ac:dyDescent="0.25">
      <c r="A36" s="107" t="s">
        <v>220</v>
      </c>
      <c r="B36" s="104">
        <f t="shared" ref="B36:B99" si="1">B35+1</f>
        <v>3</v>
      </c>
      <c r="C36" s="105">
        <v>1020</v>
      </c>
      <c r="D36" s="121">
        <v>11816</v>
      </c>
      <c r="E36" s="239">
        <v>137.19999999999999</v>
      </c>
      <c r="F36" s="245">
        <f>SUM(G36:J36)</f>
        <v>314.39999999999998</v>
      </c>
      <c r="G36" s="259">
        <f>G54</f>
        <v>78</v>
      </c>
      <c r="H36" s="259">
        <f>H54</f>
        <v>78</v>
      </c>
      <c r="I36" s="259">
        <f>I54</f>
        <v>78</v>
      </c>
      <c r="J36" s="259">
        <f>J54</f>
        <v>80.400000000000006</v>
      </c>
      <c r="K36" s="106"/>
    </row>
    <row r="37" spans="1:11" x14ac:dyDescent="0.25">
      <c r="A37" s="107" t="s">
        <v>92</v>
      </c>
      <c r="B37" s="108">
        <f t="shared" si="1"/>
        <v>4</v>
      </c>
      <c r="C37" s="105">
        <v>1030</v>
      </c>
      <c r="D37" s="121">
        <v>167359.79999999999</v>
      </c>
      <c r="E37" s="239">
        <v>181834.7</v>
      </c>
      <c r="F37" s="245">
        <f t="shared" ref="F37:F114" si="2">G37+H37+I37+J37</f>
        <v>268272.69999999995</v>
      </c>
      <c r="G37" s="259">
        <f>'2022 первинка'!G37+'2022 вторинка'!G37</f>
        <v>64985.1</v>
      </c>
      <c r="H37" s="259">
        <f>'2022 первинка'!H37+'2022 вторинка'!H37</f>
        <v>67222.3</v>
      </c>
      <c r="I37" s="259">
        <f>'2022 первинка'!I37+'2022 вторинка'!I37</f>
        <v>68114.399999999994</v>
      </c>
      <c r="J37" s="306">
        <f>'2022 первинка'!J37+'2022 вторинка'!J37</f>
        <v>67950.899999999994</v>
      </c>
      <c r="K37" s="20"/>
    </row>
    <row r="38" spans="1:11" x14ac:dyDescent="0.25">
      <c r="A38" s="107" t="s">
        <v>133</v>
      </c>
      <c r="B38" s="108">
        <f t="shared" si="1"/>
        <v>5</v>
      </c>
      <c r="C38" s="105">
        <v>1040</v>
      </c>
      <c r="D38" s="121">
        <v>23187.1</v>
      </c>
      <c r="E38" s="239">
        <v>16588.400000000001</v>
      </c>
      <c r="F38" s="245">
        <f>SUM(F39:F41)</f>
        <v>31464.699999999997</v>
      </c>
      <c r="G38" s="259">
        <f>SUM(G39:G41)</f>
        <v>8956.7999999999993</v>
      </c>
      <c r="H38" s="259">
        <f t="shared" ref="H38:J38" si="3">SUM(H39:H41)</f>
        <v>10586.9</v>
      </c>
      <c r="I38" s="259">
        <f t="shared" si="3"/>
        <v>4175.0999999999995</v>
      </c>
      <c r="J38" s="259">
        <f t="shared" si="3"/>
        <v>7745.9</v>
      </c>
      <c r="K38" s="106"/>
    </row>
    <row r="39" spans="1:11" x14ac:dyDescent="0.25">
      <c r="A39" s="109" t="s">
        <v>134</v>
      </c>
      <c r="B39" s="108">
        <f t="shared" si="1"/>
        <v>6</v>
      </c>
      <c r="C39" s="110" t="s">
        <v>135</v>
      </c>
      <c r="D39" s="121">
        <v>8846.4</v>
      </c>
      <c r="E39" s="239">
        <v>12338.9</v>
      </c>
      <c r="F39" s="245">
        <f t="shared" si="2"/>
        <v>20538.3</v>
      </c>
      <c r="G39" s="259">
        <f>G119</f>
        <v>7725.2</v>
      </c>
      <c r="H39" s="259">
        <f>H119</f>
        <v>3355.2999999999997</v>
      </c>
      <c r="I39" s="259">
        <f>I119</f>
        <v>2943.4999999999995</v>
      </c>
      <c r="J39" s="259">
        <f>J119</f>
        <v>6514.3</v>
      </c>
      <c r="K39" s="106"/>
    </row>
    <row r="40" spans="1:11" x14ac:dyDescent="0.25">
      <c r="A40" s="109" t="s">
        <v>136</v>
      </c>
      <c r="B40" s="108">
        <f t="shared" si="1"/>
        <v>7</v>
      </c>
      <c r="C40" s="110" t="s">
        <v>137</v>
      </c>
      <c r="D40" s="121">
        <v>1239.5999999999999</v>
      </c>
      <c r="E40" s="239">
        <v>0</v>
      </c>
      <c r="F40" s="245">
        <f t="shared" si="2"/>
        <v>6000</v>
      </c>
      <c r="G40" s="259">
        <f>G125</f>
        <v>0</v>
      </c>
      <c r="H40" s="259">
        <f t="shared" ref="H40:J40" si="4">H125</f>
        <v>6000</v>
      </c>
      <c r="I40" s="259">
        <f t="shared" si="4"/>
        <v>0</v>
      </c>
      <c r="J40" s="259">
        <f t="shared" si="4"/>
        <v>0</v>
      </c>
      <c r="K40" s="106"/>
    </row>
    <row r="41" spans="1:11" x14ac:dyDescent="0.25">
      <c r="A41" s="109" t="s">
        <v>138</v>
      </c>
      <c r="B41" s="233">
        <f t="shared" si="1"/>
        <v>8</v>
      </c>
      <c r="C41" s="317" t="s">
        <v>139</v>
      </c>
      <c r="D41" s="281">
        <v>13101.1</v>
      </c>
      <c r="E41" s="280">
        <v>4249.5</v>
      </c>
      <c r="F41" s="325">
        <f>G41+H41+I41+J41</f>
        <v>4926.3999999999996</v>
      </c>
      <c r="G41" s="280">
        <f>G109+G110+G111+G113+G114</f>
        <v>1231.5999999999999</v>
      </c>
      <c r="H41" s="280">
        <f t="shared" ref="H41:J41" si="5">H109+H110+H111+H113+H114</f>
        <v>1231.5999999999999</v>
      </c>
      <c r="I41" s="280">
        <f t="shared" si="5"/>
        <v>1231.5999999999999</v>
      </c>
      <c r="J41" s="280">
        <f t="shared" si="5"/>
        <v>1231.5999999999999</v>
      </c>
      <c r="K41" s="281"/>
    </row>
    <row r="42" spans="1:11" x14ac:dyDescent="0.25">
      <c r="A42" s="111" t="s">
        <v>140</v>
      </c>
      <c r="B42" s="108">
        <f t="shared" si="1"/>
        <v>9</v>
      </c>
      <c r="C42" s="105">
        <v>1050</v>
      </c>
      <c r="D42" s="113">
        <v>7624.1</v>
      </c>
      <c r="E42" s="216">
        <v>11520</v>
      </c>
      <c r="F42" s="245">
        <f t="shared" si="2"/>
        <v>12219.3</v>
      </c>
      <c r="G42" s="260">
        <f>G112+G117</f>
        <v>3054.3</v>
      </c>
      <c r="H42" s="260">
        <f t="shared" ref="H42:J42" si="6">H112+H117</f>
        <v>3055</v>
      </c>
      <c r="I42" s="260">
        <f t="shared" si="6"/>
        <v>3055</v>
      </c>
      <c r="J42" s="260">
        <f t="shared" si="6"/>
        <v>3055</v>
      </c>
      <c r="K42" s="112"/>
    </row>
    <row r="43" spans="1:11" x14ac:dyDescent="0.25">
      <c r="A43" s="111" t="s">
        <v>89</v>
      </c>
      <c r="B43" s="108">
        <f t="shared" si="1"/>
        <v>10</v>
      </c>
      <c r="C43" s="105">
        <v>1060</v>
      </c>
      <c r="D43" s="113">
        <v>1692.2</v>
      </c>
      <c r="E43" s="216">
        <v>8055</v>
      </c>
      <c r="F43" s="245">
        <f t="shared" si="2"/>
        <v>9260</v>
      </c>
      <c r="G43" s="216">
        <f>SUM(G44:G50)</f>
        <v>2315</v>
      </c>
      <c r="H43" s="216">
        <f t="shared" ref="H43:J43" si="7">SUM(H44:H50)</f>
        <v>2315</v>
      </c>
      <c r="I43" s="216">
        <f t="shared" si="7"/>
        <v>2315</v>
      </c>
      <c r="J43" s="216">
        <f t="shared" si="7"/>
        <v>2315</v>
      </c>
      <c r="K43" s="112"/>
    </row>
    <row r="44" spans="1:11" x14ac:dyDescent="0.25">
      <c r="A44" s="109" t="s">
        <v>44</v>
      </c>
      <c r="B44" s="108">
        <f t="shared" si="1"/>
        <v>11</v>
      </c>
      <c r="C44" s="110" t="s">
        <v>109</v>
      </c>
      <c r="D44" s="113"/>
      <c r="E44" s="216">
        <v>72.599999999999994</v>
      </c>
      <c r="F44" s="245">
        <f t="shared" si="2"/>
        <v>100</v>
      </c>
      <c r="G44" s="260">
        <f>'2022 вторинка'!G44+'2022 первинка'!G44</f>
        <v>25</v>
      </c>
      <c r="H44" s="260">
        <f>'2022 вторинка'!H44+'2022 первинка'!H44</f>
        <v>25</v>
      </c>
      <c r="I44" s="260">
        <f>'2022 вторинка'!I44+'2022 первинка'!I44</f>
        <v>25</v>
      </c>
      <c r="J44" s="260">
        <f>'2022 вторинка'!J44+'2022 первинка'!J44</f>
        <v>25</v>
      </c>
      <c r="K44" s="112"/>
    </row>
    <row r="45" spans="1:11" x14ac:dyDescent="0.25">
      <c r="A45" s="109" t="s">
        <v>45</v>
      </c>
      <c r="B45" s="108">
        <f t="shared" si="1"/>
        <v>12</v>
      </c>
      <c r="C45" s="110" t="s">
        <v>141</v>
      </c>
      <c r="D45" s="113">
        <v>0.6</v>
      </c>
      <c r="E45" s="216">
        <v>0</v>
      </c>
      <c r="F45" s="245">
        <f t="shared" si="2"/>
        <v>0</v>
      </c>
      <c r="G45" s="260"/>
      <c r="H45" s="260"/>
      <c r="I45" s="260"/>
      <c r="J45" s="260"/>
      <c r="K45" s="112"/>
    </row>
    <row r="46" spans="1:11" x14ac:dyDescent="0.25">
      <c r="A46" s="109" t="s">
        <v>621</v>
      </c>
      <c r="B46" s="108">
        <f t="shared" si="1"/>
        <v>13</v>
      </c>
      <c r="C46" s="110" t="s">
        <v>142</v>
      </c>
      <c r="D46" s="113"/>
      <c r="E46" s="216">
        <v>5462.6</v>
      </c>
      <c r="F46" s="245">
        <f t="shared" si="2"/>
        <v>5200</v>
      </c>
      <c r="G46" s="260">
        <f>G156</f>
        <v>1300</v>
      </c>
      <c r="H46" s="260">
        <f>H156</f>
        <v>1300</v>
      </c>
      <c r="I46" s="260">
        <f t="shared" ref="I46:J46" si="8">I156</f>
        <v>1300</v>
      </c>
      <c r="J46" s="260">
        <f t="shared" si="8"/>
        <v>1300</v>
      </c>
      <c r="K46" s="20"/>
    </row>
    <row r="47" spans="1:11" x14ac:dyDescent="0.25">
      <c r="A47" s="114" t="s">
        <v>93</v>
      </c>
      <c r="B47" s="108">
        <f t="shared" si="1"/>
        <v>14</v>
      </c>
      <c r="C47" s="110" t="s">
        <v>143</v>
      </c>
      <c r="D47" s="113">
        <v>1608.5</v>
      </c>
      <c r="E47" s="216">
        <v>2504.4</v>
      </c>
      <c r="F47" s="245">
        <f t="shared" si="2"/>
        <v>3960</v>
      </c>
      <c r="G47" s="260">
        <f>'2022 первинка'!G47+'2022 вторинка'!G47</f>
        <v>990</v>
      </c>
      <c r="H47" s="260">
        <f>'2022 первинка'!H47+'2022 вторинка'!H47</f>
        <v>990</v>
      </c>
      <c r="I47" s="260">
        <f>'2022 первинка'!I47+'2022 вторинка'!I47</f>
        <v>990</v>
      </c>
      <c r="J47" s="260">
        <f>'2022 первинка'!J47+'2022 вторинка'!J47</f>
        <v>990</v>
      </c>
      <c r="K47" s="20"/>
    </row>
    <row r="48" spans="1:11" x14ac:dyDescent="0.25">
      <c r="A48" s="115" t="s">
        <v>144</v>
      </c>
      <c r="B48" s="108">
        <f t="shared" si="1"/>
        <v>15</v>
      </c>
      <c r="C48" s="116" t="s">
        <v>145</v>
      </c>
      <c r="D48" s="136">
        <v>83.1</v>
      </c>
      <c r="E48" s="240">
        <v>15.4</v>
      </c>
      <c r="F48" s="245">
        <f t="shared" si="2"/>
        <v>0</v>
      </c>
      <c r="G48" s="261">
        <f>'2022 первинка'!G48+'2022 вторинка'!G48</f>
        <v>0</v>
      </c>
      <c r="H48" s="261">
        <f>'2022 первинка'!H48+'2022 вторинка'!H48</f>
        <v>0</v>
      </c>
      <c r="I48" s="261">
        <f>'2022 первинка'!I48+'2022 вторинка'!I48</f>
        <v>0</v>
      </c>
      <c r="J48" s="261">
        <f>'2022 первинка'!J48+'2022 вторинка'!J48</f>
        <v>0</v>
      </c>
      <c r="K48" s="20"/>
    </row>
    <row r="49" spans="1:11" ht="38.25" x14ac:dyDescent="0.25">
      <c r="A49" s="132" t="s">
        <v>622</v>
      </c>
      <c r="B49" s="108">
        <f t="shared" si="1"/>
        <v>16</v>
      </c>
      <c r="C49" s="119" t="s">
        <v>146</v>
      </c>
      <c r="D49" s="113"/>
      <c r="E49" s="216"/>
      <c r="F49" s="245">
        <f t="shared" si="2"/>
        <v>0</v>
      </c>
      <c r="G49" s="260"/>
      <c r="H49" s="260"/>
      <c r="I49" s="260"/>
      <c r="J49" s="260"/>
      <c r="K49" s="112"/>
    </row>
    <row r="50" spans="1:11" ht="27" x14ac:dyDescent="0.25">
      <c r="A50" s="109" t="s">
        <v>147</v>
      </c>
      <c r="B50" s="120">
        <f t="shared" si="1"/>
        <v>17</v>
      </c>
      <c r="C50" s="110" t="s">
        <v>148</v>
      </c>
      <c r="D50" s="113"/>
      <c r="E50" s="216"/>
      <c r="F50" s="245">
        <f t="shared" si="2"/>
        <v>0</v>
      </c>
      <c r="G50" s="260"/>
      <c r="H50" s="260"/>
      <c r="I50" s="260"/>
      <c r="J50" s="260"/>
      <c r="K50" s="112"/>
    </row>
    <row r="51" spans="1:11" x14ac:dyDescent="0.25">
      <c r="A51" s="111" t="s">
        <v>623</v>
      </c>
      <c r="B51" s="108">
        <v>18</v>
      </c>
      <c r="C51" s="105">
        <v>1070</v>
      </c>
      <c r="D51" s="121"/>
      <c r="E51" s="239">
        <v>83456.100000000006</v>
      </c>
      <c r="F51" s="245">
        <v>116759.5</v>
      </c>
      <c r="G51" s="239"/>
      <c r="H51" s="239"/>
      <c r="I51" s="239"/>
      <c r="J51" s="239"/>
      <c r="K51" s="106"/>
    </row>
    <row r="52" spans="1:11" ht="15.75" thickBot="1" x14ac:dyDescent="0.3">
      <c r="A52" s="107" t="s">
        <v>624</v>
      </c>
      <c r="B52" s="122">
        <v>19</v>
      </c>
      <c r="C52" s="162">
        <v>1080</v>
      </c>
      <c r="D52" s="123"/>
      <c r="E52" s="241">
        <v>539</v>
      </c>
      <c r="F52" s="314">
        <v>554.4</v>
      </c>
      <c r="G52" s="241"/>
      <c r="H52" s="241"/>
      <c r="I52" s="241"/>
      <c r="J52" s="241"/>
      <c r="K52" s="124"/>
    </row>
    <row r="53" spans="1:11" ht="15.75" thickBot="1" x14ac:dyDescent="0.3">
      <c r="A53" s="125" t="s">
        <v>107</v>
      </c>
      <c r="B53" s="126">
        <v>20</v>
      </c>
      <c r="C53" s="94">
        <v>1100</v>
      </c>
      <c r="D53" s="96">
        <f>D54+D69+D96+D107</f>
        <v>191546</v>
      </c>
      <c r="E53" s="96">
        <f>E54+E69+E96+E107</f>
        <v>184816.49999999997</v>
      </c>
      <c r="F53" s="127">
        <f t="shared" si="2"/>
        <v>305031.13</v>
      </c>
      <c r="G53" s="96">
        <f>G54+G69+G107+G96</f>
        <v>75389.200000000012</v>
      </c>
      <c r="H53" s="96">
        <f>H54+H69+H107+H96</f>
        <v>79257.2</v>
      </c>
      <c r="I53" s="96">
        <f>I54+I69+I107+I96</f>
        <v>73737.5</v>
      </c>
      <c r="J53" s="96">
        <f>J54+J69+J107+J96</f>
        <v>76647.23</v>
      </c>
      <c r="K53" s="97"/>
    </row>
    <row r="54" spans="1:11" ht="15.75" thickBot="1" x14ac:dyDescent="0.3">
      <c r="A54" s="232" t="s">
        <v>220</v>
      </c>
      <c r="B54" s="126">
        <f t="shared" si="1"/>
        <v>21</v>
      </c>
      <c r="C54" s="94">
        <v>1110</v>
      </c>
      <c r="D54" s="96">
        <f>SUM(D55:D65)</f>
        <v>11816</v>
      </c>
      <c r="E54" s="96">
        <f>SUM(E55:E65)</f>
        <v>137.19999999999999</v>
      </c>
      <c r="F54" s="127">
        <f t="shared" ref="F54:J54" si="9">SUM(F55:F64)</f>
        <v>314.39999999999998</v>
      </c>
      <c r="G54" s="97">
        <f t="shared" si="9"/>
        <v>78</v>
      </c>
      <c r="H54" s="96">
        <f t="shared" si="9"/>
        <v>78</v>
      </c>
      <c r="I54" s="96">
        <f t="shared" si="9"/>
        <v>78</v>
      </c>
      <c r="J54" s="96">
        <f t="shared" si="9"/>
        <v>80.400000000000006</v>
      </c>
      <c r="K54" s="96"/>
    </row>
    <row r="55" spans="1:11" x14ac:dyDescent="0.25">
      <c r="A55" s="107" t="s">
        <v>90</v>
      </c>
      <c r="B55" s="104">
        <f t="shared" si="1"/>
        <v>22</v>
      </c>
      <c r="C55" s="105" t="s">
        <v>110</v>
      </c>
      <c r="D55" s="121">
        <v>9500.1</v>
      </c>
      <c r="E55" s="242">
        <v>137.19999999999999</v>
      </c>
      <c r="F55" s="222">
        <f t="shared" si="2"/>
        <v>245.09999999999997</v>
      </c>
      <c r="G55" s="239">
        <f>'2022 первинка'!G55+'2022 вторинка'!G55</f>
        <v>60.8</v>
      </c>
      <c r="H55" s="239">
        <f>'2022 первинка'!H55+'2022 вторинка'!H55</f>
        <v>60.8</v>
      </c>
      <c r="I55" s="239">
        <f>'2022 первинка'!I55+'2022 вторинка'!I55</f>
        <v>60.8</v>
      </c>
      <c r="J55" s="239">
        <f>'2022 первинка'!J55+'2022 вторинка'!J55</f>
        <v>62.7</v>
      </c>
      <c r="K55" s="121"/>
    </row>
    <row r="56" spans="1:11" x14ac:dyDescent="0.25">
      <c r="A56" s="111" t="s">
        <v>91</v>
      </c>
      <c r="B56" s="108">
        <f t="shared" si="1"/>
        <v>23</v>
      </c>
      <c r="C56" s="105" t="s">
        <v>111</v>
      </c>
      <c r="D56" s="113">
        <v>2204.1999999999998</v>
      </c>
      <c r="E56" s="243"/>
      <c r="F56" s="215">
        <f>SUM(G56:J56)</f>
        <v>69.3</v>
      </c>
      <c r="G56" s="239">
        <f>'2022 первинка'!G56+'2022 вторинка'!G56</f>
        <v>17.2</v>
      </c>
      <c r="H56" s="239">
        <f>'2022 первинка'!H56+'2022 вторинка'!H56</f>
        <v>17.2</v>
      </c>
      <c r="I56" s="239">
        <f>'2022 первинка'!I56+'2022 вторинка'!I56</f>
        <v>17.2</v>
      </c>
      <c r="J56" s="239">
        <f>'2022 первинка'!J56+'2022 вторинка'!J56</f>
        <v>17.7</v>
      </c>
      <c r="K56" s="113"/>
    </row>
    <row r="57" spans="1:11" x14ac:dyDescent="0.25">
      <c r="A57" s="111" t="s">
        <v>149</v>
      </c>
      <c r="B57" s="108">
        <f t="shared" si="1"/>
        <v>24</v>
      </c>
      <c r="C57" s="105" t="s">
        <v>153</v>
      </c>
      <c r="D57" s="113"/>
      <c r="E57" s="243"/>
      <c r="F57" s="129">
        <f t="shared" si="2"/>
        <v>0</v>
      </c>
      <c r="G57" s="113"/>
      <c r="H57" s="113"/>
      <c r="I57" s="113"/>
      <c r="J57" s="113"/>
      <c r="K57" s="113"/>
    </row>
    <row r="58" spans="1:11" x14ac:dyDescent="0.25">
      <c r="A58" s="111" t="s">
        <v>46</v>
      </c>
      <c r="B58" s="108">
        <f t="shared" si="1"/>
        <v>25</v>
      </c>
      <c r="C58" s="105" t="s">
        <v>154</v>
      </c>
      <c r="D58" s="113">
        <v>75.7</v>
      </c>
      <c r="E58" s="243"/>
      <c r="F58" s="129">
        <f t="shared" si="2"/>
        <v>0</v>
      </c>
      <c r="G58" s="113"/>
      <c r="H58" s="113"/>
      <c r="I58" s="113"/>
      <c r="J58" s="113"/>
      <c r="K58" s="113"/>
    </row>
    <row r="59" spans="1:11" x14ac:dyDescent="0.25">
      <c r="A59" s="111" t="s">
        <v>47</v>
      </c>
      <c r="B59" s="108">
        <f t="shared" si="1"/>
        <v>26</v>
      </c>
      <c r="C59" s="105" t="s">
        <v>155</v>
      </c>
      <c r="D59" s="207"/>
      <c r="E59" s="244"/>
      <c r="F59" s="129">
        <f t="shared" si="2"/>
        <v>0</v>
      </c>
      <c r="G59" s="113"/>
      <c r="H59" s="113"/>
      <c r="I59" s="113"/>
      <c r="J59" s="113"/>
      <c r="K59" s="113"/>
    </row>
    <row r="60" spans="1:11" x14ac:dyDescent="0.25">
      <c r="A60" s="111" t="s">
        <v>150</v>
      </c>
      <c r="B60" s="108">
        <f t="shared" si="1"/>
        <v>27</v>
      </c>
      <c r="C60" s="105" t="s">
        <v>156</v>
      </c>
      <c r="D60" s="207"/>
      <c r="E60" s="244"/>
      <c r="F60" s="129">
        <f t="shared" si="2"/>
        <v>0</v>
      </c>
      <c r="G60" s="113"/>
      <c r="H60" s="113"/>
      <c r="I60" s="113"/>
      <c r="J60" s="113"/>
      <c r="K60" s="113"/>
    </row>
    <row r="61" spans="1:11" x14ac:dyDescent="0.25">
      <c r="A61" s="111" t="s">
        <v>101</v>
      </c>
      <c r="B61" s="108">
        <f t="shared" si="1"/>
        <v>28</v>
      </c>
      <c r="C61" s="105" t="s">
        <v>157</v>
      </c>
      <c r="D61" s="207"/>
      <c r="E61" s="243"/>
      <c r="F61" s="129">
        <f t="shared" si="2"/>
        <v>0</v>
      </c>
      <c r="G61" s="113"/>
      <c r="H61" s="113"/>
      <c r="I61" s="113"/>
      <c r="J61" s="113"/>
      <c r="K61" s="113"/>
    </row>
    <row r="62" spans="1:11" x14ac:dyDescent="0.25">
      <c r="A62" s="111" t="s">
        <v>102</v>
      </c>
      <c r="B62" s="108">
        <f t="shared" si="1"/>
        <v>29</v>
      </c>
      <c r="C62" s="105" t="s">
        <v>158</v>
      </c>
      <c r="D62" s="207">
        <v>36</v>
      </c>
      <c r="E62" s="243"/>
      <c r="F62" s="129">
        <f t="shared" si="2"/>
        <v>0</v>
      </c>
      <c r="G62" s="113"/>
      <c r="H62" s="113"/>
      <c r="I62" s="113"/>
      <c r="J62" s="113"/>
      <c r="K62" s="113"/>
    </row>
    <row r="63" spans="1:11" x14ac:dyDescent="0.25">
      <c r="A63" s="111" t="s">
        <v>48</v>
      </c>
      <c r="B63" s="108">
        <f t="shared" si="1"/>
        <v>30</v>
      </c>
      <c r="C63" s="105" t="s">
        <v>159</v>
      </c>
      <c r="D63" s="207"/>
      <c r="E63" s="243"/>
      <c r="F63" s="129">
        <f t="shared" si="2"/>
        <v>0</v>
      </c>
      <c r="G63" s="113"/>
      <c r="H63" s="113"/>
      <c r="I63" s="113"/>
      <c r="J63" s="113"/>
      <c r="K63" s="113"/>
    </row>
    <row r="64" spans="1:11" x14ac:dyDescent="0.25">
      <c r="A64" s="111" t="s">
        <v>151</v>
      </c>
      <c r="B64" s="108">
        <f t="shared" si="1"/>
        <v>31</v>
      </c>
      <c r="C64" s="105" t="s">
        <v>160</v>
      </c>
      <c r="D64" s="207"/>
      <c r="E64" s="243"/>
      <c r="F64" s="129">
        <f t="shared" si="2"/>
        <v>0</v>
      </c>
      <c r="G64" s="113"/>
      <c r="H64" s="113"/>
      <c r="I64" s="113"/>
      <c r="J64" s="113"/>
      <c r="K64" s="113"/>
    </row>
    <row r="65" spans="1:11" x14ac:dyDescent="0.25">
      <c r="A65" s="111" t="s">
        <v>625</v>
      </c>
      <c r="B65" s="108">
        <v>32</v>
      </c>
      <c r="C65" s="105" t="s">
        <v>626</v>
      </c>
      <c r="D65" s="207"/>
      <c r="E65" s="243"/>
      <c r="F65" s="129"/>
      <c r="G65" s="113"/>
      <c r="H65" s="113"/>
      <c r="I65" s="113"/>
      <c r="J65" s="113"/>
      <c r="K65" s="113"/>
    </row>
    <row r="66" spans="1:11" x14ac:dyDescent="0.25">
      <c r="A66" s="137" t="s">
        <v>103</v>
      </c>
      <c r="B66" s="108">
        <v>33</v>
      </c>
      <c r="C66" s="130" t="s">
        <v>627</v>
      </c>
      <c r="D66" s="208"/>
      <c r="E66" s="239"/>
      <c r="F66" s="214">
        <f t="shared" ref="F66:F68" si="10">G66+H66+I66+J66</f>
        <v>0</v>
      </c>
      <c r="G66" s="106"/>
      <c r="H66" s="121"/>
      <c r="I66" s="121"/>
      <c r="J66" s="121"/>
      <c r="K66" s="121"/>
    </row>
    <row r="67" spans="1:11" x14ac:dyDescent="0.25">
      <c r="A67" s="132" t="s">
        <v>104</v>
      </c>
      <c r="B67" s="108">
        <v>34</v>
      </c>
      <c r="C67" s="131" t="s">
        <v>628</v>
      </c>
      <c r="D67" s="207"/>
      <c r="E67" s="216"/>
      <c r="F67" s="129">
        <f t="shared" si="10"/>
        <v>0</v>
      </c>
      <c r="G67" s="112"/>
      <c r="H67" s="113"/>
      <c r="I67" s="113"/>
      <c r="J67" s="113"/>
      <c r="K67" s="113"/>
    </row>
    <row r="68" spans="1:11" ht="15.75" thickBot="1" x14ac:dyDescent="0.3">
      <c r="A68" s="132" t="s">
        <v>105</v>
      </c>
      <c r="B68" s="122">
        <v>35</v>
      </c>
      <c r="C68" s="131" t="s">
        <v>629</v>
      </c>
      <c r="D68" s="207"/>
      <c r="E68" s="216"/>
      <c r="F68" s="129">
        <f t="shared" si="10"/>
        <v>0</v>
      </c>
      <c r="G68" s="112"/>
      <c r="H68" s="113"/>
      <c r="I68" s="113"/>
      <c r="J68" s="113"/>
      <c r="K68" s="113"/>
    </row>
    <row r="69" spans="1:11" ht="15.75" thickBot="1" x14ac:dyDescent="0.3">
      <c r="A69" s="125" t="s">
        <v>630</v>
      </c>
      <c r="B69" s="126">
        <v>36</v>
      </c>
      <c r="C69" s="94">
        <v>1120</v>
      </c>
      <c r="D69" s="96">
        <f>SUM(D70:D72,D78:D80,D91:D95)</f>
        <v>143793.70000000001</v>
      </c>
      <c r="E69" s="96">
        <f>SUM(E70:E72,E78:E80,E91:E95)</f>
        <v>153345.79999999996</v>
      </c>
      <c r="F69" s="127">
        <f t="shared" si="2"/>
        <v>256972.72999999998</v>
      </c>
      <c r="G69" s="97">
        <f>SUM(G70:G72,G78:G80,G91:G95)</f>
        <v>62285.100000000006</v>
      </c>
      <c r="H69" s="96">
        <f>SUM(H70:H72,H78:H80,H91:H95)</f>
        <v>64522.3</v>
      </c>
      <c r="I69" s="96">
        <f>SUM(I70:I72,I78:I80,I91:I95)</f>
        <v>65414.399999999994</v>
      </c>
      <c r="J69" s="96">
        <f>SUM(J70:J71,J72,J78:J80,J91:J95)</f>
        <v>64750.929999999993</v>
      </c>
      <c r="K69" s="96"/>
    </row>
    <row r="70" spans="1:11" x14ac:dyDescent="0.25">
      <c r="A70" s="107" t="s">
        <v>90</v>
      </c>
      <c r="B70" s="104">
        <f t="shared" si="1"/>
        <v>37</v>
      </c>
      <c r="C70" s="105" t="s">
        <v>631</v>
      </c>
      <c r="D70" s="121">
        <v>95378.8</v>
      </c>
      <c r="E70" s="242">
        <v>118152.1</v>
      </c>
      <c r="F70" s="222">
        <f t="shared" si="2"/>
        <v>196288.2</v>
      </c>
      <c r="G70" s="239">
        <f>'2022 первинка'!G70+'2022 вторинка'!G70</f>
        <v>49077.8</v>
      </c>
      <c r="H70" s="239">
        <f>'2022 первинка'!H70+'2022 вторинка'!H70</f>
        <v>49077.8</v>
      </c>
      <c r="I70" s="239">
        <f>'2022 первинка'!I70+'2022 вторинка'!I70</f>
        <v>49077.899999999994</v>
      </c>
      <c r="J70" s="239">
        <f>'2022 первинка'!J70+'2022 вторинка'!J70</f>
        <v>49054.7</v>
      </c>
      <c r="K70" s="121"/>
    </row>
    <row r="71" spans="1:11" x14ac:dyDescent="0.25">
      <c r="A71" s="111" t="s">
        <v>91</v>
      </c>
      <c r="B71" s="108">
        <f t="shared" si="1"/>
        <v>38</v>
      </c>
      <c r="C71" s="105" t="s">
        <v>632</v>
      </c>
      <c r="D71" s="113">
        <v>19964.7</v>
      </c>
      <c r="E71" s="243">
        <v>25781.9</v>
      </c>
      <c r="F71" s="215">
        <f t="shared" si="2"/>
        <v>43183.03</v>
      </c>
      <c r="G71" s="239">
        <f>'2022 первинка'!G71+'2022 вторинка'!G71</f>
        <v>10797</v>
      </c>
      <c r="H71" s="239">
        <f>'2022 первинка'!H71+'2022 вторинка'!H71</f>
        <v>10797</v>
      </c>
      <c r="I71" s="239">
        <f>'2022 первинка'!I71+'2022 вторинка'!I71</f>
        <v>10797</v>
      </c>
      <c r="J71" s="239">
        <f>'2022 первинка'!J71+'2022 вторинка'!J71</f>
        <v>10792.029999999999</v>
      </c>
      <c r="K71" s="113"/>
    </row>
    <row r="72" spans="1:11" x14ac:dyDescent="0.25">
      <c r="A72" s="111" t="s">
        <v>149</v>
      </c>
      <c r="B72" s="108">
        <f t="shared" si="1"/>
        <v>39</v>
      </c>
      <c r="C72" s="105" t="s">
        <v>633</v>
      </c>
      <c r="D72" s="113">
        <f>SUM(D73:D77)</f>
        <v>3930.3999999999996</v>
      </c>
      <c r="E72" s="113">
        <f>SUM(E73:E77)</f>
        <v>2300.8000000000002</v>
      </c>
      <c r="F72" s="215">
        <f t="shared" si="2"/>
        <v>894.7</v>
      </c>
      <c r="G72" s="239">
        <f>'2022 первинка'!G72+'2022 вторинка'!G72</f>
        <v>232.5</v>
      </c>
      <c r="H72" s="239">
        <f>'2022 первинка'!H72+'2022 вторинка'!H72</f>
        <v>222.5</v>
      </c>
      <c r="I72" s="239">
        <f>'2022 первинка'!I72+'2022 вторинка'!I72</f>
        <v>222.5</v>
      </c>
      <c r="J72" s="239">
        <f>'2022 первинка'!J72+'2022 вторинка'!J72</f>
        <v>217.2</v>
      </c>
      <c r="K72" s="113"/>
    </row>
    <row r="73" spans="1:11" x14ac:dyDescent="0.25">
      <c r="A73" s="132" t="s">
        <v>119</v>
      </c>
      <c r="B73" s="108">
        <f t="shared" si="1"/>
        <v>40</v>
      </c>
      <c r="C73" s="130" t="s">
        <v>634</v>
      </c>
      <c r="D73" s="113">
        <v>2660.5</v>
      </c>
      <c r="E73" s="243">
        <v>1814.1</v>
      </c>
      <c r="F73" s="349">
        <f t="shared" si="2"/>
        <v>0</v>
      </c>
      <c r="G73" s="239">
        <f>'2022 первинка'!G73+'2022 вторинка'!G73</f>
        <v>0</v>
      </c>
      <c r="H73" s="239">
        <f>'2022 первинка'!H73+'2022 вторинка'!H73</f>
        <v>0</v>
      </c>
      <c r="I73" s="239">
        <f>'2022 первинка'!I73+'2022 вторинка'!I73</f>
        <v>0</v>
      </c>
      <c r="J73" s="239">
        <f>'2022 первинка'!J73+'2022 вторинка'!J73</f>
        <v>0</v>
      </c>
      <c r="K73" s="113"/>
    </row>
    <row r="74" spans="1:11" x14ac:dyDescent="0.25">
      <c r="A74" s="132" t="s">
        <v>99</v>
      </c>
      <c r="B74" s="108">
        <f t="shared" si="1"/>
        <v>41</v>
      </c>
      <c r="C74" s="130" t="s">
        <v>635</v>
      </c>
      <c r="D74" s="113">
        <v>44.2</v>
      </c>
      <c r="E74" s="243">
        <v>219.3</v>
      </c>
      <c r="F74" s="349">
        <f t="shared" si="2"/>
        <v>202.3</v>
      </c>
      <c r="G74" s="239">
        <f>'2022 первинка'!G74+'2022 вторинка'!G74</f>
        <v>50.5</v>
      </c>
      <c r="H74" s="239">
        <f>'2022 первинка'!H74+'2022 вторинка'!H74</f>
        <v>50.5</v>
      </c>
      <c r="I74" s="239">
        <f>'2022 первинка'!I74+'2022 вторинка'!I74</f>
        <v>50.5</v>
      </c>
      <c r="J74" s="239">
        <f>'2022 первинка'!J74+'2022 вторинка'!J74</f>
        <v>50.8</v>
      </c>
      <c r="K74" s="113"/>
    </row>
    <row r="75" spans="1:11" x14ac:dyDescent="0.25">
      <c r="A75" s="132" t="s">
        <v>94</v>
      </c>
      <c r="B75" s="108">
        <f t="shared" si="1"/>
        <v>42</v>
      </c>
      <c r="C75" s="130" t="s">
        <v>636</v>
      </c>
      <c r="D75" s="113"/>
      <c r="E75" s="243">
        <v>13.2</v>
      </c>
      <c r="F75" s="349">
        <f t="shared" si="2"/>
        <v>50</v>
      </c>
      <c r="G75" s="239">
        <f>'2022 первинка'!G75+'2022 вторинка'!G75</f>
        <v>20</v>
      </c>
      <c r="H75" s="239">
        <f>'2022 первинка'!H75+'2022 вторинка'!H75</f>
        <v>10</v>
      </c>
      <c r="I75" s="239">
        <f>'2022 первинка'!I75+'2022 вторинка'!I75</f>
        <v>10</v>
      </c>
      <c r="J75" s="239">
        <f>'2022 первинка'!J75+'2022 вторинка'!J75</f>
        <v>10</v>
      </c>
      <c r="K75" s="113"/>
    </row>
    <row r="76" spans="1:11" x14ac:dyDescent="0.25">
      <c r="A76" s="132" t="s">
        <v>116</v>
      </c>
      <c r="B76" s="108">
        <f t="shared" si="1"/>
        <v>43</v>
      </c>
      <c r="C76" s="130" t="s">
        <v>637</v>
      </c>
      <c r="D76" s="113"/>
      <c r="E76" s="243">
        <v>239.8</v>
      </c>
      <c r="F76" s="349">
        <f t="shared" si="2"/>
        <v>642.4</v>
      </c>
      <c r="G76" s="239">
        <f>'2022 первинка'!G76+'2022 вторинка'!G76</f>
        <v>162</v>
      </c>
      <c r="H76" s="239">
        <f>'2022 первинка'!H76+'2022 вторинка'!H76</f>
        <v>162</v>
      </c>
      <c r="I76" s="239">
        <f>'2022 первинка'!I76+'2022 вторинка'!I76</f>
        <v>162</v>
      </c>
      <c r="J76" s="239">
        <f>'2022 первинка'!J76+'2022 вторинка'!J76</f>
        <v>156.4</v>
      </c>
      <c r="K76" s="113"/>
    </row>
    <row r="77" spans="1:11" x14ac:dyDescent="0.25">
      <c r="A77" s="132" t="s">
        <v>117</v>
      </c>
      <c r="B77" s="108">
        <f t="shared" si="1"/>
        <v>44</v>
      </c>
      <c r="C77" s="130" t="s">
        <v>638</v>
      </c>
      <c r="D77" s="113">
        <v>1225.7</v>
      </c>
      <c r="E77" s="243">
        <v>14.4</v>
      </c>
      <c r="F77" s="349">
        <f t="shared" si="2"/>
        <v>0</v>
      </c>
      <c r="G77" s="239">
        <f>'2022 первинка'!G77+'2022 вторинка'!G77</f>
        <v>0</v>
      </c>
      <c r="H77" s="239">
        <f>'2022 первинка'!H77+'2022 вторинка'!H77</f>
        <v>0</v>
      </c>
      <c r="I77" s="239">
        <f>'2022 первинка'!I77+'2022 вторинка'!I77</f>
        <v>0</v>
      </c>
      <c r="J77" s="239">
        <f>'2022 первинка'!J77+'2022 вторинка'!J77</f>
        <v>0</v>
      </c>
      <c r="K77" s="113"/>
    </row>
    <row r="78" spans="1:11" x14ac:dyDescent="0.25">
      <c r="A78" s="111" t="s">
        <v>46</v>
      </c>
      <c r="B78" s="108">
        <f t="shared" si="1"/>
        <v>45</v>
      </c>
      <c r="C78" s="105" t="s">
        <v>639</v>
      </c>
      <c r="D78" s="113">
        <v>1144.5999999999999</v>
      </c>
      <c r="E78" s="243">
        <v>628.79999999999995</v>
      </c>
      <c r="F78" s="215">
        <f t="shared" si="2"/>
        <v>1358</v>
      </c>
      <c r="G78" s="239">
        <f>'2022 первинка'!G78+'2022 вторинка'!G78</f>
        <v>339</v>
      </c>
      <c r="H78" s="239">
        <f>'2022 первинка'!H78+'2022 вторинка'!H78</f>
        <v>339</v>
      </c>
      <c r="I78" s="239">
        <f>'2022 первинка'!I78+'2022 вторинка'!I78</f>
        <v>340</v>
      </c>
      <c r="J78" s="239">
        <f>'2022 первинка'!J78+'2022 вторинка'!J78</f>
        <v>340</v>
      </c>
      <c r="K78" s="113"/>
    </row>
    <row r="79" spans="1:11" x14ac:dyDescent="0.25">
      <c r="A79" s="111" t="s">
        <v>47</v>
      </c>
      <c r="B79" s="108">
        <f t="shared" si="1"/>
        <v>46</v>
      </c>
      <c r="C79" s="105" t="s">
        <v>640</v>
      </c>
      <c r="D79" s="207"/>
      <c r="E79" s="244"/>
      <c r="F79" s="215">
        <f t="shared" si="2"/>
        <v>0</v>
      </c>
      <c r="G79" s="239">
        <f>'2022 первинка'!G79+'2022 вторинка'!G79</f>
        <v>0</v>
      </c>
      <c r="H79" s="239">
        <f>'2022 первинка'!H79+'2022 вторинка'!H79</f>
        <v>0</v>
      </c>
      <c r="I79" s="239">
        <f>'2022 первинка'!I79+'2022 вторинка'!I79</f>
        <v>0</v>
      </c>
      <c r="J79" s="239">
        <f>'2022 первинка'!J79+'2022 вторинка'!J79</f>
        <v>0</v>
      </c>
      <c r="K79" s="113"/>
    </row>
    <row r="80" spans="1:11" x14ac:dyDescent="0.25">
      <c r="A80" s="111" t="s">
        <v>150</v>
      </c>
      <c r="B80" s="108">
        <f t="shared" si="1"/>
        <v>47</v>
      </c>
      <c r="C80" s="105" t="s">
        <v>641</v>
      </c>
      <c r="D80" s="207">
        <f>SUM(D81:D90)</f>
        <v>284.3</v>
      </c>
      <c r="E80" s="207">
        <f>SUM(E81:E90)</f>
        <v>2010.9</v>
      </c>
      <c r="F80" s="215">
        <f t="shared" si="2"/>
        <v>2853.8</v>
      </c>
      <c r="G80" s="239">
        <f>'2022 первинка'!G80+'2022 вторинка'!G80</f>
        <v>487.8</v>
      </c>
      <c r="H80" s="239">
        <f>'2022 первинка'!H80+'2022 вторинка'!H80</f>
        <v>434</v>
      </c>
      <c r="I80" s="239">
        <f>'2022 первинка'!I80+'2022 вторинка'!I80</f>
        <v>1236</v>
      </c>
      <c r="J80" s="239">
        <f>'2022 первинка'!J80+'2022 вторинка'!J80</f>
        <v>696</v>
      </c>
      <c r="K80" s="113"/>
    </row>
    <row r="81" spans="1:11" x14ac:dyDescent="0.25">
      <c r="A81" s="132" t="s">
        <v>120</v>
      </c>
      <c r="B81" s="108">
        <f t="shared" si="1"/>
        <v>48</v>
      </c>
      <c r="C81" s="130" t="s">
        <v>642</v>
      </c>
      <c r="D81" s="207"/>
      <c r="E81" s="244">
        <v>25</v>
      </c>
      <c r="F81" s="215">
        <f t="shared" si="2"/>
        <v>100</v>
      </c>
      <c r="G81" s="239">
        <f>'2022 первинка'!G81+'2022 вторинка'!G81</f>
        <v>25</v>
      </c>
      <c r="H81" s="239">
        <f>'2022 первинка'!H81+'2022 вторинка'!H81</f>
        <v>25</v>
      </c>
      <c r="I81" s="239">
        <f>'2022 первинка'!I81+'2022 вторинка'!I81</f>
        <v>25</v>
      </c>
      <c r="J81" s="239">
        <f>'2022 первинка'!J81+'2022 вторинка'!J81</f>
        <v>25</v>
      </c>
      <c r="K81" s="113"/>
    </row>
    <row r="82" spans="1:11" x14ac:dyDescent="0.25">
      <c r="A82" s="132" t="s">
        <v>122</v>
      </c>
      <c r="B82" s="108">
        <f t="shared" si="1"/>
        <v>49</v>
      </c>
      <c r="C82" s="130" t="s">
        <v>643</v>
      </c>
      <c r="D82" s="207"/>
      <c r="E82" s="244">
        <v>56.6</v>
      </c>
      <c r="F82" s="215">
        <f t="shared" si="2"/>
        <v>150</v>
      </c>
      <c r="G82" s="239">
        <f>'2022 первинка'!G82+'2022 вторинка'!G82</f>
        <v>37</v>
      </c>
      <c r="H82" s="239">
        <f>'2022 первинка'!H82+'2022 вторинка'!H82</f>
        <v>37</v>
      </c>
      <c r="I82" s="239">
        <f>'2022 первинка'!I82+'2022 вторинка'!I82</f>
        <v>38</v>
      </c>
      <c r="J82" s="239">
        <f>'2022 первинка'!J82+'2022 вторинка'!J82</f>
        <v>38</v>
      </c>
      <c r="K82" s="113"/>
    </row>
    <row r="83" spans="1:11" x14ac:dyDescent="0.25">
      <c r="A83" s="132" t="s">
        <v>121</v>
      </c>
      <c r="B83" s="108">
        <f t="shared" si="1"/>
        <v>50</v>
      </c>
      <c r="C83" s="130" t="s">
        <v>644</v>
      </c>
      <c r="D83" s="207"/>
      <c r="E83" s="244">
        <v>222</v>
      </c>
      <c r="F83" s="215">
        <f t="shared" si="2"/>
        <v>100</v>
      </c>
      <c r="G83" s="239">
        <f>'2022 первинка'!G83+'2022 вторинка'!G83</f>
        <v>25</v>
      </c>
      <c r="H83" s="239">
        <f>'2022 первинка'!H83+'2022 вторинка'!H83</f>
        <v>25</v>
      </c>
      <c r="I83" s="239">
        <f>'2022 первинка'!I83+'2022 вторинка'!I83</f>
        <v>25</v>
      </c>
      <c r="J83" s="239">
        <f>'2022 первинка'!J83+'2022 вторинка'!J83</f>
        <v>25</v>
      </c>
      <c r="K83" s="113"/>
    </row>
    <row r="84" spans="1:11" x14ac:dyDescent="0.25">
      <c r="A84" s="132" t="s">
        <v>95</v>
      </c>
      <c r="B84" s="108">
        <f t="shared" si="1"/>
        <v>51</v>
      </c>
      <c r="C84" s="130" t="s">
        <v>645</v>
      </c>
      <c r="D84" s="207"/>
      <c r="E84" s="244">
        <v>1144.3</v>
      </c>
      <c r="F84" s="215">
        <f t="shared" si="2"/>
        <v>1710</v>
      </c>
      <c r="G84" s="239">
        <f>'2022 первинка'!G84+'2022 вторинка'!G84</f>
        <v>200</v>
      </c>
      <c r="H84" s="239">
        <f>'2022 первинка'!H84+'2022 вторинка'!H84</f>
        <v>150</v>
      </c>
      <c r="I84" s="239">
        <f>'2022 первинка'!I84+'2022 вторинка'!I84</f>
        <v>950</v>
      </c>
      <c r="J84" s="239">
        <f>'2022 первинка'!J84+'2022 вторинка'!J84</f>
        <v>410</v>
      </c>
      <c r="K84" s="113"/>
    </row>
    <row r="85" spans="1:11" x14ac:dyDescent="0.25">
      <c r="A85" s="132" t="s">
        <v>96</v>
      </c>
      <c r="B85" s="108">
        <f t="shared" si="1"/>
        <v>52</v>
      </c>
      <c r="C85" s="130" t="s">
        <v>646</v>
      </c>
      <c r="D85" s="207"/>
      <c r="E85" s="244">
        <v>5.9</v>
      </c>
      <c r="F85" s="215">
        <f t="shared" si="2"/>
        <v>23.8</v>
      </c>
      <c r="G85" s="239">
        <f>'2022 первинка'!G85+'2022 вторинка'!G85</f>
        <v>8.8000000000000007</v>
      </c>
      <c r="H85" s="239">
        <f>'2022 первинка'!H85+'2022 вторинка'!H85</f>
        <v>5</v>
      </c>
      <c r="I85" s="239">
        <f>'2022 первинка'!I85+'2022 вторинка'!I85</f>
        <v>5</v>
      </c>
      <c r="J85" s="239">
        <f>'2022 первинка'!J85+'2022 вторинка'!J85</f>
        <v>5</v>
      </c>
      <c r="K85" s="113"/>
    </row>
    <row r="86" spans="1:11" x14ac:dyDescent="0.25">
      <c r="A86" s="132" t="s">
        <v>108</v>
      </c>
      <c r="B86" s="233">
        <f t="shared" si="1"/>
        <v>53</v>
      </c>
      <c r="C86" s="234" t="s">
        <v>647</v>
      </c>
      <c r="D86" s="562">
        <v>209.93</v>
      </c>
      <c r="E86" s="253">
        <v>108.1</v>
      </c>
      <c r="F86" s="622">
        <f t="shared" si="2"/>
        <v>525</v>
      </c>
      <c r="G86" s="280">
        <f>'2022 первинка'!G86+'2022 вторинка'!G86</f>
        <v>131</v>
      </c>
      <c r="H86" s="280">
        <f>'2022 первинка'!H86+'2022 вторинка'!H86</f>
        <v>131</v>
      </c>
      <c r="I86" s="280">
        <f>'2022 первинка'!I86+'2022 вторинка'!I86</f>
        <v>132</v>
      </c>
      <c r="J86" s="280">
        <f>'2022 первинка'!J86+'2022 вторинка'!J86</f>
        <v>131</v>
      </c>
      <c r="K86" s="281"/>
    </row>
    <row r="87" spans="1:11" x14ac:dyDescent="0.25">
      <c r="A87" s="132" t="s">
        <v>97</v>
      </c>
      <c r="B87" s="108">
        <f t="shared" si="1"/>
        <v>54</v>
      </c>
      <c r="C87" s="130" t="s">
        <v>648</v>
      </c>
      <c r="D87" s="207"/>
      <c r="E87" s="253">
        <v>43.2</v>
      </c>
      <c r="F87" s="215">
        <f t="shared" si="2"/>
        <v>50</v>
      </c>
      <c r="G87" s="239">
        <f>'2022 первинка'!G87+'2022 вторинка'!G87</f>
        <v>13</v>
      </c>
      <c r="H87" s="239">
        <f>'2022 первинка'!H87+'2022 вторинка'!H87</f>
        <v>13</v>
      </c>
      <c r="I87" s="239">
        <f>'2022 первинка'!I87+'2022 вторинка'!I87</f>
        <v>12</v>
      </c>
      <c r="J87" s="239">
        <f>'2022 первинка'!J87+'2022 вторинка'!J87</f>
        <v>12</v>
      </c>
      <c r="K87" s="113"/>
    </row>
    <row r="88" spans="1:11" x14ac:dyDescent="0.25">
      <c r="A88" s="132" t="s">
        <v>98</v>
      </c>
      <c r="B88" s="108">
        <f t="shared" si="1"/>
        <v>55</v>
      </c>
      <c r="C88" s="130" t="s">
        <v>649</v>
      </c>
      <c r="D88" s="207"/>
      <c r="E88" s="253">
        <v>1.3</v>
      </c>
      <c r="F88" s="215">
        <f t="shared" si="2"/>
        <v>20</v>
      </c>
      <c r="G88" s="239">
        <f>'2022 первинка'!G88+'2022 вторинка'!G88</f>
        <v>5</v>
      </c>
      <c r="H88" s="239">
        <f>'2022 первинка'!H88+'2022 вторинка'!H88</f>
        <v>5</v>
      </c>
      <c r="I88" s="239">
        <f>'2022 первинка'!I88+'2022 вторинка'!I88</f>
        <v>5</v>
      </c>
      <c r="J88" s="239">
        <f>'2022 первинка'!J88+'2022 вторинка'!J88</f>
        <v>5</v>
      </c>
      <c r="K88" s="113"/>
    </row>
    <row r="89" spans="1:11" x14ac:dyDescent="0.25">
      <c r="A89" s="132" t="s">
        <v>100</v>
      </c>
      <c r="B89" s="108">
        <f t="shared" si="1"/>
        <v>56</v>
      </c>
      <c r="C89" s="130" t="s">
        <v>650</v>
      </c>
      <c r="D89" s="207">
        <v>74</v>
      </c>
      <c r="E89" s="253">
        <v>35</v>
      </c>
      <c r="F89" s="215">
        <f t="shared" si="2"/>
        <v>0</v>
      </c>
      <c r="G89" s="239">
        <f>'2022 первинка'!G89+'2022 вторинка'!G89</f>
        <v>0</v>
      </c>
      <c r="H89" s="239">
        <f>'2022 первинка'!H89+'2022 вторинка'!H89</f>
        <v>0</v>
      </c>
      <c r="I89" s="239">
        <f>'2022 первинка'!I89+'2022 вторинка'!I89</f>
        <v>0</v>
      </c>
      <c r="J89" s="239">
        <f>'2022 первинка'!J89+'2022 вторинка'!J89</f>
        <v>0</v>
      </c>
      <c r="K89" s="113"/>
    </row>
    <row r="90" spans="1:11" x14ac:dyDescent="0.25">
      <c r="A90" s="132" t="s">
        <v>117</v>
      </c>
      <c r="B90" s="108">
        <f t="shared" si="1"/>
        <v>57</v>
      </c>
      <c r="C90" s="130" t="s">
        <v>651</v>
      </c>
      <c r="D90" s="562">
        <v>0.37</v>
      </c>
      <c r="E90" s="253">
        <v>369.5</v>
      </c>
      <c r="F90" s="215">
        <f t="shared" si="2"/>
        <v>175</v>
      </c>
      <c r="G90" s="239">
        <f>'2022 первинка'!G90+'2022 вторинка'!G90</f>
        <v>43</v>
      </c>
      <c r="H90" s="239">
        <f>'2022 первинка'!H90+'2022 вторинка'!H90</f>
        <v>43</v>
      </c>
      <c r="I90" s="239">
        <f>'2022 первинка'!I90+'2022 вторинка'!I90</f>
        <v>44</v>
      </c>
      <c r="J90" s="239">
        <f>'2022 первинка'!J90+'2022 вторинка'!J90</f>
        <v>45</v>
      </c>
      <c r="K90" s="113"/>
    </row>
    <row r="91" spans="1:11" x14ac:dyDescent="0.25">
      <c r="A91" s="111" t="s">
        <v>101</v>
      </c>
      <c r="B91" s="108">
        <f t="shared" si="1"/>
        <v>58</v>
      </c>
      <c r="C91" s="105" t="s">
        <v>652</v>
      </c>
      <c r="D91" s="207"/>
      <c r="E91" s="316">
        <v>1.3</v>
      </c>
      <c r="F91" s="215">
        <f t="shared" si="2"/>
        <v>5</v>
      </c>
      <c r="G91" s="239">
        <f>'2022 первинка'!G91+'2022 вторинка'!G91</f>
        <v>1</v>
      </c>
      <c r="H91" s="239">
        <f>'2022 первинка'!H91+'2022 вторинка'!H91</f>
        <v>2</v>
      </c>
      <c r="I91" s="239">
        <f>'2022 первинка'!I91+'2022 вторинка'!I91</f>
        <v>1</v>
      </c>
      <c r="J91" s="239">
        <f>'2022 первинка'!J91+'2022 вторинка'!J91</f>
        <v>1</v>
      </c>
      <c r="K91" s="113"/>
    </row>
    <row r="92" spans="1:11" x14ac:dyDescent="0.25">
      <c r="A92" s="111" t="s">
        <v>102</v>
      </c>
      <c r="B92" s="108">
        <f t="shared" si="1"/>
        <v>59</v>
      </c>
      <c r="C92" s="105" t="s">
        <v>653</v>
      </c>
      <c r="D92" s="207"/>
      <c r="E92" s="316"/>
      <c r="F92" s="215">
        <f t="shared" si="2"/>
        <v>0</v>
      </c>
      <c r="G92" s="239">
        <f>'2022 первинка'!G92+'2022 вторинка'!G92</f>
        <v>0</v>
      </c>
      <c r="H92" s="239">
        <f>'2022 первинка'!H92+'2022 вторинка'!H92</f>
        <v>0</v>
      </c>
      <c r="I92" s="239">
        <f>'2022 первинка'!I92+'2022 вторинка'!I92</f>
        <v>0</v>
      </c>
      <c r="J92" s="239">
        <f>'2022 первинка'!J92+'2022 вторинка'!J92</f>
        <v>0</v>
      </c>
      <c r="K92" s="113"/>
    </row>
    <row r="93" spans="1:11" x14ac:dyDescent="0.25">
      <c r="A93" s="111" t="s">
        <v>48</v>
      </c>
      <c r="B93" s="108">
        <f t="shared" si="1"/>
        <v>60</v>
      </c>
      <c r="C93" s="105" t="s">
        <v>654</v>
      </c>
      <c r="D93" s="207"/>
      <c r="E93" s="316"/>
      <c r="F93" s="215">
        <f t="shared" si="2"/>
        <v>0</v>
      </c>
      <c r="G93" s="239">
        <f>'2022 первинка'!G93+'2022 вторинка'!G93</f>
        <v>0</v>
      </c>
      <c r="H93" s="239">
        <f>'2022 первинка'!H93+'2022 вторинка'!H93</f>
        <v>0</v>
      </c>
      <c r="I93" s="239">
        <f>'2022 первинка'!I93+'2022 вторинка'!I93</f>
        <v>0</v>
      </c>
      <c r="J93" s="239">
        <f>'2022 первинка'!J93+'2022 вторинка'!J93</f>
        <v>0</v>
      </c>
      <c r="K93" s="113"/>
    </row>
    <row r="94" spans="1:11" x14ac:dyDescent="0.25">
      <c r="A94" s="111" t="s">
        <v>151</v>
      </c>
      <c r="B94" s="108">
        <f t="shared" si="1"/>
        <v>61</v>
      </c>
      <c r="C94" s="105" t="s">
        <v>655</v>
      </c>
      <c r="D94" s="207"/>
      <c r="E94" s="243"/>
      <c r="F94" s="215">
        <f t="shared" si="2"/>
        <v>0</v>
      </c>
      <c r="G94" s="239">
        <f>'2022 первинка'!G94+'2022 вторинка'!G94</f>
        <v>0</v>
      </c>
      <c r="H94" s="239">
        <f>'2022 первинка'!H94+'2022 вторинка'!H94</f>
        <v>0</v>
      </c>
      <c r="I94" s="239">
        <f>'2022 первинка'!I94+'2022 вторинка'!I94</f>
        <v>0</v>
      </c>
      <c r="J94" s="239">
        <f>'2022 первинка'!J94+'2022 вторинка'!J94</f>
        <v>0</v>
      </c>
      <c r="K94" s="113"/>
    </row>
    <row r="95" spans="1:11" ht="15.75" thickBot="1" x14ac:dyDescent="0.3">
      <c r="A95" s="111" t="s">
        <v>152</v>
      </c>
      <c r="B95" s="108">
        <f t="shared" si="1"/>
        <v>62</v>
      </c>
      <c r="C95" s="105" t="s">
        <v>656</v>
      </c>
      <c r="D95" s="207">
        <v>23090.9</v>
      </c>
      <c r="E95" s="243">
        <v>4470</v>
      </c>
      <c r="F95" s="215">
        <f>G95+H95+I95+J95</f>
        <v>12390</v>
      </c>
      <c r="G95" s="239">
        <f>'2022 первинка'!G95+'2022 вторинка'!G95</f>
        <v>1350</v>
      </c>
      <c r="H95" s="239">
        <f>'2022 первинка'!H95+'2022 вторинка'!H95</f>
        <v>3650</v>
      </c>
      <c r="I95" s="239">
        <f>'2022 первинка'!I95+'2022 вторинка'!I95</f>
        <v>3740</v>
      </c>
      <c r="J95" s="239">
        <f>'2022 первинка'!J95+'2022 вторинка'!J95</f>
        <v>3650</v>
      </c>
      <c r="K95" s="113"/>
    </row>
    <row r="96" spans="1:11" ht="15.75" thickBot="1" x14ac:dyDescent="0.3">
      <c r="A96" s="125" t="s">
        <v>106</v>
      </c>
      <c r="B96" s="126">
        <f>B95+1</f>
        <v>63</v>
      </c>
      <c r="C96" s="94">
        <v>1130</v>
      </c>
      <c r="D96" s="96">
        <f>SUM(D97:D106)</f>
        <v>5125.0999999999995</v>
      </c>
      <c r="E96" s="96">
        <f>SUM(E97:E106)</f>
        <v>3225.1</v>
      </c>
      <c r="F96" s="127">
        <f t="shared" si="2"/>
        <v>4060</v>
      </c>
      <c r="G96" s="97">
        <f>SUM(G97:G106)</f>
        <v>1015</v>
      </c>
      <c r="H96" s="96">
        <f>SUM(H97:H106)</f>
        <v>1015</v>
      </c>
      <c r="I96" s="96">
        <f>SUM(I97:I106)</f>
        <v>1015</v>
      </c>
      <c r="J96" s="96">
        <f>SUM(J97:J106)</f>
        <v>1015</v>
      </c>
      <c r="K96" s="96"/>
    </row>
    <row r="97" spans="1:11" x14ac:dyDescent="0.25">
      <c r="A97" s="107" t="s">
        <v>90</v>
      </c>
      <c r="B97" s="104">
        <f t="shared" si="1"/>
        <v>64</v>
      </c>
      <c r="C97" s="105" t="s">
        <v>163</v>
      </c>
      <c r="D97" s="121">
        <v>1095.0999999999999</v>
      </c>
      <c r="E97" s="242">
        <v>409</v>
      </c>
      <c r="F97" s="222">
        <f t="shared" si="2"/>
        <v>190.7</v>
      </c>
      <c r="G97" s="239">
        <f>'2022 первинка'!G97+'2022 вторинка'!G97</f>
        <v>39.4</v>
      </c>
      <c r="H97" s="239">
        <f>'2022 первинка'!H97+'2022 вторинка'!H97</f>
        <v>39.4</v>
      </c>
      <c r="I97" s="239">
        <f>'2022 первинка'!I97+'2022 вторинка'!I97</f>
        <v>39.299999999999997</v>
      </c>
      <c r="J97" s="239">
        <f>'2022 первинка'!J97+'2022 вторинка'!J97</f>
        <v>72.599999999999994</v>
      </c>
      <c r="K97" s="121"/>
    </row>
    <row r="98" spans="1:11" x14ac:dyDescent="0.25">
      <c r="A98" s="111" t="s">
        <v>91</v>
      </c>
      <c r="B98" s="108">
        <f t="shared" si="1"/>
        <v>65</v>
      </c>
      <c r="C98" s="105" t="s">
        <v>164</v>
      </c>
      <c r="D98" s="113">
        <v>448.3</v>
      </c>
      <c r="E98" s="243">
        <v>106</v>
      </c>
      <c r="F98" s="215">
        <f t="shared" si="2"/>
        <v>25.6</v>
      </c>
      <c r="G98" s="239">
        <f>'2022 первинка'!G98+'2022 вторинка'!G98</f>
        <v>6.4</v>
      </c>
      <c r="H98" s="239">
        <f>'2022 первинка'!H98+'2022 вторинка'!H98</f>
        <v>6.4</v>
      </c>
      <c r="I98" s="239">
        <f>'2022 первинка'!I98+'2022 вторинка'!I98</f>
        <v>6.4</v>
      </c>
      <c r="J98" s="239">
        <f>'2022 первинка'!J98+'2022 вторинка'!J98</f>
        <v>6.4</v>
      </c>
      <c r="K98" s="113"/>
    </row>
    <row r="99" spans="1:11" x14ac:dyDescent="0.25">
      <c r="A99" s="111" t="s">
        <v>149</v>
      </c>
      <c r="B99" s="108">
        <f t="shared" si="1"/>
        <v>66</v>
      </c>
      <c r="C99" s="105" t="s">
        <v>165</v>
      </c>
      <c r="D99" s="113">
        <v>806.5</v>
      </c>
      <c r="E99" s="243">
        <v>688</v>
      </c>
      <c r="F99" s="215">
        <f t="shared" si="2"/>
        <v>894.7</v>
      </c>
      <c r="G99" s="239">
        <f>'2022 первинка'!G99+'2022 вторинка'!G99</f>
        <v>232</v>
      </c>
      <c r="H99" s="239">
        <f>'2022 первинка'!H99+'2022 вторинка'!H99</f>
        <v>232</v>
      </c>
      <c r="I99" s="239">
        <f>'2022 первинка'!I99+'2022 вторинка'!I99</f>
        <v>232</v>
      </c>
      <c r="J99" s="239">
        <f>'2022 первинка'!J99+'2022 вторинка'!J99</f>
        <v>198.7</v>
      </c>
      <c r="K99" s="113"/>
    </row>
    <row r="100" spans="1:11" x14ac:dyDescent="0.25">
      <c r="A100" s="111" t="s">
        <v>46</v>
      </c>
      <c r="B100" s="108">
        <f t="shared" ref="B100:B106" si="11">B99+1</f>
        <v>67</v>
      </c>
      <c r="C100" s="105" t="s">
        <v>166</v>
      </c>
      <c r="D100" s="113">
        <v>852.2</v>
      </c>
      <c r="E100" s="243">
        <v>90.8</v>
      </c>
      <c r="F100" s="215">
        <f t="shared" si="2"/>
        <v>1358</v>
      </c>
      <c r="G100" s="239">
        <f>'2022 первинка'!G100+'2022 вторинка'!G100</f>
        <v>339</v>
      </c>
      <c r="H100" s="239">
        <f>'2022 первинка'!H100+'2022 вторинка'!H100</f>
        <v>339</v>
      </c>
      <c r="I100" s="239">
        <f>'2022 первинка'!I100+'2022 вторинка'!I100</f>
        <v>340</v>
      </c>
      <c r="J100" s="239">
        <f>'2022 первинка'!J100+'2022 вторинка'!J100</f>
        <v>340</v>
      </c>
      <c r="K100" s="113"/>
    </row>
    <row r="101" spans="1:11" x14ac:dyDescent="0.25">
      <c r="A101" s="111" t="s">
        <v>47</v>
      </c>
      <c r="B101" s="108">
        <f t="shared" si="11"/>
        <v>68</v>
      </c>
      <c r="C101" s="105" t="s">
        <v>167</v>
      </c>
      <c r="D101" s="207"/>
      <c r="E101" s="244"/>
      <c r="F101" s="215">
        <f t="shared" si="2"/>
        <v>0</v>
      </c>
      <c r="G101" s="239">
        <f>'2022 первинка'!G101+'2022 вторинка'!G101</f>
        <v>0</v>
      </c>
      <c r="H101" s="239">
        <f>'2022 первинка'!H101+'2022 вторинка'!H101</f>
        <v>0</v>
      </c>
      <c r="I101" s="239">
        <f>'2022 первинка'!I101+'2022 вторинка'!I101</f>
        <v>0</v>
      </c>
      <c r="J101" s="239">
        <f>'2022 первинка'!J101+'2022 вторинка'!J101</f>
        <v>0</v>
      </c>
      <c r="K101" s="113"/>
    </row>
    <row r="102" spans="1:11" x14ac:dyDescent="0.25">
      <c r="A102" s="111" t="s">
        <v>150</v>
      </c>
      <c r="B102" s="108">
        <f t="shared" si="11"/>
        <v>69</v>
      </c>
      <c r="C102" s="105" t="s">
        <v>168</v>
      </c>
      <c r="D102" s="207">
        <v>1604</v>
      </c>
      <c r="E102" s="244">
        <v>1493.1</v>
      </c>
      <c r="F102" s="215">
        <f t="shared" si="2"/>
        <v>1315</v>
      </c>
      <c r="G102" s="239">
        <f>'2022 первинка'!G102+'2022 вторинка'!G102</f>
        <v>329.2</v>
      </c>
      <c r="H102" s="239">
        <f>'2022 первинка'!H102+'2022 вторинка'!H102</f>
        <v>329.2</v>
      </c>
      <c r="I102" s="239">
        <f>'2022 первинка'!I102+'2022 вторинка'!I102</f>
        <v>328.3</v>
      </c>
      <c r="J102" s="239">
        <f>'2022 первинка'!J102+'2022 вторинка'!J102</f>
        <v>328.3</v>
      </c>
      <c r="K102" s="113"/>
    </row>
    <row r="103" spans="1:11" x14ac:dyDescent="0.25">
      <c r="A103" s="111" t="s">
        <v>101</v>
      </c>
      <c r="B103" s="108">
        <f t="shared" si="11"/>
        <v>70</v>
      </c>
      <c r="C103" s="105" t="s">
        <v>169</v>
      </c>
      <c r="D103" s="207"/>
      <c r="E103" s="243"/>
      <c r="F103" s="215">
        <f t="shared" si="2"/>
        <v>0</v>
      </c>
      <c r="G103" s="239">
        <f>'2022 первинка'!G103+'2022 вторинка'!G103</f>
        <v>0</v>
      </c>
      <c r="H103" s="239">
        <f>'2022 первинка'!H103+'2022 вторинка'!H103</f>
        <v>0</v>
      </c>
      <c r="I103" s="239">
        <f>'2022 первинка'!I103+'2022 вторинка'!I103</f>
        <v>0</v>
      </c>
      <c r="J103" s="239">
        <f>'2022 первинка'!J103+'2022 вторинка'!J103</f>
        <v>0</v>
      </c>
      <c r="K103" s="113"/>
    </row>
    <row r="104" spans="1:11" x14ac:dyDescent="0.25">
      <c r="A104" s="111" t="s">
        <v>102</v>
      </c>
      <c r="B104" s="108">
        <f t="shared" si="11"/>
        <v>71</v>
      </c>
      <c r="C104" s="105" t="s">
        <v>170</v>
      </c>
      <c r="D104" s="207">
        <v>160.19999999999999</v>
      </c>
      <c r="E104" s="243">
        <v>258.89999999999998</v>
      </c>
      <c r="F104" s="215">
        <f t="shared" si="2"/>
        <v>276</v>
      </c>
      <c r="G104" s="239">
        <f>'2022 первинка'!G104+'2022 вторинка'!G104</f>
        <v>69</v>
      </c>
      <c r="H104" s="239">
        <f>'2022 первинка'!H104+'2022 вторинка'!H104</f>
        <v>69</v>
      </c>
      <c r="I104" s="239">
        <f>'2022 первинка'!I104+'2022 вторинка'!I104</f>
        <v>69</v>
      </c>
      <c r="J104" s="239">
        <f>'2022 первинка'!J104+'2022 вторинка'!J104</f>
        <v>69</v>
      </c>
      <c r="K104" s="113"/>
    </row>
    <row r="105" spans="1:11" x14ac:dyDescent="0.25">
      <c r="A105" s="111" t="s">
        <v>48</v>
      </c>
      <c r="B105" s="108">
        <f t="shared" si="11"/>
        <v>72</v>
      </c>
      <c r="C105" s="105" t="s">
        <v>171</v>
      </c>
      <c r="D105" s="207"/>
      <c r="E105" s="243"/>
      <c r="F105" s="215">
        <f t="shared" si="2"/>
        <v>0</v>
      </c>
      <c r="G105" s="239">
        <f>'2022 первинка'!G105+'2022 вторинка'!G105</f>
        <v>0</v>
      </c>
      <c r="H105" s="239">
        <f>'2022 первинка'!H105+'2022 вторинка'!H105</f>
        <v>0</v>
      </c>
      <c r="I105" s="239">
        <f>'2022 первинка'!I105+'2022 вторинка'!I105</f>
        <v>0</v>
      </c>
      <c r="J105" s="239">
        <f>'2022 первинка'!J105+'2022 вторинка'!J105</f>
        <v>0</v>
      </c>
      <c r="K105" s="113"/>
    </row>
    <row r="106" spans="1:11" ht="15.75" thickBot="1" x14ac:dyDescent="0.3">
      <c r="A106" s="111" t="s">
        <v>151</v>
      </c>
      <c r="B106" s="122">
        <f t="shared" si="11"/>
        <v>73</v>
      </c>
      <c r="C106" s="105" t="s">
        <v>172</v>
      </c>
      <c r="D106" s="207">
        <v>158.80000000000001</v>
      </c>
      <c r="E106" s="243">
        <v>179.3</v>
      </c>
      <c r="F106" s="215">
        <f t="shared" si="2"/>
        <v>0</v>
      </c>
      <c r="G106" s="239">
        <f>'2022 первинка'!G106+'2022 вторинка'!G106</f>
        <v>0</v>
      </c>
      <c r="H106" s="239">
        <f>'2022 первинка'!H106+'2022 вторинка'!H106</f>
        <v>0</v>
      </c>
      <c r="I106" s="239">
        <f>'2022 первинка'!I106+'2022 вторинка'!I106</f>
        <v>0</v>
      </c>
      <c r="J106" s="239">
        <f>'2022 первинка'!J106+'2022 вторинка'!J106</f>
        <v>0</v>
      </c>
      <c r="K106" s="113"/>
    </row>
    <row r="107" spans="1:11" ht="15.75" thickBot="1" x14ac:dyDescent="0.3">
      <c r="A107" s="125" t="s">
        <v>161</v>
      </c>
      <c r="B107" s="126">
        <f>B106+1</f>
        <v>74</v>
      </c>
      <c r="C107" s="94">
        <v>1140</v>
      </c>
      <c r="D107" s="133">
        <f>D108+D119+D125</f>
        <v>30811.199999999997</v>
      </c>
      <c r="E107" s="133">
        <f>E108+E119+E125</f>
        <v>28108.400000000001</v>
      </c>
      <c r="F107" s="127">
        <f t="shared" si="2"/>
        <v>43684</v>
      </c>
      <c r="G107" s="133">
        <f t="shared" ref="G107:J107" si="12">G108+G119+G125</f>
        <v>12011.099999999999</v>
      </c>
      <c r="H107" s="133">
        <f t="shared" si="12"/>
        <v>13641.9</v>
      </c>
      <c r="I107" s="133">
        <f t="shared" si="12"/>
        <v>7230.1</v>
      </c>
      <c r="J107" s="133">
        <f t="shared" si="12"/>
        <v>10800.900000000001</v>
      </c>
      <c r="K107" s="133"/>
    </row>
    <row r="108" spans="1:11" ht="15.75" thickBot="1" x14ac:dyDescent="0.3">
      <c r="A108" s="125" t="s">
        <v>162</v>
      </c>
      <c r="B108" s="126">
        <f>B107+1</f>
        <v>75</v>
      </c>
      <c r="C108" s="94">
        <v>1150</v>
      </c>
      <c r="D108" s="133">
        <f>SUM(D109:D118)</f>
        <v>20725.2</v>
      </c>
      <c r="E108" s="133">
        <f>SUM(E109:E118)</f>
        <v>15769.5</v>
      </c>
      <c r="F108" s="127">
        <f>SUM(G108:J108)</f>
        <v>17145.7</v>
      </c>
      <c r="G108" s="133">
        <f>SUM(G109:G118)</f>
        <v>4285.8999999999996</v>
      </c>
      <c r="H108" s="133">
        <f>SUM(H109:H118)</f>
        <v>4286.6000000000004</v>
      </c>
      <c r="I108" s="133">
        <f>SUM(I109:I118)</f>
        <v>4286.6000000000004</v>
      </c>
      <c r="J108" s="133">
        <f>SUM(J109:J118)</f>
        <v>4286.6000000000004</v>
      </c>
      <c r="K108" s="133"/>
    </row>
    <row r="109" spans="1:11" x14ac:dyDescent="0.25">
      <c r="A109" s="107" t="s">
        <v>90</v>
      </c>
      <c r="B109" s="104">
        <f>B108+1</f>
        <v>76</v>
      </c>
      <c r="C109" s="105" t="s">
        <v>112</v>
      </c>
      <c r="D109" s="208">
        <v>5763.6</v>
      </c>
      <c r="E109" s="245">
        <v>2716</v>
      </c>
      <c r="F109" s="262">
        <f t="shared" si="2"/>
        <v>4038</v>
      </c>
      <c r="G109" s="239">
        <f>'2022 первинка'!G109+'2022 вторинка'!G109</f>
        <v>1009.5</v>
      </c>
      <c r="H109" s="239">
        <f>'2022 первинка'!H109+'2022 вторинка'!H109</f>
        <v>1009.5</v>
      </c>
      <c r="I109" s="239">
        <f>'2022 первинка'!I109+'2022 вторинка'!I109</f>
        <v>1009.5</v>
      </c>
      <c r="J109" s="239">
        <f>'2022 первинка'!J109+'2022 вторинка'!J109</f>
        <v>1009.5</v>
      </c>
      <c r="K109" s="121"/>
    </row>
    <row r="110" spans="1:11" x14ac:dyDescent="0.25">
      <c r="A110" s="111" t="s">
        <v>91</v>
      </c>
      <c r="B110" s="108">
        <f t="shared" ref="B110:B173" si="13">B109+1</f>
        <v>77</v>
      </c>
      <c r="C110" s="105" t="s">
        <v>175</v>
      </c>
      <c r="D110" s="207">
        <v>6852.8</v>
      </c>
      <c r="E110" s="246">
        <v>597.5</v>
      </c>
      <c r="F110" s="215">
        <f t="shared" si="2"/>
        <v>888.40000000000009</v>
      </c>
      <c r="G110" s="239">
        <f>'2022 первинка'!G110+'2022 вторинка'!G110</f>
        <v>222.10000000000002</v>
      </c>
      <c r="H110" s="239">
        <f>'2022 первинка'!H110+'2022 вторинка'!H110</f>
        <v>222.10000000000002</v>
      </c>
      <c r="I110" s="239">
        <f>'2022 первинка'!I110+'2022 вторинка'!I110</f>
        <v>222.10000000000002</v>
      </c>
      <c r="J110" s="239">
        <f>'2022 первинка'!J110+'2022 вторинка'!J110</f>
        <v>222.10000000000002</v>
      </c>
      <c r="K110" s="113"/>
    </row>
    <row r="111" spans="1:11" x14ac:dyDescent="0.25">
      <c r="A111" s="111" t="s">
        <v>149</v>
      </c>
      <c r="B111" s="108">
        <f t="shared" si="13"/>
        <v>78</v>
      </c>
      <c r="C111" s="105" t="s">
        <v>176</v>
      </c>
      <c r="D111" s="207">
        <v>271.8</v>
      </c>
      <c r="E111" s="246">
        <v>336</v>
      </c>
      <c r="F111" s="215">
        <f t="shared" si="2"/>
        <v>0</v>
      </c>
      <c r="G111" s="239">
        <f>'2022 первинка'!G111+'2022 вторинка'!G111</f>
        <v>0</v>
      </c>
      <c r="H111" s="239">
        <f>'2022 первинка'!H111+'2022 вторинка'!H111</f>
        <v>0</v>
      </c>
      <c r="I111" s="239">
        <f>'2022 первинка'!I111+'2022 вторинка'!I111</f>
        <v>0</v>
      </c>
      <c r="J111" s="239">
        <f>'2022 первинка'!J111+'2022 вторинка'!J111</f>
        <v>0</v>
      </c>
      <c r="K111" s="113"/>
    </row>
    <row r="112" spans="1:11" x14ac:dyDescent="0.25">
      <c r="A112" s="111" t="s">
        <v>46</v>
      </c>
      <c r="B112" s="108">
        <f t="shared" si="13"/>
        <v>79</v>
      </c>
      <c r="C112" s="105" t="s">
        <v>657</v>
      </c>
      <c r="D112" s="207">
        <v>2018.2</v>
      </c>
      <c r="E112" s="246">
        <v>1520</v>
      </c>
      <c r="F112" s="215">
        <f t="shared" si="2"/>
        <v>1599.3</v>
      </c>
      <c r="G112" s="239">
        <f>'2022 первинка'!G112+'2022 вторинка'!G112</f>
        <v>399.3</v>
      </c>
      <c r="H112" s="239">
        <f>'2022 первинка'!H112+'2022 вторинка'!H112</f>
        <v>400</v>
      </c>
      <c r="I112" s="239">
        <f>'2022 первинка'!I112+'2022 вторинка'!I112</f>
        <v>400</v>
      </c>
      <c r="J112" s="239">
        <f>'2022 первинка'!J112+'2022 вторинка'!J112</f>
        <v>400</v>
      </c>
      <c r="K112" s="113"/>
    </row>
    <row r="113" spans="1:11" x14ac:dyDescent="0.25">
      <c r="A113" s="111" t="s">
        <v>47</v>
      </c>
      <c r="B113" s="108">
        <f t="shared" si="13"/>
        <v>80</v>
      </c>
      <c r="C113" s="105" t="s">
        <v>658</v>
      </c>
      <c r="D113" s="207"/>
      <c r="E113" s="246"/>
      <c r="F113" s="215">
        <f t="shared" si="2"/>
        <v>0</v>
      </c>
      <c r="G113" s="239">
        <f>'2022 первинка'!G113+'2022 вторинка'!G113</f>
        <v>0</v>
      </c>
      <c r="H113" s="239">
        <f>'2022 первинка'!H113+'2022 вторинка'!H113</f>
        <v>0</v>
      </c>
      <c r="I113" s="239">
        <f>'2022 первинка'!I113+'2022 вторинка'!I113</f>
        <v>0</v>
      </c>
      <c r="J113" s="239">
        <f>'2022 первинка'!J113+'2022 вторинка'!J113</f>
        <v>0</v>
      </c>
      <c r="K113" s="113"/>
    </row>
    <row r="114" spans="1:11" x14ac:dyDescent="0.25">
      <c r="A114" s="111" t="s">
        <v>150</v>
      </c>
      <c r="B114" s="108">
        <f t="shared" si="13"/>
        <v>81</v>
      </c>
      <c r="C114" s="105" t="s">
        <v>659</v>
      </c>
      <c r="D114" s="207">
        <v>212.9</v>
      </c>
      <c r="E114" s="246">
        <v>600</v>
      </c>
      <c r="F114" s="215">
        <f t="shared" si="2"/>
        <v>0</v>
      </c>
      <c r="G114" s="239">
        <f>'2022 первинка'!G114+'2022 вторинка'!G114</f>
        <v>0</v>
      </c>
      <c r="H114" s="239">
        <f>'2022 первинка'!H114+'2022 вторинка'!H114</f>
        <v>0</v>
      </c>
      <c r="I114" s="239">
        <f>'2022 первинка'!I114+'2022 вторинка'!I114</f>
        <v>0</v>
      </c>
      <c r="J114" s="239">
        <f>'2022 первинка'!J114+'2022 вторинка'!J114</f>
        <v>0</v>
      </c>
      <c r="K114" s="113"/>
    </row>
    <row r="115" spans="1:11" x14ac:dyDescent="0.25">
      <c r="A115" s="111" t="s">
        <v>101</v>
      </c>
      <c r="B115" s="108">
        <f t="shared" si="13"/>
        <v>82</v>
      </c>
      <c r="C115" s="105" t="s">
        <v>660</v>
      </c>
      <c r="D115" s="207"/>
      <c r="E115" s="246"/>
      <c r="F115" s="215">
        <f t="shared" ref="F115:F174" si="14">G115+H115+I115+J115</f>
        <v>0</v>
      </c>
      <c r="G115" s="239">
        <f>'2022 первинка'!G115+'2022 вторинка'!G115</f>
        <v>0</v>
      </c>
      <c r="H115" s="239">
        <f>'2022 первинка'!H115+'2022 вторинка'!H115</f>
        <v>0</v>
      </c>
      <c r="I115" s="239">
        <f>'2022 первинка'!I115+'2022 вторинка'!I115</f>
        <v>0</v>
      </c>
      <c r="J115" s="239">
        <f>'2022 первинка'!J115+'2022 вторинка'!J115</f>
        <v>0</v>
      </c>
      <c r="K115" s="113"/>
    </row>
    <row r="116" spans="1:11" x14ac:dyDescent="0.25">
      <c r="A116" s="111" t="s">
        <v>102</v>
      </c>
      <c r="B116" s="108">
        <f t="shared" si="13"/>
        <v>83</v>
      </c>
      <c r="C116" s="105" t="s">
        <v>661</v>
      </c>
      <c r="D116" s="207"/>
      <c r="E116" s="243"/>
      <c r="F116" s="215">
        <f t="shared" si="14"/>
        <v>0</v>
      </c>
      <c r="G116" s="239">
        <f>'2022 первинка'!G116+'2022 вторинка'!G116</f>
        <v>0</v>
      </c>
      <c r="H116" s="239">
        <f>'2022 первинка'!H116+'2022 вторинка'!H116</f>
        <v>0</v>
      </c>
      <c r="I116" s="239">
        <f>'2022 первинка'!I116+'2022 вторинка'!I116</f>
        <v>0</v>
      </c>
      <c r="J116" s="239">
        <f>'2022 первинка'!J116+'2022 вторинка'!J116</f>
        <v>0</v>
      </c>
      <c r="K116" s="113"/>
    </row>
    <row r="117" spans="1:11" x14ac:dyDescent="0.25">
      <c r="A117" s="111" t="s">
        <v>48</v>
      </c>
      <c r="B117" s="108">
        <f t="shared" si="13"/>
        <v>84</v>
      </c>
      <c r="C117" s="105" t="s">
        <v>662</v>
      </c>
      <c r="D117" s="207">
        <v>5605.9</v>
      </c>
      <c r="E117" s="243">
        <v>10000</v>
      </c>
      <c r="F117" s="215">
        <f t="shared" si="14"/>
        <v>10620</v>
      </c>
      <c r="G117" s="239">
        <f>'2022 первинка'!G117+'2022 вторинка'!G117</f>
        <v>2655</v>
      </c>
      <c r="H117" s="239">
        <f>'2022 первинка'!H117+'2022 вторинка'!H117</f>
        <v>2655</v>
      </c>
      <c r="I117" s="239">
        <f>'2022 первинка'!I117+'2022 вторинка'!I117</f>
        <v>2655</v>
      </c>
      <c r="J117" s="239">
        <f>'2022 первинка'!J117+'2022 вторинка'!J117</f>
        <v>2655</v>
      </c>
      <c r="K117" s="113"/>
    </row>
    <row r="118" spans="1:11" ht="15.75" thickBot="1" x14ac:dyDescent="0.3">
      <c r="A118" s="134" t="s">
        <v>151</v>
      </c>
      <c r="B118" s="120">
        <f t="shared" si="13"/>
        <v>85</v>
      </c>
      <c r="C118" s="135" t="s">
        <v>663</v>
      </c>
      <c r="D118" s="209"/>
      <c r="E118" s="240"/>
      <c r="F118" s="263">
        <f t="shared" si="14"/>
        <v>0</v>
      </c>
      <c r="G118" s="239">
        <f>'2022 первинка'!G118+'2022 вторинка'!G118</f>
        <v>0</v>
      </c>
      <c r="H118" s="239">
        <f>'2022 первинка'!H118+'2022 вторинка'!H118</f>
        <v>0</v>
      </c>
      <c r="I118" s="239">
        <f>'2022 первинка'!I118+'2022 вторинка'!I118</f>
        <v>0</v>
      </c>
      <c r="J118" s="239">
        <f>'2022 первинка'!J118+'2022 вторинка'!J118</f>
        <v>0</v>
      </c>
      <c r="K118" s="136"/>
    </row>
    <row r="119" spans="1:11" ht="15.75" thickBot="1" x14ac:dyDescent="0.3">
      <c r="A119" s="125" t="s">
        <v>664</v>
      </c>
      <c r="B119" s="126">
        <f t="shared" si="13"/>
        <v>86</v>
      </c>
      <c r="C119" s="94">
        <v>1160</v>
      </c>
      <c r="D119" s="133">
        <f>SUM(D120:D124)</f>
        <v>8846.4</v>
      </c>
      <c r="E119" s="133">
        <f>SUM(E120:E124)</f>
        <v>12338.9</v>
      </c>
      <c r="F119" s="127">
        <f t="shared" si="14"/>
        <v>20538.3</v>
      </c>
      <c r="G119" s="133">
        <f t="shared" ref="G119:J119" si="15">G120+G121+G122+G123+G124</f>
        <v>7725.2</v>
      </c>
      <c r="H119" s="133">
        <f t="shared" si="15"/>
        <v>3355.2999999999997</v>
      </c>
      <c r="I119" s="133">
        <f t="shared" si="15"/>
        <v>2943.4999999999995</v>
      </c>
      <c r="J119" s="133">
        <f t="shared" si="15"/>
        <v>6514.3</v>
      </c>
      <c r="K119" s="133"/>
    </row>
    <row r="120" spans="1:11" x14ac:dyDescent="0.25">
      <c r="A120" s="137" t="s">
        <v>123</v>
      </c>
      <c r="B120" s="138">
        <f t="shared" si="13"/>
        <v>87</v>
      </c>
      <c r="C120" s="130" t="s">
        <v>665</v>
      </c>
      <c r="D120" s="210">
        <v>6687.6</v>
      </c>
      <c r="E120" s="247">
        <v>8869.1</v>
      </c>
      <c r="F120" s="262">
        <f t="shared" si="14"/>
        <v>15137.800000000001</v>
      </c>
      <c r="G120" s="297">
        <f>'2022 первинка'!G120+'2022 вторинка'!G120</f>
        <v>6219</v>
      </c>
      <c r="H120" s="297">
        <f>'2022 первинка'!H120+'2022 вторинка'!H120</f>
        <v>1997.7</v>
      </c>
      <c r="I120" s="297">
        <f>'2022 первинка'!I120+'2022 вторинка'!I120</f>
        <v>1792.1</v>
      </c>
      <c r="J120" s="297">
        <f>'2022 первинка'!J120+'2022 вторинка'!J120</f>
        <v>5129</v>
      </c>
      <c r="K120" s="121"/>
    </row>
    <row r="121" spans="1:11" x14ac:dyDescent="0.25">
      <c r="A121" s="132" t="s">
        <v>124</v>
      </c>
      <c r="B121" s="108">
        <f t="shared" si="13"/>
        <v>88</v>
      </c>
      <c r="C121" s="130" t="s">
        <v>666</v>
      </c>
      <c r="D121" s="211">
        <v>320</v>
      </c>
      <c r="E121" s="248">
        <v>479.3</v>
      </c>
      <c r="F121" s="215">
        <f t="shared" si="14"/>
        <v>600</v>
      </c>
      <c r="G121" s="297">
        <f>'2022 первинка'!G121+'2022 вторинка'!G121</f>
        <v>155</v>
      </c>
      <c r="H121" s="297">
        <f>'2022 первинка'!H121+'2022 вторинка'!H121</f>
        <v>150</v>
      </c>
      <c r="I121" s="297">
        <f>'2022 первинка'!I121+'2022 вторинка'!I121</f>
        <v>150</v>
      </c>
      <c r="J121" s="297">
        <f>'2022 первинка'!J121+'2022 вторинка'!J121</f>
        <v>145</v>
      </c>
      <c r="K121" s="113"/>
    </row>
    <row r="122" spans="1:11" x14ac:dyDescent="0.25">
      <c r="A122" s="132" t="s">
        <v>125</v>
      </c>
      <c r="B122" s="108">
        <f t="shared" si="13"/>
        <v>89</v>
      </c>
      <c r="C122" s="130" t="s">
        <v>667</v>
      </c>
      <c r="D122" s="211">
        <v>1414.8</v>
      </c>
      <c r="E122" s="248">
        <v>2350</v>
      </c>
      <c r="F122" s="215">
        <f t="shared" si="14"/>
        <v>3500</v>
      </c>
      <c r="G122" s="297">
        <f>'2022 первинка'!G122+'2022 вторинка'!G122</f>
        <v>971</v>
      </c>
      <c r="H122" s="297">
        <f>'2022 первинка'!H122+'2022 вторинка'!H122</f>
        <v>827.6</v>
      </c>
      <c r="I122" s="297">
        <f>'2022 первинка'!I122+'2022 вторинка'!I122</f>
        <v>731.1</v>
      </c>
      <c r="J122" s="297">
        <f>'2022 первинка'!J122+'2022 вторинка'!J122</f>
        <v>970.3</v>
      </c>
      <c r="K122" s="113"/>
    </row>
    <row r="123" spans="1:11" x14ac:dyDescent="0.25">
      <c r="A123" s="132" t="s">
        <v>126</v>
      </c>
      <c r="B123" s="108">
        <f t="shared" si="13"/>
        <v>90</v>
      </c>
      <c r="C123" s="130" t="s">
        <v>668</v>
      </c>
      <c r="D123" s="211">
        <v>424</v>
      </c>
      <c r="E123" s="248">
        <v>500.5</v>
      </c>
      <c r="F123" s="215">
        <f t="shared" si="14"/>
        <v>1100.5</v>
      </c>
      <c r="G123" s="297">
        <f>'2022 первинка'!G123+'2022 вторинка'!G123</f>
        <v>330.2</v>
      </c>
      <c r="H123" s="297">
        <f>'2022 первинка'!H123+'2022 вторинка'!H123</f>
        <v>330.1</v>
      </c>
      <c r="I123" s="297">
        <f>'2022 первинка'!I123+'2022 вторинка'!I123</f>
        <v>220.1</v>
      </c>
      <c r="J123" s="297">
        <f>'2022 первинка'!J123+'2022 вторинка'!J123</f>
        <v>220.1</v>
      </c>
      <c r="K123" s="113"/>
    </row>
    <row r="124" spans="1:11" ht="15.75" thickBot="1" x14ac:dyDescent="0.3">
      <c r="A124" s="139" t="s">
        <v>173</v>
      </c>
      <c r="B124" s="120">
        <f t="shared" si="13"/>
        <v>91</v>
      </c>
      <c r="C124" s="140" t="s">
        <v>669</v>
      </c>
      <c r="D124" s="209">
        <v>0</v>
      </c>
      <c r="E124" s="249">
        <v>140</v>
      </c>
      <c r="F124" s="263">
        <f t="shared" si="14"/>
        <v>200.00000000000003</v>
      </c>
      <c r="G124" s="297">
        <f>'2022 первинка'!G124+'2022 вторинка'!G124</f>
        <v>50</v>
      </c>
      <c r="H124" s="297">
        <f>'2022 первинка'!H124+'2022 вторинка'!H124</f>
        <v>49.9</v>
      </c>
      <c r="I124" s="297">
        <f>'2022 первинка'!I124+'2022 вторинка'!I124</f>
        <v>50.2</v>
      </c>
      <c r="J124" s="297">
        <f>'2022 первинка'!J124+'2022 вторинка'!J124</f>
        <v>49.9</v>
      </c>
      <c r="K124" s="136"/>
    </row>
    <row r="125" spans="1:11" ht="15.75" thickBot="1" x14ac:dyDescent="0.3">
      <c r="A125" s="125" t="s">
        <v>174</v>
      </c>
      <c r="B125" s="126">
        <f t="shared" si="13"/>
        <v>92</v>
      </c>
      <c r="C125" s="94">
        <v>1170</v>
      </c>
      <c r="D125" s="133">
        <f>SUM(D126:D128)</f>
        <v>1239.5999999999999</v>
      </c>
      <c r="E125" s="133">
        <f>SUM(E126:E128)</f>
        <v>0</v>
      </c>
      <c r="F125" s="127">
        <f t="shared" si="14"/>
        <v>6000</v>
      </c>
      <c r="G125" s="133">
        <f t="shared" ref="G125:J125" si="16">G126+G127+G128</f>
        <v>0</v>
      </c>
      <c r="H125" s="133">
        <f t="shared" si="16"/>
        <v>6000</v>
      </c>
      <c r="I125" s="133">
        <f t="shared" si="16"/>
        <v>0</v>
      </c>
      <c r="J125" s="133">
        <f t="shared" si="16"/>
        <v>0</v>
      </c>
      <c r="K125" s="133"/>
    </row>
    <row r="126" spans="1:11" x14ac:dyDescent="0.25">
      <c r="A126" s="137" t="s">
        <v>103</v>
      </c>
      <c r="B126" s="104">
        <f t="shared" si="13"/>
        <v>93</v>
      </c>
      <c r="C126" s="130" t="s">
        <v>670</v>
      </c>
      <c r="D126" s="208">
        <v>400.5</v>
      </c>
      <c r="E126" s="239"/>
      <c r="F126" s="262">
        <f t="shared" si="14"/>
        <v>6000</v>
      </c>
      <c r="G126" s="259">
        <f>'2022 первинка'!G126+'2022 вторинка'!G126</f>
        <v>0</v>
      </c>
      <c r="H126" s="259">
        <f>'2022 первинка'!H126+'2022 вторинка'!H126</f>
        <v>6000</v>
      </c>
      <c r="I126" s="259">
        <f>'2022 первинка'!I126+'2022 вторинка'!I126</f>
        <v>0</v>
      </c>
      <c r="J126" s="259">
        <f>'2022 первинка'!J126+'2022 вторинка'!J126</f>
        <v>0</v>
      </c>
      <c r="K126" s="121"/>
    </row>
    <row r="127" spans="1:11" x14ac:dyDescent="0.25">
      <c r="A127" s="132" t="s">
        <v>104</v>
      </c>
      <c r="B127" s="108">
        <f t="shared" si="13"/>
        <v>94</v>
      </c>
      <c r="C127" s="131" t="s">
        <v>671</v>
      </c>
      <c r="D127" s="207">
        <v>839.1</v>
      </c>
      <c r="E127" s="216"/>
      <c r="F127" s="129">
        <f t="shared" si="14"/>
        <v>0</v>
      </c>
      <c r="G127" s="112"/>
      <c r="H127" s="113"/>
      <c r="I127" s="113"/>
      <c r="J127" s="113"/>
      <c r="K127" s="113"/>
    </row>
    <row r="128" spans="1:11" ht="15.75" thickBot="1" x14ac:dyDescent="0.3">
      <c r="A128" s="139" t="s">
        <v>105</v>
      </c>
      <c r="B128" s="120">
        <f t="shared" si="13"/>
        <v>95</v>
      </c>
      <c r="C128" s="235" t="s">
        <v>672</v>
      </c>
      <c r="D128" s="207"/>
      <c r="E128" s="216"/>
      <c r="F128" s="129">
        <f t="shared" si="14"/>
        <v>0</v>
      </c>
      <c r="G128" s="112"/>
      <c r="H128" s="113"/>
      <c r="I128" s="113"/>
      <c r="J128" s="113"/>
      <c r="K128" s="113"/>
    </row>
    <row r="129" spans="1:12" x14ac:dyDescent="0.25">
      <c r="A129" s="318" t="s">
        <v>673</v>
      </c>
      <c r="B129" s="319">
        <f t="shared" si="13"/>
        <v>96</v>
      </c>
      <c r="C129" s="320">
        <v>1180</v>
      </c>
      <c r="D129" s="113"/>
      <c r="E129" s="216">
        <v>116759.5</v>
      </c>
      <c r="F129" s="215">
        <v>146910.39999999999</v>
      </c>
      <c r="G129" s="216">
        <f>'2022 первинка'!G129+'2022 вторинка'!G129</f>
        <v>120759.5</v>
      </c>
      <c r="H129" s="216">
        <f>'2022 первинка'!H129+'2022 вторинка'!H129</f>
        <v>124759.5</v>
      </c>
      <c r="I129" s="216">
        <f>'2022 первинка'!I129+'2022 вторинка'!I129</f>
        <v>128759.5</v>
      </c>
      <c r="J129" s="216">
        <f>'2022 первинка'!J129+'2022 вторинка'!J129</f>
        <v>133259.47</v>
      </c>
      <c r="K129" s="260"/>
      <c r="L129" s="257"/>
    </row>
    <row r="130" spans="1:12" x14ac:dyDescent="0.25">
      <c r="A130" s="619" t="s">
        <v>674</v>
      </c>
      <c r="B130" s="620">
        <f t="shared" si="13"/>
        <v>97</v>
      </c>
      <c r="C130" s="621">
        <v>1190</v>
      </c>
      <c r="D130" s="136"/>
      <c r="E130" s="240">
        <v>554.4</v>
      </c>
      <c r="F130" s="263">
        <v>554.4</v>
      </c>
      <c r="G130" s="240">
        <f>'2022 первинка'!G130+'2022 вторинка'!G130</f>
        <v>554.40000000000009</v>
      </c>
      <c r="H130" s="240">
        <f>'2022 первинка'!H130+'2022 вторинка'!H130</f>
        <v>554.40000000000009</v>
      </c>
      <c r="I130" s="240">
        <f>'2022 первинка'!I130+'2022 вторинка'!I130</f>
        <v>554.40000000000009</v>
      </c>
      <c r="J130" s="240">
        <f>'2022 первинка'!J130+'2022 вторинка'!J130</f>
        <v>554.40000000000009</v>
      </c>
      <c r="K130" s="261"/>
      <c r="L130" s="257"/>
    </row>
    <row r="131" spans="1:12" x14ac:dyDescent="0.25">
      <c r="A131" s="282" t="s">
        <v>177</v>
      </c>
      <c r="B131" s="283">
        <f t="shared" si="13"/>
        <v>98</v>
      </c>
      <c r="C131" s="284">
        <v>1200</v>
      </c>
      <c r="D131" s="273">
        <v>29198.1</v>
      </c>
      <c r="E131" s="274">
        <v>33318.800000000003</v>
      </c>
      <c r="F131" s="273">
        <f t="shared" si="14"/>
        <v>16500</v>
      </c>
      <c r="G131" s="274">
        <f>'2022 первинка'!G131+'2022 вторинка'!G131</f>
        <v>4000</v>
      </c>
      <c r="H131" s="274">
        <f>'2022 первинка'!H131+'2022 вторинка'!H131</f>
        <v>4000</v>
      </c>
      <c r="I131" s="274">
        <f>'2022 первинка'!I131+'2022 вторинка'!I131</f>
        <v>4000</v>
      </c>
      <c r="J131" s="274">
        <f>'2022 первинка'!J131+'2022 вторинка'!J131</f>
        <v>4500</v>
      </c>
      <c r="K131" s="274"/>
      <c r="L131" s="257"/>
    </row>
    <row r="132" spans="1:12" x14ac:dyDescent="0.25">
      <c r="A132" s="282" t="s">
        <v>49</v>
      </c>
      <c r="B132" s="283">
        <f t="shared" si="13"/>
        <v>99</v>
      </c>
      <c r="C132" s="284">
        <v>1210</v>
      </c>
      <c r="D132" s="273">
        <v>220644.1</v>
      </c>
      <c r="E132" s="274">
        <v>218135.3</v>
      </c>
      <c r="F132" s="273">
        <f>F35</f>
        <v>321531.09999999998</v>
      </c>
      <c r="G132" s="274">
        <f>G35</f>
        <v>79389.2</v>
      </c>
      <c r="H132" s="274">
        <f>H35</f>
        <v>83257.2</v>
      </c>
      <c r="I132" s="274">
        <f>I35</f>
        <v>77737.5</v>
      </c>
      <c r="J132" s="274">
        <f>J35</f>
        <v>81147.199999999983</v>
      </c>
      <c r="K132" s="274"/>
    </row>
    <row r="133" spans="1:12" x14ac:dyDescent="0.25">
      <c r="A133" s="282" t="s">
        <v>50</v>
      </c>
      <c r="B133" s="283">
        <f t="shared" si="13"/>
        <v>100</v>
      </c>
      <c r="C133" s="284">
        <v>1220</v>
      </c>
      <c r="D133" s="273">
        <v>220644.1</v>
      </c>
      <c r="E133" s="274">
        <v>218135.3</v>
      </c>
      <c r="F133" s="273">
        <f>SUM(F53,F131)</f>
        <v>321531.13</v>
      </c>
      <c r="G133" s="274">
        <f>G53+G131</f>
        <v>79389.200000000012</v>
      </c>
      <c r="H133" s="274">
        <f>H53+H131</f>
        <v>83257.2</v>
      </c>
      <c r="I133" s="274">
        <f>I53+I131</f>
        <v>77737.5</v>
      </c>
      <c r="J133" s="274">
        <f>J53+J131</f>
        <v>81147.23</v>
      </c>
      <c r="K133" s="274"/>
    </row>
    <row r="134" spans="1:12" ht="15.75" thickBot="1" x14ac:dyDescent="0.3">
      <c r="A134" s="141" t="s">
        <v>51</v>
      </c>
      <c r="B134" s="272">
        <f t="shared" si="13"/>
        <v>101</v>
      </c>
      <c r="C134" s="142">
        <v>1230</v>
      </c>
      <c r="D134" s="144">
        <v>0</v>
      </c>
      <c r="E134" s="144">
        <v>0</v>
      </c>
      <c r="F134" s="144">
        <f t="shared" ref="F134:J134" si="17">SUM(F132-F133)</f>
        <v>-3.0000000027939677E-2</v>
      </c>
      <c r="G134" s="144">
        <f t="shared" si="17"/>
        <v>-1.4551915228366852E-11</v>
      </c>
      <c r="H134" s="144">
        <f t="shared" si="17"/>
        <v>0</v>
      </c>
      <c r="I134" s="144">
        <f t="shared" si="17"/>
        <v>0</v>
      </c>
      <c r="J134" s="144">
        <f t="shared" si="17"/>
        <v>-3.0000000013387762E-2</v>
      </c>
      <c r="K134" s="144"/>
    </row>
    <row r="135" spans="1:12" ht="15.75" thickBot="1" x14ac:dyDescent="0.3">
      <c r="A135" s="125" t="s">
        <v>52</v>
      </c>
      <c r="B135" s="126">
        <f t="shared" si="13"/>
        <v>102</v>
      </c>
      <c r="C135" s="94">
        <v>2000</v>
      </c>
      <c r="D135" s="133"/>
      <c r="E135" s="96">
        <f>SUM(E136:E139)</f>
        <v>50170.3</v>
      </c>
      <c r="F135" s="127">
        <f t="shared" si="14"/>
        <v>83314.920000000013</v>
      </c>
      <c r="G135" s="97">
        <f>SUM(G136:G138)</f>
        <v>20829.262500000001</v>
      </c>
      <c r="H135" s="96">
        <f>SUM(H136:H138)</f>
        <v>20829.262500000001</v>
      </c>
      <c r="I135" s="96">
        <f>SUM(I136:I138)</f>
        <v>20829.262500000001</v>
      </c>
      <c r="J135" s="96">
        <f>SUM(J136:J138)</f>
        <v>20827.1325</v>
      </c>
      <c r="K135" s="96"/>
    </row>
    <row r="136" spans="1:12" ht="29.25" customHeight="1" x14ac:dyDescent="0.25">
      <c r="A136" s="111" t="s">
        <v>53</v>
      </c>
      <c r="B136" s="104">
        <f t="shared" si="13"/>
        <v>103</v>
      </c>
      <c r="C136" s="145">
        <v>2010</v>
      </c>
      <c r="D136" s="207"/>
      <c r="E136" s="216">
        <v>26485.4</v>
      </c>
      <c r="F136" s="128">
        <f t="shared" si="14"/>
        <v>44166.33</v>
      </c>
      <c r="G136" s="112">
        <f>SUM(G56,G71,G98,G110)</f>
        <v>11042.7</v>
      </c>
      <c r="H136" s="113">
        <f>SUM(H56,H71,H98,H110)</f>
        <v>11042.7</v>
      </c>
      <c r="I136" s="113">
        <f>SUM(I56,I71,I98,I110)</f>
        <v>11042.7</v>
      </c>
      <c r="J136" s="113">
        <f>SUM(J56,J71,J98,J110)</f>
        <v>11038.23</v>
      </c>
      <c r="K136" s="113"/>
    </row>
    <row r="137" spans="1:12" x14ac:dyDescent="0.25">
      <c r="A137" s="111" t="s">
        <v>54</v>
      </c>
      <c r="B137" s="108">
        <f t="shared" si="13"/>
        <v>104</v>
      </c>
      <c r="C137" s="145">
        <v>2020</v>
      </c>
      <c r="D137" s="207"/>
      <c r="E137" s="216">
        <v>23684.9</v>
      </c>
      <c r="F137" s="129">
        <f t="shared" si="14"/>
        <v>39148.589999999997</v>
      </c>
      <c r="G137" s="112">
        <f>G183*19.5%</f>
        <v>9786.5625</v>
      </c>
      <c r="H137" s="113">
        <f>H183*19.5%</f>
        <v>9786.5625</v>
      </c>
      <c r="I137" s="113">
        <f>I183*19.5%</f>
        <v>9786.5625</v>
      </c>
      <c r="J137" s="113">
        <f>J183*19.5%</f>
        <v>9788.9025000000001</v>
      </c>
      <c r="K137" s="113"/>
    </row>
    <row r="138" spans="1:12" x14ac:dyDescent="0.25">
      <c r="A138" s="111" t="s">
        <v>55</v>
      </c>
      <c r="B138" s="108">
        <f t="shared" si="13"/>
        <v>105</v>
      </c>
      <c r="C138" s="145">
        <v>2030</v>
      </c>
      <c r="D138" s="207"/>
      <c r="E138" s="216"/>
      <c r="F138" s="129">
        <f t="shared" si="14"/>
        <v>0</v>
      </c>
      <c r="G138" s="112"/>
      <c r="H138" s="113"/>
      <c r="I138" s="113"/>
      <c r="J138" s="113"/>
      <c r="K138" s="113"/>
    </row>
    <row r="139" spans="1:12" ht="15.75" thickBot="1" x14ac:dyDescent="0.3">
      <c r="A139" s="134" t="s">
        <v>56</v>
      </c>
      <c r="B139" s="122">
        <f t="shared" si="13"/>
        <v>106</v>
      </c>
      <c r="C139" s="146">
        <v>2040</v>
      </c>
      <c r="D139" s="209"/>
      <c r="E139" s="240"/>
      <c r="F139" s="147">
        <f t="shared" si="14"/>
        <v>0</v>
      </c>
      <c r="G139" s="117">
        <v>0</v>
      </c>
      <c r="H139" s="136">
        <v>0</v>
      </c>
      <c r="I139" s="136">
        <v>0</v>
      </c>
      <c r="J139" s="136">
        <v>0</v>
      </c>
      <c r="K139" s="136"/>
    </row>
    <row r="140" spans="1:12" ht="15.75" thickBot="1" x14ac:dyDescent="0.3">
      <c r="A140" s="98" t="s">
        <v>57</v>
      </c>
      <c r="B140" s="99">
        <f t="shared" si="13"/>
        <v>107</v>
      </c>
      <c r="C140" s="100">
        <v>3000</v>
      </c>
      <c r="D140" s="212">
        <f>SUM(D141:D143,D150)</f>
        <v>23090.9</v>
      </c>
      <c r="E140" s="212">
        <f>SUM(E141:E143,E150)</f>
        <v>4470</v>
      </c>
      <c r="F140" s="312">
        <f t="shared" si="14"/>
        <v>0</v>
      </c>
      <c r="G140" s="309">
        <f>SUM(G141:G143,G150)</f>
        <v>0</v>
      </c>
      <c r="H140" s="238">
        <f>SUM(H141:H143,H150)</f>
        <v>0</v>
      </c>
      <c r="I140" s="238">
        <f>SUM(I141:I143,I150)</f>
        <v>0</v>
      </c>
      <c r="J140" s="238">
        <f>SUM(J141:J143,J150)</f>
        <v>0</v>
      </c>
      <c r="K140" s="102"/>
    </row>
    <row r="141" spans="1:12" x14ac:dyDescent="0.25">
      <c r="A141" s="107" t="s">
        <v>58</v>
      </c>
      <c r="B141" s="104">
        <f t="shared" si="13"/>
        <v>108</v>
      </c>
      <c r="C141" s="105">
        <v>3010</v>
      </c>
      <c r="D141" s="208"/>
      <c r="E141" s="239"/>
      <c r="F141" s="222">
        <f t="shared" si="14"/>
        <v>0</v>
      </c>
      <c r="G141" s="259">
        <f>'2022 первинка'!G141+'2022 вторинка'!G141</f>
        <v>0</v>
      </c>
      <c r="H141" s="259">
        <f>'2022 первинка'!H141+'2022 вторинка'!H141</f>
        <v>0</v>
      </c>
      <c r="I141" s="259">
        <f>'2022 первинка'!I141+'2022 вторинка'!I141</f>
        <v>0</v>
      </c>
      <c r="J141" s="259">
        <f>'2022 первинка'!J141+'2022 вторинка'!J141</f>
        <v>0</v>
      </c>
      <c r="K141" s="121"/>
    </row>
    <row r="142" spans="1:12" x14ac:dyDescent="0.25">
      <c r="A142" s="111" t="s">
        <v>59</v>
      </c>
      <c r="B142" s="108">
        <f t="shared" si="13"/>
        <v>109</v>
      </c>
      <c r="C142" s="145">
        <v>3020</v>
      </c>
      <c r="D142" s="207"/>
      <c r="E142" s="216"/>
      <c r="F142" s="215">
        <f t="shared" si="14"/>
        <v>0</v>
      </c>
      <c r="G142" s="259">
        <f>'2022 первинка'!G142+'2022 вторинка'!G142</f>
        <v>0</v>
      </c>
      <c r="H142" s="259">
        <f>'2022 первинка'!H142+'2022 вторинка'!H142</f>
        <v>0</v>
      </c>
      <c r="I142" s="259">
        <f>'2022 первинка'!I142+'2022 вторинка'!I142</f>
        <v>0</v>
      </c>
      <c r="J142" s="259">
        <f>'2022 первинка'!J142+'2022 вторинка'!J142</f>
        <v>0</v>
      </c>
      <c r="K142" s="113"/>
    </row>
    <row r="143" spans="1:12" x14ac:dyDescent="0.25">
      <c r="A143" s="111" t="s">
        <v>60</v>
      </c>
      <c r="B143" s="108">
        <f t="shared" si="13"/>
        <v>110</v>
      </c>
      <c r="C143" s="145">
        <v>3030</v>
      </c>
      <c r="D143" s="207">
        <v>23090.9</v>
      </c>
      <c r="E143" s="216">
        <v>4470</v>
      </c>
      <c r="F143" s="215">
        <f t="shared" si="14"/>
        <v>0</v>
      </c>
      <c r="G143" s="259">
        <f>'2022 первинка'!G143+'2022 вторинка'!G143</f>
        <v>0</v>
      </c>
      <c r="H143" s="259">
        <f>'2022 первинка'!H143+'2022 вторинка'!H143</f>
        <v>0</v>
      </c>
      <c r="I143" s="259">
        <f>'2022 первинка'!I143+'2022 вторинка'!I143</f>
        <v>0</v>
      </c>
      <c r="J143" s="259">
        <f>'2022 первинка'!J143+'2022 вторинка'!J143</f>
        <v>0</v>
      </c>
      <c r="K143" s="113"/>
    </row>
    <row r="144" spans="1:12" x14ac:dyDescent="0.25">
      <c r="A144" s="111" t="s">
        <v>61</v>
      </c>
      <c r="B144" s="108">
        <f t="shared" si="13"/>
        <v>111</v>
      </c>
      <c r="C144" s="145" t="s">
        <v>178</v>
      </c>
      <c r="D144" s="207"/>
      <c r="E144" s="216"/>
      <c r="F144" s="215">
        <f t="shared" si="14"/>
        <v>0</v>
      </c>
      <c r="G144" s="259">
        <f>'2022 первинка'!G144+'2022 вторинка'!G144</f>
        <v>0</v>
      </c>
      <c r="H144" s="259">
        <f>'2022 первинка'!H144+'2022 вторинка'!H144</f>
        <v>0</v>
      </c>
      <c r="I144" s="259">
        <f>'2022 первинка'!I144+'2022 вторинка'!I144</f>
        <v>0</v>
      </c>
      <c r="J144" s="259">
        <f>'2022 первинка'!J144+'2022 вторинка'!J144</f>
        <v>0</v>
      </c>
      <c r="K144" s="113"/>
    </row>
    <row r="145" spans="1:11" x14ac:dyDescent="0.25">
      <c r="A145" s="111" t="s">
        <v>62</v>
      </c>
      <c r="B145" s="108">
        <f t="shared" si="13"/>
        <v>112</v>
      </c>
      <c r="C145" s="145" t="s">
        <v>179</v>
      </c>
      <c r="D145" s="207">
        <v>22681.9</v>
      </c>
      <c r="E145" s="216">
        <v>3270</v>
      </c>
      <c r="F145" s="215">
        <f t="shared" si="14"/>
        <v>0</v>
      </c>
      <c r="G145" s="259">
        <f>'2022 первинка'!G145+'2022 вторинка'!G145</f>
        <v>0</v>
      </c>
      <c r="H145" s="259">
        <f>'2022 первинка'!H145+'2022 вторинка'!H145</f>
        <v>0</v>
      </c>
      <c r="I145" s="259">
        <f>'2022 первинка'!I145+'2022 вторинка'!I145</f>
        <v>0</v>
      </c>
      <c r="J145" s="259">
        <f>'2022 первинка'!J145+'2022 вторинка'!J145</f>
        <v>0</v>
      </c>
      <c r="K145" s="113"/>
    </row>
    <row r="146" spans="1:11" x14ac:dyDescent="0.25">
      <c r="A146" s="111" t="s">
        <v>63</v>
      </c>
      <c r="B146" s="108">
        <f t="shared" si="13"/>
        <v>113</v>
      </c>
      <c r="C146" s="145" t="s">
        <v>180</v>
      </c>
      <c r="D146" s="207">
        <v>409</v>
      </c>
      <c r="E146" s="216"/>
      <c r="F146" s="215">
        <f t="shared" si="14"/>
        <v>0</v>
      </c>
      <c r="G146" s="259">
        <f>'2022 первинка'!G146+'2022 вторинка'!G146</f>
        <v>0</v>
      </c>
      <c r="H146" s="259">
        <f>'2022 первинка'!H146+'2022 вторинка'!H146</f>
        <v>0</v>
      </c>
      <c r="I146" s="259">
        <f>'2022 первинка'!I146+'2022 вторинка'!I146</f>
        <v>0</v>
      </c>
      <c r="J146" s="259">
        <f>'2022 первинка'!J146+'2022 вторинка'!J146</f>
        <v>0</v>
      </c>
      <c r="K146" s="113"/>
    </row>
    <row r="147" spans="1:11" x14ac:dyDescent="0.25">
      <c r="A147" s="111" t="s">
        <v>64</v>
      </c>
      <c r="B147" s="108">
        <f t="shared" si="13"/>
        <v>114</v>
      </c>
      <c r="C147" s="145" t="s">
        <v>181</v>
      </c>
      <c r="D147" s="207"/>
      <c r="E147" s="216"/>
      <c r="F147" s="215">
        <f t="shared" si="14"/>
        <v>0</v>
      </c>
      <c r="G147" s="259">
        <f>'2022 первинка'!G147+'2022 вторинка'!G147</f>
        <v>0</v>
      </c>
      <c r="H147" s="259">
        <f>'2022 первинка'!H147+'2022 вторинка'!H147</f>
        <v>0</v>
      </c>
      <c r="I147" s="259">
        <f>'2022 первинка'!I147+'2022 вторинка'!I147</f>
        <v>0</v>
      </c>
      <c r="J147" s="259">
        <f>'2022 первинка'!J147+'2022 вторинка'!J147</f>
        <v>0</v>
      </c>
      <c r="K147" s="113"/>
    </row>
    <row r="148" spans="1:11" ht="25.5" x14ac:dyDescent="0.25">
      <c r="A148" s="111" t="s">
        <v>65</v>
      </c>
      <c r="B148" s="108">
        <f t="shared" si="13"/>
        <v>115</v>
      </c>
      <c r="C148" s="145" t="s">
        <v>182</v>
      </c>
      <c r="D148" s="207"/>
      <c r="E148" s="216"/>
      <c r="F148" s="215">
        <f t="shared" si="14"/>
        <v>0</v>
      </c>
      <c r="G148" s="259">
        <f>'2022 первинка'!G148+'2022 вторинка'!G148</f>
        <v>0</v>
      </c>
      <c r="H148" s="259">
        <f>'2022 первинка'!H148+'2022 вторинка'!H148</f>
        <v>0</v>
      </c>
      <c r="I148" s="259">
        <f>'2022 первинка'!I148+'2022 вторинка'!I148</f>
        <v>0</v>
      </c>
      <c r="J148" s="259">
        <f>'2022 первинка'!J148+'2022 вторинка'!J148</f>
        <v>0</v>
      </c>
      <c r="K148" s="113"/>
    </row>
    <row r="149" spans="1:11" x14ac:dyDescent="0.25">
      <c r="A149" s="111" t="s">
        <v>66</v>
      </c>
      <c r="B149" s="108">
        <f t="shared" si="13"/>
        <v>116</v>
      </c>
      <c r="C149" s="145" t="s">
        <v>183</v>
      </c>
      <c r="D149" s="207"/>
      <c r="E149" s="216">
        <v>1200</v>
      </c>
      <c r="F149" s="215">
        <f t="shared" si="14"/>
        <v>0</v>
      </c>
      <c r="G149" s="259">
        <f>'2022 первинка'!G149+'2022 вторинка'!G149</f>
        <v>0</v>
      </c>
      <c r="H149" s="259">
        <f>'2022 первинка'!H149+'2022 вторинка'!H149</f>
        <v>0</v>
      </c>
      <c r="I149" s="259">
        <f>'2022 первинка'!I149+'2022 вторинка'!I149</f>
        <v>0</v>
      </c>
      <c r="J149" s="259">
        <f>'2022 первинка'!J149+'2022 вторинка'!J149</f>
        <v>0</v>
      </c>
      <c r="K149" s="113"/>
    </row>
    <row r="150" spans="1:11" ht="15.75" thickBot="1" x14ac:dyDescent="0.3">
      <c r="A150" s="134" t="s">
        <v>113</v>
      </c>
      <c r="B150" s="122">
        <f t="shared" si="13"/>
        <v>117</v>
      </c>
      <c r="C150" s="146">
        <v>3040</v>
      </c>
      <c r="D150" s="213"/>
      <c r="E150" s="250"/>
      <c r="F150" s="264">
        <f t="shared" si="14"/>
        <v>0</v>
      </c>
      <c r="G150" s="259">
        <f>'2022 первинка'!G150+'2022 вторинка'!G150</f>
        <v>0</v>
      </c>
      <c r="H150" s="259">
        <f>'2022 первинка'!H150+'2022 вторинка'!H150</f>
        <v>0</v>
      </c>
      <c r="I150" s="259">
        <f>'2022 первинка'!I150+'2022 вторинка'!I150</f>
        <v>0</v>
      </c>
      <c r="J150" s="259">
        <f>'2022 первинка'!J150+'2022 вторинка'!J150</f>
        <v>0</v>
      </c>
      <c r="K150" s="148"/>
    </row>
    <row r="151" spans="1:11" ht="15.75" thickBot="1" x14ac:dyDescent="0.3">
      <c r="A151" s="125" t="s">
        <v>127</v>
      </c>
      <c r="B151" s="126">
        <f t="shared" si="13"/>
        <v>118</v>
      </c>
      <c r="C151" s="94">
        <v>4000</v>
      </c>
      <c r="D151" s="133">
        <v>72563.8</v>
      </c>
      <c r="E151" s="96">
        <v>68953.2</v>
      </c>
      <c r="F151" s="127">
        <v>0</v>
      </c>
      <c r="G151" s="97"/>
      <c r="H151" s="96"/>
      <c r="I151" s="96"/>
      <c r="J151" s="96"/>
      <c r="K151" s="96"/>
    </row>
    <row r="152" spans="1:11" ht="15.75" thickBot="1" x14ac:dyDescent="0.3">
      <c r="A152" s="125" t="s">
        <v>128</v>
      </c>
      <c r="B152" s="126">
        <f t="shared" si="13"/>
        <v>119</v>
      </c>
      <c r="C152" s="94">
        <v>5000</v>
      </c>
      <c r="D152" s="133">
        <f>SUM(D153,D157:D158,D162)</f>
        <v>8964.9</v>
      </c>
      <c r="E152" s="133">
        <f>SUM(E153,E157:E158,E162)</f>
        <v>5462.6</v>
      </c>
      <c r="F152" s="127">
        <f t="shared" si="14"/>
        <v>5200</v>
      </c>
      <c r="G152" s="97">
        <f>G153</f>
        <v>1300</v>
      </c>
      <c r="H152" s="96">
        <f>H153</f>
        <v>1300</v>
      </c>
      <c r="I152" s="96">
        <f>I153</f>
        <v>1300</v>
      </c>
      <c r="J152" s="96">
        <f>J153</f>
        <v>1300</v>
      </c>
      <c r="K152" s="96"/>
    </row>
    <row r="153" spans="1:11" x14ac:dyDescent="0.25">
      <c r="A153" s="111" t="s">
        <v>67</v>
      </c>
      <c r="B153" s="104">
        <f t="shared" si="13"/>
        <v>120</v>
      </c>
      <c r="C153" s="145">
        <v>5010</v>
      </c>
      <c r="D153" s="207">
        <v>8964.9</v>
      </c>
      <c r="E153" s="216">
        <v>5462.6</v>
      </c>
      <c r="F153" s="311">
        <f t="shared" si="14"/>
        <v>5200</v>
      </c>
      <c r="G153" s="260">
        <f>SUM(G154:G156)</f>
        <v>1300</v>
      </c>
      <c r="H153" s="216">
        <f>SUM(H154:H156)</f>
        <v>1300</v>
      </c>
      <c r="I153" s="216">
        <f>SUM(I154:I156)</f>
        <v>1300</v>
      </c>
      <c r="J153" s="216">
        <f>SUM(J154:J156)</f>
        <v>1300</v>
      </c>
      <c r="K153" s="113"/>
    </row>
    <row r="154" spans="1:11" x14ac:dyDescent="0.25">
      <c r="A154" s="111" t="s">
        <v>68</v>
      </c>
      <c r="B154" s="108">
        <f t="shared" si="13"/>
        <v>121</v>
      </c>
      <c r="C154" s="145" t="s">
        <v>184</v>
      </c>
      <c r="D154" s="207"/>
      <c r="E154" s="216"/>
      <c r="F154" s="215">
        <f t="shared" si="14"/>
        <v>0</v>
      </c>
      <c r="G154" s="260"/>
      <c r="H154" s="216"/>
      <c r="I154" s="216"/>
      <c r="J154" s="216"/>
      <c r="K154" s="113"/>
    </row>
    <row r="155" spans="1:11" x14ac:dyDescent="0.25">
      <c r="A155" s="111" t="s">
        <v>69</v>
      </c>
      <c r="B155" s="108">
        <f t="shared" si="13"/>
        <v>122</v>
      </c>
      <c r="C155" s="145" t="s">
        <v>185</v>
      </c>
      <c r="D155" s="207"/>
      <c r="E155" s="216"/>
      <c r="F155" s="215">
        <f t="shared" si="14"/>
        <v>0</v>
      </c>
      <c r="G155" s="260"/>
      <c r="H155" s="216"/>
      <c r="I155" s="216"/>
      <c r="J155" s="216"/>
      <c r="K155" s="113"/>
    </row>
    <row r="156" spans="1:11" x14ac:dyDescent="0.25">
      <c r="A156" s="111" t="s">
        <v>70</v>
      </c>
      <c r="B156" s="108">
        <f t="shared" si="13"/>
        <v>123</v>
      </c>
      <c r="C156" s="145" t="s">
        <v>186</v>
      </c>
      <c r="D156" s="207">
        <v>8964.9</v>
      </c>
      <c r="E156" s="216">
        <v>5462.6</v>
      </c>
      <c r="F156" s="215">
        <f t="shared" si="14"/>
        <v>5200</v>
      </c>
      <c r="G156" s="260">
        <f>'2022 первинка'!G156+'2022 вторинка'!G156</f>
        <v>1300</v>
      </c>
      <c r="H156" s="260">
        <f>'2022 первинка'!H156+'2022 вторинка'!H156</f>
        <v>1300</v>
      </c>
      <c r="I156" s="260">
        <f>'2022 первинка'!I156+'2022 вторинка'!I156</f>
        <v>1300</v>
      </c>
      <c r="J156" s="260">
        <f>'2022 первинка'!J156+'2022 вторинка'!J156</f>
        <v>1300</v>
      </c>
      <c r="K156" s="113"/>
    </row>
    <row r="157" spans="1:11" x14ac:dyDescent="0.25">
      <c r="A157" s="111" t="s">
        <v>71</v>
      </c>
      <c r="B157" s="108">
        <f t="shared" si="13"/>
        <v>124</v>
      </c>
      <c r="C157" s="145">
        <v>5020</v>
      </c>
      <c r="D157" s="207"/>
      <c r="E157" s="216"/>
      <c r="F157" s="215">
        <f t="shared" si="14"/>
        <v>0</v>
      </c>
      <c r="G157" s="260"/>
      <c r="H157" s="260"/>
      <c r="I157" s="260"/>
      <c r="J157" s="260"/>
      <c r="K157" s="113"/>
    </row>
    <row r="158" spans="1:11" x14ac:dyDescent="0.25">
      <c r="A158" s="111" t="s">
        <v>72</v>
      </c>
      <c r="B158" s="108">
        <f t="shared" si="13"/>
        <v>125</v>
      </c>
      <c r="C158" s="145">
        <v>5030</v>
      </c>
      <c r="D158" s="207"/>
      <c r="E158" s="216"/>
      <c r="F158" s="215">
        <f t="shared" si="14"/>
        <v>0</v>
      </c>
      <c r="G158" s="260"/>
      <c r="H158" s="260"/>
      <c r="I158" s="260"/>
      <c r="J158" s="260"/>
      <c r="K158" s="113"/>
    </row>
    <row r="159" spans="1:11" x14ac:dyDescent="0.25">
      <c r="A159" s="111" t="s">
        <v>68</v>
      </c>
      <c r="B159" s="108">
        <f t="shared" si="13"/>
        <v>126</v>
      </c>
      <c r="C159" s="145" t="s">
        <v>187</v>
      </c>
      <c r="D159" s="207"/>
      <c r="E159" s="216"/>
      <c r="F159" s="215">
        <f t="shared" si="14"/>
        <v>0</v>
      </c>
      <c r="G159" s="260"/>
      <c r="H159" s="260"/>
      <c r="I159" s="260"/>
      <c r="J159" s="260"/>
      <c r="K159" s="113"/>
    </row>
    <row r="160" spans="1:11" x14ac:dyDescent="0.25">
      <c r="A160" s="111" t="s">
        <v>69</v>
      </c>
      <c r="B160" s="108">
        <f t="shared" si="13"/>
        <v>127</v>
      </c>
      <c r="C160" s="145" t="s">
        <v>188</v>
      </c>
      <c r="D160" s="207"/>
      <c r="E160" s="216"/>
      <c r="F160" s="215">
        <f t="shared" si="14"/>
        <v>0</v>
      </c>
      <c r="G160" s="260"/>
      <c r="H160" s="260"/>
      <c r="I160" s="260"/>
      <c r="J160" s="260"/>
      <c r="K160" s="113"/>
    </row>
    <row r="161" spans="1:14" x14ac:dyDescent="0.25">
      <c r="A161" s="111" t="s">
        <v>70</v>
      </c>
      <c r="B161" s="108">
        <f t="shared" si="13"/>
        <v>128</v>
      </c>
      <c r="C161" s="145" t="s">
        <v>189</v>
      </c>
      <c r="D161" s="207"/>
      <c r="E161" s="216"/>
      <c r="F161" s="129">
        <f t="shared" si="14"/>
        <v>0</v>
      </c>
      <c r="G161" s="112"/>
      <c r="H161" s="112"/>
      <c r="I161" s="112"/>
      <c r="J161" s="112"/>
      <c r="K161" s="113"/>
    </row>
    <row r="162" spans="1:14" ht="15.75" thickBot="1" x14ac:dyDescent="0.3">
      <c r="A162" s="111" t="s">
        <v>190</v>
      </c>
      <c r="B162" s="122">
        <f t="shared" si="13"/>
        <v>129</v>
      </c>
      <c r="C162" s="145">
        <v>5040</v>
      </c>
      <c r="D162" s="207"/>
      <c r="E162" s="216"/>
      <c r="F162" s="147">
        <f t="shared" si="14"/>
        <v>0</v>
      </c>
      <c r="G162" s="112"/>
      <c r="H162" s="113"/>
      <c r="I162" s="113"/>
      <c r="J162" s="113"/>
      <c r="K162" s="113"/>
    </row>
    <row r="163" spans="1:14" ht="15.75" thickBot="1" x14ac:dyDescent="0.3">
      <c r="A163" s="125" t="s">
        <v>129</v>
      </c>
      <c r="B163" s="126">
        <f t="shared" si="13"/>
        <v>130</v>
      </c>
      <c r="C163" s="94">
        <v>6000</v>
      </c>
      <c r="D163" s="133"/>
      <c r="E163" s="96"/>
      <c r="F163" s="127">
        <f t="shared" si="14"/>
        <v>0</v>
      </c>
      <c r="G163" s="97"/>
      <c r="H163" s="96"/>
      <c r="I163" s="96"/>
      <c r="J163" s="96"/>
      <c r="K163" s="96"/>
    </row>
    <row r="164" spans="1:14" x14ac:dyDescent="0.25">
      <c r="A164" s="111" t="s">
        <v>73</v>
      </c>
      <c r="B164" s="104">
        <f t="shared" si="13"/>
        <v>131</v>
      </c>
      <c r="C164" s="145">
        <v>6010</v>
      </c>
      <c r="D164" s="207"/>
      <c r="E164" s="216"/>
      <c r="F164" s="128">
        <f t="shared" si="14"/>
        <v>0</v>
      </c>
      <c r="G164" s="112"/>
      <c r="H164" s="113"/>
      <c r="I164" s="113"/>
      <c r="J164" s="113"/>
      <c r="K164" s="113"/>
    </row>
    <row r="165" spans="1:14" x14ac:dyDescent="0.25">
      <c r="A165" s="111" t="s">
        <v>74</v>
      </c>
      <c r="B165" s="108">
        <f t="shared" si="13"/>
        <v>132</v>
      </c>
      <c r="C165" s="145">
        <v>6020</v>
      </c>
      <c r="D165" s="207"/>
      <c r="E165" s="216"/>
      <c r="F165" s="129">
        <f t="shared" si="14"/>
        <v>0</v>
      </c>
      <c r="G165" s="112"/>
      <c r="H165" s="113"/>
      <c r="I165" s="113"/>
      <c r="J165" s="113"/>
      <c r="K165" s="113"/>
    </row>
    <row r="166" spans="1:14" ht="25.5" x14ac:dyDescent="0.25">
      <c r="A166" s="111" t="s">
        <v>130</v>
      </c>
      <c r="B166" s="108">
        <f t="shared" si="13"/>
        <v>133</v>
      </c>
      <c r="C166" s="145">
        <v>6030</v>
      </c>
      <c r="D166" s="207"/>
      <c r="E166" s="216"/>
      <c r="F166" s="129">
        <f t="shared" si="14"/>
        <v>0</v>
      </c>
      <c r="G166" s="112"/>
      <c r="H166" s="113"/>
      <c r="I166" s="113"/>
      <c r="J166" s="113"/>
      <c r="K166" s="113"/>
    </row>
    <row r="167" spans="1:14" ht="15.75" thickBot="1" x14ac:dyDescent="0.3">
      <c r="A167" s="134" t="s">
        <v>75</v>
      </c>
      <c r="B167" s="122">
        <f t="shared" si="13"/>
        <v>134</v>
      </c>
      <c r="C167" s="146">
        <v>6040</v>
      </c>
      <c r="D167" s="209"/>
      <c r="E167" s="240"/>
      <c r="F167" s="147">
        <f t="shared" si="14"/>
        <v>0</v>
      </c>
      <c r="G167" s="117"/>
      <c r="H167" s="136"/>
      <c r="I167" s="136"/>
      <c r="J167" s="136"/>
      <c r="K167" s="136"/>
    </row>
    <row r="168" spans="1:14" ht="15.75" thickBot="1" x14ac:dyDescent="0.3">
      <c r="A168" s="125" t="s">
        <v>131</v>
      </c>
      <c r="B168" s="126">
        <f t="shared" si="13"/>
        <v>135</v>
      </c>
      <c r="C168" s="94">
        <v>7000</v>
      </c>
      <c r="D168" s="133"/>
      <c r="E168" s="96"/>
      <c r="F168" s="127">
        <f t="shared" si="14"/>
        <v>0</v>
      </c>
      <c r="G168" s="97"/>
      <c r="H168" s="96"/>
      <c r="I168" s="96"/>
      <c r="J168" s="96"/>
      <c r="K168" s="96"/>
    </row>
    <row r="169" spans="1:14" x14ac:dyDescent="0.25">
      <c r="A169" s="107" t="s">
        <v>76</v>
      </c>
      <c r="B169" s="104">
        <f t="shared" si="13"/>
        <v>136</v>
      </c>
      <c r="C169" s="151">
        <v>7010</v>
      </c>
      <c r="D169" s="626">
        <v>95650.1</v>
      </c>
      <c r="E169" s="331">
        <v>108798.9</v>
      </c>
      <c r="F169" s="222">
        <v>0</v>
      </c>
      <c r="G169" s="158"/>
      <c r="H169" s="158"/>
      <c r="I169" s="158"/>
      <c r="J169" s="158"/>
      <c r="K169" s="158"/>
    </row>
    <row r="170" spans="1:14" x14ac:dyDescent="0.25">
      <c r="A170" s="111" t="s">
        <v>77</v>
      </c>
      <c r="B170" s="108">
        <f t="shared" si="13"/>
        <v>137</v>
      </c>
      <c r="C170" s="152">
        <v>7020</v>
      </c>
      <c r="D170" s="627">
        <v>6299.4</v>
      </c>
      <c r="E170" s="260">
        <v>6229</v>
      </c>
      <c r="F170" s="215">
        <v>0</v>
      </c>
      <c r="G170" s="112"/>
      <c r="H170" s="112"/>
      <c r="I170" s="112"/>
      <c r="J170" s="112"/>
      <c r="K170" s="112"/>
    </row>
    <row r="171" spans="1:14" x14ac:dyDescent="0.25">
      <c r="A171" s="111" t="s">
        <v>78</v>
      </c>
      <c r="B171" s="108">
        <f t="shared" si="13"/>
        <v>138</v>
      </c>
      <c r="C171" s="152">
        <v>7030</v>
      </c>
      <c r="D171" s="627">
        <v>101949.5</v>
      </c>
      <c r="E171" s="260">
        <v>115027.9</v>
      </c>
      <c r="F171" s="215">
        <v>0</v>
      </c>
      <c r="G171" s="112"/>
      <c r="H171" s="112"/>
      <c r="I171" s="112"/>
      <c r="J171" s="112"/>
      <c r="K171" s="112"/>
    </row>
    <row r="172" spans="1:14" x14ac:dyDescent="0.25">
      <c r="A172" s="277" t="s">
        <v>79</v>
      </c>
      <c r="B172" s="234">
        <f t="shared" si="13"/>
        <v>139</v>
      </c>
      <c r="C172" s="623">
        <v>7040</v>
      </c>
      <c r="D172" s="627"/>
      <c r="E172" s="260"/>
      <c r="F172" s="129">
        <f t="shared" si="14"/>
        <v>0</v>
      </c>
      <c r="G172" s="112">
        <v>0</v>
      </c>
      <c r="H172" s="112">
        <v>0</v>
      </c>
      <c r="I172" s="112">
        <v>0</v>
      </c>
      <c r="J172" s="112">
        <v>0</v>
      </c>
      <c r="K172" s="112"/>
    </row>
    <row r="173" spans="1:14" x14ac:dyDescent="0.25">
      <c r="A173" s="277" t="s">
        <v>80</v>
      </c>
      <c r="B173" s="234">
        <f t="shared" si="13"/>
        <v>140</v>
      </c>
      <c r="C173" s="623">
        <v>7050</v>
      </c>
      <c r="D173" s="627"/>
      <c r="E173" s="260"/>
      <c r="F173" s="129">
        <f t="shared" si="14"/>
        <v>0</v>
      </c>
      <c r="G173" s="112">
        <v>0</v>
      </c>
      <c r="H173" s="112">
        <v>0</v>
      </c>
      <c r="I173" s="112">
        <v>0</v>
      </c>
      <c r="J173" s="112">
        <v>0</v>
      </c>
      <c r="K173" s="112"/>
      <c r="L173" s="313"/>
      <c r="M173" s="313"/>
      <c r="N173" s="257"/>
    </row>
    <row r="174" spans="1:14" ht="15.75" thickBot="1" x14ac:dyDescent="0.3">
      <c r="A174" s="141" t="s">
        <v>132</v>
      </c>
      <c r="B174" s="272">
        <f t="shared" ref="B174:B206" si="18">B173+1</f>
        <v>141</v>
      </c>
      <c r="C174" s="275">
        <v>8000</v>
      </c>
      <c r="D174" s="625"/>
      <c r="E174" s="217"/>
      <c r="F174" s="276">
        <f t="shared" si="14"/>
        <v>0</v>
      </c>
      <c r="G174" s="217"/>
      <c r="H174" s="217"/>
      <c r="I174" s="217"/>
      <c r="J174" s="217"/>
      <c r="K174" s="624"/>
      <c r="L174" s="313"/>
      <c r="M174" s="313"/>
      <c r="N174" s="257"/>
    </row>
    <row r="175" spans="1:14" x14ac:dyDescent="0.25">
      <c r="A175" s="107" t="s">
        <v>221</v>
      </c>
      <c r="B175" s="104">
        <f t="shared" si="18"/>
        <v>142</v>
      </c>
      <c r="C175" s="151">
        <v>8010</v>
      </c>
      <c r="D175" s="563">
        <v>1528.5</v>
      </c>
      <c r="E175" s="252">
        <v>1402.5</v>
      </c>
      <c r="F175" s="327">
        <f t="shared" ref="F175:J175" si="19">SUM(F176:F182)</f>
        <v>1121.5</v>
      </c>
      <c r="G175" s="301">
        <f t="shared" si="19"/>
        <v>1121.5</v>
      </c>
      <c r="H175" s="302">
        <f t="shared" si="19"/>
        <v>1121.5</v>
      </c>
      <c r="I175" s="302">
        <f t="shared" si="19"/>
        <v>1121.5</v>
      </c>
      <c r="J175" s="302">
        <f t="shared" si="19"/>
        <v>1121.5</v>
      </c>
      <c r="K175" s="339"/>
      <c r="L175" s="313"/>
      <c r="M175" s="313"/>
      <c r="N175" s="257"/>
    </row>
    <row r="176" spans="1:14" x14ac:dyDescent="0.25">
      <c r="A176" s="111" t="s">
        <v>81</v>
      </c>
      <c r="B176" s="108">
        <f t="shared" si="18"/>
        <v>143</v>
      </c>
      <c r="C176" s="152" t="s">
        <v>191</v>
      </c>
      <c r="D176" s="564">
        <v>1</v>
      </c>
      <c r="E176" s="253">
        <v>1</v>
      </c>
      <c r="F176" s="328">
        <f>'2022 первинка'!F176+'2022 вторинка'!F176</f>
        <v>1</v>
      </c>
      <c r="G176" s="303">
        <f>'2022 первинка'!G176+'2022 вторинка'!G176</f>
        <v>1</v>
      </c>
      <c r="H176" s="303">
        <f>'2022 первинка'!H176+'2022 вторинка'!H176</f>
        <v>1</v>
      </c>
      <c r="I176" s="303">
        <f>'2022 первинка'!I176+'2022 вторинка'!I176</f>
        <v>1</v>
      </c>
      <c r="J176" s="303">
        <f>'2022 первинка'!J176+'2022 вторинка'!J176</f>
        <v>1</v>
      </c>
      <c r="K176" s="340"/>
      <c r="L176" s="313"/>
      <c r="M176" s="313"/>
      <c r="N176" s="257"/>
    </row>
    <row r="177" spans="1:14" x14ac:dyDescent="0.25">
      <c r="A177" s="111" t="s">
        <v>114</v>
      </c>
      <c r="B177" s="108">
        <f t="shared" si="18"/>
        <v>144</v>
      </c>
      <c r="C177" s="152" t="s">
        <v>192</v>
      </c>
      <c r="D177" s="564">
        <v>2</v>
      </c>
      <c r="E177" s="253">
        <v>4</v>
      </c>
      <c r="F177" s="328">
        <f>'2022 первинка'!F177+'2022 вторинка'!F177</f>
        <v>4</v>
      </c>
      <c r="G177" s="303">
        <f>'2022 первинка'!G177+'2022 вторинка'!G177</f>
        <v>4</v>
      </c>
      <c r="H177" s="303">
        <f>'2022 первинка'!H177+'2022 вторинка'!H177</f>
        <v>4</v>
      </c>
      <c r="I177" s="303">
        <f>'2022 первинка'!I177+'2022 вторинка'!I177</f>
        <v>4</v>
      </c>
      <c r="J177" s="303">
        <f>'2022 первинка'!J177+'2022 вторинка'!J177</f>
        <v>4</v>
      </c>
      <c r="K177" s="340"/>
      <c r="L177" s="313"/>
      <c r="M177" s="313"/>
      <c r="N177" s="257"/>
    </row>
    <row r="178" spans="1:14" x14ac:dyDescent="0.25">
      <c r="A178" s="111" t="s">
        <v>82</v>
      </c>
      <c r="B178" s="108">
        <f t="shared" si="18"/>
        <v>145</v>
      </c>
      <c r="C178" s="152" t="s">
        <v>193</v>
      </c>
      <c r="D178" s="564">
        <v>465.25</v>
      </c>
      <c r="E178" s="253">
        <v>416</v>
      </c>
      <c r="F178" s="328">
        <f>'2022 первинка'!F178+'2022 вторинка'!F178</f>
        <v>358.25</v>
      </c>
      <c r="G178" s="303">
        <f>'2022 первинка'!G178+'2022 вторинка'!G178</f>
        <v>358.25</v>
      </c>
      <c r="H178" s="303">
        <f>'2022 первинка'!H178+'2022 вторинка'!H178</f>
        <v>358.25</v>
      </c>
      <c r="I178" s="303">
        <f>'2022 первинка'!I178+'2022 вторинка'!I178</f>
        <v>358.25</v>
      </c>
      <c r="J178" s="303">
        <f>'2022 первинка'!J178+'2022 вторинка'!J178</f>
        <v>358.25</v>
      </c>
      <c r="K178" s="340"/>
      <c r="L178" s="313"/>
      <c r="M178" s="313"/>
      <c r="N178" s="257"/>
    </row>
    <row r="179" spans="1:14" x14ac:dyDescent="0.25">
      <c r="A179" s="111" t="s">
        <v>83</v>
      </c>
      <c r="B179" s="108">
        <f t="shared" si="18"/>
        <v>146</v>
      </c>
      <c r="C179" s="152" t="s">
        <v>194</v>
      </c>
      <c r="D179" s="564">
        <v>30.25</v>
      </c>
      <c r="E179" s="253">
        <v>23</v>
      </c>
      <c r="F179" s="328">
        <f>'2022 первинка'!F179+'2022 вторинка'!F179</f>
        <v>18</v>
      </c>
      <c r="G179" s="303">
        <f>'2022 первинка'!G179+'2022 вторинка'!G179</f>
        <v>18</v>
      </c>
      <c r="H179" s="303">
        <f>'2022 первинка'!H179+'2022 вторинка'!H179</f>
        <v>18</v>
      </c>
      <c r="I179" s="303">
        <f>'2022 первинка'!I179+'2022 вторинка'!I179</f>
        <v>18</v>
      </c>
      <c r="J179" s="303">
        <f>'2022 первинка'!J179+'2022 вторинка'!J179</f>
        <v>18</v>
      </c>
      <c r="K179" s="340"/>
      <c r="L179" s="313"/>
      <c r="M179" s="313"/>
      <c r="N179" s="257"/>
    </row>
    <row r="180" spans="1:14" x14ac:dyDescent="0.25">
      <c r="A180" s="111" t="s">
        <v>84</v>
      </c>
      <c r="B180" s="108">
        <f t="shared" si="18"/>
        <v>147</v>
      </c>
      <c r="C180" s="152" t="s">
        <v>195</v>
      </c>
      <c r="D180" s="564">
        <v>662.5</v>
      </c>
      <c r="E180" s="253">
        <v>573.75</v>
      </c>
      <c r="F180" s="328">
        <f>'2022 первинка'!F180+'2022 вторинка'!F180</f>
        <v>460</v>
      </c>
      <c r="G180" s="303">
        <f>'2022 первинка'!G180+'2022 вторинка'!G180</f>
        <v>460</v>
      </c>
      <c r="H180" s="303">
        <f>'2022 первинка'!H180+'2022 вторинка'!H180</f>
        <v>460</v>
      </c>
      <c r="I180" s="303">
        <f>'2022 первинка'!I180+'2022 вторинка'!I180</f>
        <v>460</v>
      </c>
      <c r="J180" s="303">
        <f>'2022 первинка'!J180+'2022 вторинка'!J180</f>
        <v>460</v>
      </c>
      <c r="K180" s="340"/>
      <c r="L180" s="313"/>
      <c r="M180" s="313"/>
      <c r="N180" s="257"/>
    </row>
    <row r="181" spans="1:14" x14ac:dyDescent="0.25">
      <c r="A181" s="111" t="s">
        <v>85</v>
      </c>
      <c r="B181" s="108">
        <f t="shared" si="18"/>
        <v>148</v>
      </c>
      <c r="C181" s="153" t="s">
        <v>196</v>
      </c>
      <c r="D181" s="564">
        <v>182</v>
      </c>
      <c r="E181" s="253">
        <v>223.5</v>
      </c>
      <c r="F181" s="328">
        <f>'2022 первинка'!F181+'2022 вторинка'!F181</f>
        <v>158.5</v>
      </c>
      <c r="G181" s="303">
        <f>'2022 первинка'!G181+'2022 вторинка'!G181</f>
        <v>158.5</v>
      </c>
      <c r="H181" s="303">
        <f>'2022 первинка'!H181+'2022 вторинка'!H181</f>
        <v>158.5</v>
      </c>
      <c r="I181" s="303">
        <f>'2022 первинка'!I181+'2022 вторинка'!I181</f>
        <v>158.5</v>
      </c>
      <c r="J181" s="303">
        <f>'2022 первинка'!J181+'2022 вторинка'!J181</f>
        <v>158.5</v>
      </c>
      <c r="K181" s="340"/>
      <c r="L181" s="313"/>
      <c r="M181" s="313"/>
      <c r="N181" s="257"/>
    </row>
    <row r="182" spans="1:14" ht="15.75" thickBot="1" x14ac:dyDescent="0.3">
      <c r="A182" s="134" t="s">
        <v>86</v>
      </c>
      <c r="B182" s="122">
        <f t="shared" si="18"/>
        <v>149</v>
      </c>
      <c r="C182" s="153" t="s">
        <v>197</v>
      </c>
      <c r="D182" s="565">
        <v>185.5</v>
      </c>
      <c r="E182" s="254">
        <v>161.25</v>
      </c>
      <c r="F182" s="328">
        <f>'2022 первинка'!F182+'2022 вторинка'!F182</f>
        <v>121.75</v>
      </c>
      <c r="G182" s="303">
        <f>'2022 первинка'!G182+'2022 вторинка'!G182</f>
        <v>121.75</v>
      </c>
      <c r="H182" s="303">
        <f>'2022 первинка'!H182+'2022 вторинка'!H182</f>
        <v>121.75</v>
      </c>
      <c r="I182" s="303">
        <f>'2022 первинка'!I182+'2022 вторинка'!I182</f>
        <v>121.75</v>
      </c>
      <c r="J182" s="303">
        <f>'2022 первинка'!J182+'2022 вторинка'!J182</f>
        <v>121.75</v>
      </c>
      <c r="K182" s="341"/>
      <c r="L182" s="313"/>
      <c r="M182" s="313"/>
      <c r="N182" s="257"/>
    </row>
    <row r="183" spans="1:14" ht="15.75" thickBot="1" x14ac:dyDescent="0.3">
      <c r="A183" s="98" t="s">
        <v>87</v>
      </c>
      <c r="B183" s="99">
        <f t="shared" si="18"/>
        <v>150</v>
      </c>
      <c r="C183" s="154">
        <v>8020</v>
      </c>
      <c r="D183" s="103">
        <v>111737.60000000001</v>
      </c>
      <c r="E183" s="251">
        <v>121407.8</v>
      </c>
      <c r="F183" s="101">
        <f t="shared" ref="F183:F206" si="20">G183+H183+I183+J183</f>
        <v>200762</v>
      </c>
      <c r="G183" s="305">
        <f>SUM(G184:G190)</f>
        <v>50187.5</v>
      </c>
      <c r="H183" s="309">
        <f>SUM(H184:H190)</f>
        <v>50187.5</v>
      </c>
      <c r="I183" s="238">
        <f>SUM(I184:I190)</f>
        <v>50187.5</v>
      </c>
      <c r="J183" s="251">
        <f>SUM(J184:J190)</f>
        <v>50199.5</v>
      </c>
      <c r="K183" s="103"/>
      <c r="L183" s="332"/>
      <c r="M183" s="332"/>
      <c r="N183" s="257"/>
    </row>
    <row r="184" spans="1:14" x14ac:dyDescent="0.25">
      <c r="A184" s="107" t="s">
        <v>81</v>
      </c>
      <c r="B184" s="104">
        <f t="shared" si="18"/>
        <v>151</v>
      </c>
      <c r="C184" s="152" t="s">
        <v>198</v>
      </c>
      <c r="D184" s="106">
        <v>404.9</v>
      </c>
      <c r="E184" s="239">
        <v>702.7</v>
      </c>
      <c r="F184" s="222">
        <f>SUM(G184:J184)</f>
        <v>707.4</v>
      </c>
      <c r="G184" s="306">
        <f>'2022 первинка'!G184+'2022 вторинка'!G184</f>
        <v>175.5</v>
      </c>
      <c r="H184" s="306">
        <f>'2022 первинка'!H184+'2022 вторинка'!H184</f>
        <v>175.5</v>
      </c>
      <c r="I184" s="306">
        <f>'2022 первинка'!I184+'2022 вторинка'!I184</f>
        <v>175.5</v>
      </c>
      <c r="J184" s="306">
        <f>'2022 первинка'!J184+'2022 вторинка'!J184</f>
        <v>180.9</v>
      </c>
      <c r="K184" s="331"/>
      <c r="L184" s="332"/>
      <c r="M184" s="332"/>
      <c r="N184" s="257"/>
    </row>
    <row r="185" spans="1:14" x14ac:dyDescent="0.25">
      <c r="A185" s="107" t="s">
        <v>115</v>
      </c>
      <c r="B185" s="108">
        <f t="shared" si="18"/>
        <v>152</v>
      </c>
      <c r="C185" s="152" t="s">
        <v>199</v>
      </c>
      <c r="D185" s="106">
        <v>261.39999999999998</v>
      </c>
      <c r="E185" s="239">
        <v>911.4</v>
      </c>
      <c r="F185" s="215">
        <f t="shared" si="20"/>
        <v>1257.5999999999999</v>
      </c>
      <c r="G185" s="306">
        <f>'2022 первинка'!G185+'2022 вторинка'!G185</f>
        <v>312</v>
      </c>
      <c r="H185" s="306">
        <f>'2022 первинка'!H185+'2022 вторинка'!H185</f>
        <v>312</v>
      </c>
      <c r="I185" s="306">
        <f>'2022 первинка'!I185+'2022 вторинка'!I185</f>
        <v>312</v>
      </c>
      <c r="J185" s="306">
        <f>'2022 первинка'!J185+'2022 вторинка'!J185</f>
        <v>321.60000000000002</v>
      </c>
      <c r="K185" s="259"/>
      <c r="L185" s="332"/>
      <c r="M185" s="332"/>
      <c r="N185" s="257"/>
    </row>
    <row r="186" spans="1:14" x14ac:dyDescent="0.25">
      <c r="A186" s="111" t="s">
        <v>82</v>
      </c>
      <c r="B186" s="108">
        <f t="shared" si="18"/>
        <v>153</v>
      </c>
      <c r="C186" s="152" t="s">
        <v>200</v>
      </c>
      <c r="D186" s="112">
        <v>49672.800000000003</v>
      </c>
      <c r="E186" s="216">
        <v>47375.1</v>
      </c>
      <c r="F186" s="215">
        <f t="shared" si="20"/>
        <v>85980</v>
      </c>
      <c r="G186" s="306">
        <f>'2022 первинка'!G186+'2022 вторинка'!G186</f>
        <v>21495</v>
      </c>
      <c r="H186" s="306">
        <f>'2022 первинка'!H186+'2022 вторинка'!H186</f>
        <v>21495</v>
      </c>
      <c r="I186" s="306">
        <f>'2022 первинка'!I186+'2022 вторинка'!I186</f>
        <v>21495</v>
      </c>
      <c r="J186" s="306">
        <f>'2022 первинка'!J186+'2022 вторинка'!J186</f>
        <v>21495</v>
      </c>
      <c r="K186" s="260"/>
      <c r="L186" s="332"/>
      <c r="M186" s="332"/>
      <c r="N186" s="257"/>
    </row>
    <row r="187" spans="1:14" x14ac:dyDescent="0.25">
      <c r="A187" s="111" t="s">
        <v>83</v>
      </c>
      <c r="B187" s="108">
        <f t="shared" si="18"/>
        <v>154</v>
      </c>
      <c r="C187" s="152" t="s">
        <v>201</v>
      </c>
      <c r="D187" s="112">
        <v>3407.8</v>
      </c>
      <c r="E187" s="216">
        <v>3257.9</v>
      </c>
      <c r="F187" s="215">
        <f t="shared" si="20"/>
        <v>3676</v>
      </c>
      <c r="G187" s="306">
        <f>'2022 первинка'!G187+'2022 вторинка'!G187</f>
        <v>912</v>
      </c>
      <c r="H187" s="306">
        <f>'2022 первинка'!H187+'2022 вторинка'!H187</f>
        <v>912</v>
      </c>
      <c r="I187" s="306">
        <f>'2022 первинка'!I187+'2022 вторинка'!I187</f>
        <v>912</v>
      </c>
      <c r="J187" s="306">
        <f>'2022 первинка'!J187+'2022 вторинка'!J187</f>
        <v>940</v>
      </c>
      <c r="K187" s="260"/>
      <c r="L187" s="332"/>
      <c r="M187" s="332"/>
      <c r="N187" s="257"/>
    </row>
    <row r="188" spans="1:14" x14ac:dyDescent="0.25">
      <c r="A188" s="111" t="s">
        <v>84</v>
      </c>
      <c r="B188" s="108">
        <f t="shared" si="18"/>
        <v>155</v>
      </c>
      <c r="C188" s="152" t="s">
        <v>202</v>
      </c>
      <c r="D188" s="112">
        <v>40050.800000000003</v>
      </c>
      <c r="E188" s="216">
        <v>43629.7</v>
      </c>
      <c r="F188" s="215">
        <f t="shared" si="20"/>
        <v>74520</v>
      </c>
      <c r="G188" s="306">
        <f>'2022 первинка'!G188+'2022 вторинка'!G188</f>
        <v>18630</v>
      </c>
      <c r="H188" s="306">
        <f>'2022 первинка'!H188+'2022 вторинка'!H188</f>
        <v>18630</v>
      </c>
      <c r="I188" s="306">
        <f>'2022 первинка'!I188+'2022 вторинка'!I188</f>
        <v>18630</v>
      </c>
      <c r="J188" s="306">
        <f>'2022 первинка'!J188+'2022 вторинка'!J188</f>
        <v>18630</v>
      </c>
      <c r="K188" s="260"/>
      <c r="L188" s="332"/>
      <c r="M188" s="332"/>
      <c r="N188" s="257"/>
    </row>
    <row r="189" spans="1:14" x14ac:dyDescent="0.25">
      <c r="A189" s="111" t="s">
        <v>85</v>
      </c>
      <c r="B189" s="108">
        <f t="shared" si="18"/>
        <v>156</v>
      </c>
      <c r="C189" s="153" t="s">
        <v>203</v>
      </c>
      <c r="D189" s="112">
        <v>8104.3</v>
      </c>
      <c r="E189" s="216">
        <v>12872.8</v>
      </c>
      <c r="F189" s="215">
        <f t="shared" si="20"/>
        <v>20780</v>
      </c>
      <c r="G189" s="306">
        <f>'2022 первинка'!G189+'2022 вторинка'!G189</f>
        <v>5205</v>
      </c>
      <c r="H189" s="306">
        <f>'2022 первинка'!H189+'2022 вторинка'!H189</f>
        <v>5205</v>
      </c>
      <c r="I189" s="306">
        <f>'2022 первинка'!I189+'2022 вторинка'!I189</f>
        <v>5205</v>
      </c>
      <c r="J189" s="306">
        <f>'2022 первинка'!J189+'2022 вторинка'!J189</f>
        <v>5165</v>
      </c>
      <c r="K189" s="260"/>
      <c r="L189" s="332"/>
      <c r="M189" s="332"/>
      <c r="N189" s="257"/>
    </row>
    <row r="190" spans="1:14" ht="15.75" thickBot="1" x14ac:dyDescent="0.3">
      <c r="A190" s="134" t="s">
        <v>86</v>
      </c>
      <c r="B190" s="122">
        <f t="shared" si="18"/>
        <v>157</v>
      </c>
      <c r="C190" s="153" t="s">
        <v>204</v>
      </c>
      <c r="D190" s="117">
        <v>9835.7000000000007</v>
      </c>
      <c r="E190" s="240">
        <v>12658.2</v>
      </c>
      <c r="F190" s="264">
        <f t="shared" si="20"/>
        <v>13841</v>
      </c>
      <c r="G190" s="306">
        <f>'2022 первинка'!G190+'2022 вторинка'!G190</f>
        <v>3458</v>
      </c>
      <c r="H190" s="306">
        <f>'2022 первинка'!H190+'2022 вторинка'!H190</f>
        <v>3458</v>
      </c>
      <c r="I190" s="306">
        <f>'2022 первинка'!I190+'2022 вторинка'!I190</f>
        <v>3458</v>
      </c>
      <c r="J190" s="306">
        <f>'2022 первинка'!J190+'2022 вторинка'!J190</f>
        <v>3467</v>
      </c>
      <c r="K190" s="124"/>
      <c r="L190" s="332"/>
      <c r="M190" s="332"/>
      <c r="N190" s="257"/>
    </row>
    <row r="191" spans="1:14" ht="26.25" thickBot="1" x14ac:dyDescent="0.3">
      <c r="A191" s="98" t="s">
        <v>675</v>
      </c>
      <c r="B191" s="99">
        <f t="shared" si="18"/>
        <v>158</v>
      </c>
      <c r="C191" s="154">
        <v>8030</v>
      </c>
      <c r="D191" s="103">
        <v>10.9</v>
      </c>
      <c r="E191" s="251">
        <v>7.2</v>
      </c>
      <c r="F191" s="101">
        <f t="shared" ref="F191:F198" si="21">F183/F175/12</f>
        <v>14.917669787486998</v>
      </c>
      <c r="G191" s="102">
        <f t="shared" ref="G191:J198" si="22">G183/G175/3</f>
        <v>14.916778124535591</v>
      </c>
      <c r="H191" s="219">
        <f t="shared" si="22"/>
        <v>14.916778124535591</v>
      </c>
      <c r="I191" s="220">
        <f t="shared" si="22"/>
        <v>14.916778124535591</v>
      </c>
      <c r="J191" s="219">
        <f t="shared" si="22"/>
        <v>14.92034477634121</v>
      </c>
      <c r="K191" s="103"/>
      <c r="L191" s="313"/>
      <c r="M191" s="313"/>
      <c r="N191" s="257"/>
    </row>
    <row r="192" spans="1:14" x14ac:dyDescent="0.25">
      <c r="A192" s="107" t="s">
        <v>81</v>
      </c>
      <c r="B192" s="104">
        <f t="shared" si="18"/>
        <v>159</v>
      </c>
      <c r="C192" s="152" t="s">
        <v>205</v>
      </c>
      <c r="D192" s="106">
        <v>33.700000000000003</v>
      </c>
      <c r="E192" s="255">
        <v>58.6</v>
      </c>
      <c r="F192" s="128">
        <f t="shared" si="21"/>
        <v>58.949999999999996</v>
      </c>
      <c r="G192" s="157">
        <f t="shared" si="22"/>
        <v>58.5</v>
      </c>
      <c r="H192" s="158">
        <f t="shared" si="22"/>
        <v>58.5</v>
      </c>
      <c r="I192" s="158">
        <f t="shared" si="22"/>
        <v>58.5</v>
      </c>
      <c r="J192" s="158">
        <f t="shared" si="22"/>
        <v>60.300000000000004</v>
      </c>
      <c r="K192" s="158"/>
      <c r="L192" s="257"/>
      <c r="M192" s="257"/>
      <c r="N192" s="257"/>
    </row>
    <row r="193" spans="1:14" x14ac:dyDescent="0.25">
      <c r="A193" s="107" t="s">
        <v>115</v>
      </c>
      <c r="B193" s="108">
        <f t="shared" si="18"/>
        <v>160</v>
      </c>
      <c r="C193" s="152" t="s">
        <v>206</v>
      </c>
      <c r="D193" s="106">
        <v>10.9</v>
      </c>
      <c r="E193" s="255">
        <v>19</v>
      </c>
      <c r="F193" s="129">
        <f t="shared" si="21"/>
        <v>26.2</v>
      </c>
      <c r="G193" s="157">
        <f t="shared" si="22"/>
        <v>26</v>
      </c>
      <c r="H193" s="112">
        <f t="shared" si="22"/>
        <v>26</v>
      </c>
      <c r="I193" s="112">
        <f t="shared" si="22"/>
        <v>26</v>
      </c>
      <c r="J193" s="112">
        <f t="shared" si="22"/>
        <v>26.8</v>
      </c>
      <c r="K193" s="106"/>
      <c r="L193" s="257"/>
      <c r="M193" s="257"/>
      <c r="N193" s="257"/>
    </row>
    <row r="194" spans="1:14" x14ac:dyDescent="0.25">
      <c r="A194" s="111" t="s">
        <v>82</v>
      </c>
      <c r="B194" s="108">
        <f t="shared" si="18"/>
        <v>161</v>
      </c>
      <c r="C194" s="152" t="s">
        <v>207</v>
      </c>
      <c r="D194" s="112">
        <v>8.9</v>
      </c>
      <c r="E194" s="244">
        <v>9.5</v>
      </c>
      <c r="F194" s="129">
        <f t="shared" si="21"/>
        <v>20</v>
      </c>
      <c r="G194" s="160">
        <f t="shared" si="22"/>
        <v>20</v>
      </c>
      <c r="H194" s="112">
        <f t="shared" si="22"/>
        <v>20</v>
      </c>
      <c r="I194" s="112">
        <f t="shared" si="22"/>
        <v>20</v>
      </c>
      <c r="J194" s="112">
        <f t="shared" si="22"/>
        <v>20</v>
      </c>
      <c r="K194" s="112"/>
      <c r="L194" s="257"/>
      <c r="M194" s="257"/>
      <c r="N194" s="257"/>
    </row>
    <row r="195" spans="1:14" x14ac:dyDescent="0.25">
      <c r="A195" s="111" t="s">
        <v>83</v>
      </c>
      <c r="B195" s="108">
        <f t="shared" si="18"/>
        <v>162</v>
      </c>
      <c r="C195" s="152" t="s">
        <v>208</v>
      </c>
      <c r="D195" s="112">
        <v>9.4</v>
      </c>
      <c r="E195" s="244">
        <v>11.8</v>
      </c>
      <c r="F195" s="129">
        <f t="shared" si="21"/>
        <v>17.018518518518519</v>
      </c>
      <c r="G195" s="160">
        <f t="shared" si="22"/>
        <v>16.888888888888889</v>
      </c>
      <c r="H195" s="112">
        <f t="shared" si="22"/>
        <v>16.888888888888889</v>
      </c>
      <c r="I195" s="112">
        <f t="shared" si="22"/>
        <v>16.888888888888889</v>
      </c>
      <c r="J195" s="112">
        <f t="shared" si="22"/>
        <v>17.407407407407408</v>
      </c>
      <c r="K195" s="112"/>
    </row>
    <row r="196" spans="1:14" x14ac:dyDescent="0.25">
      <c r="A196" s="111" t="s">
        <v>84</v>
      </c>
      <c r="B196" s="108">
        <f t="shared" si="18"/>
        <v>163</v>
      </c>
      <c r="C196" s="152" t="s">
        <v>209</v>
      </c>
      <c r="D196" s="112">
        <v>5</v>
      </c>
      <c r="E196" s="244">
        <v>6.3</v>
      </c>
      <c r="F196" s="129">
        <f t="shared" si="21"/>
        <v>13.5</v>
      </c>
      <c r="G196" s="160">
        <f t="shared" si="22"/>
        <v>13.5</v>
      </c>
      <c r="H196" s="112">
        <f t="shared" si="22"/>
        <v>13.5</v>
      </c>
      <c r="I196" s="112">
        <f t="shared" si="22"/>
        <v>13.5</v>
      </c>
      <c r="J196" s="112">
        <f t="shared" si="22"/>
        <v>13.5</v>
      </c>
      <c r="K196" s="112"/>
    </row>
    <row r="197" spans="1:14" x14ac:dyDescent="0.25">
      <c r="A197" s="111" t="s">
        <v>85</v>
      </c>
      <c r="B197" s="108">
        <f t="shared" si="18"/>
        <v>164</v>
      </c>
      <c r="C197" s="153" t="s">
        <v>210</v>
      </c>
      <c r="D197" s="112">
        <v>3.7</v>
      </c>
      <c r="E197" s="244">
        <v>4.8</v>
      </c>
      <c r="F197" s="129">
        <f t="shared" si="21"/>
        <v>10.92534174553102</v>
      </c>
      <c r="G197" s="160">
        <f t="shared" si="22"/>
        <v>10.946372239747634</v>
      </c>
      <c r="H197" s="112">
        <f t="shared" si="22"/>
        <v>10.946372239747634</v>
      </c>
      <c r="I197" s="112">
        <f t="shared" si="22"/>
        <v>10.946372239747634</v>
      </c>
      <c r="J197" s="112">
        <f t="shared" si="22"/>
        <v>10.862250262881178</v>
      </c>
      <c r="K197" s="112"/>
    </row>
    <row r="198" spans="1:14" ht="15.75" thickBot="1" x14ac:dyDescent="0.3">
      <c r="A198" s="134" t="s">
        <v>86</v>
      </c>
      <c r="B198" s="122">
        <f t="shared" si="18"/>
        <v>165</v>
      </c>
      <c r="C198" s="153" t="s">
        <v>211</v>
      </c>
      <c r="D198" s="117">
        <v>4.4000000000000004</v>
      </c>
      <c r="E198" s="256">
        <v>6.5</v>
      </c>
      <c r="F198" s="147">
        <f t="shared" si="21"/>
        <v>9.473648186173854</v>
      </c>
      <c r="G198" s="221">
        <f t="shared" si="22"/>
        <v>9.4674880219028061</v>
      </c>
      <c r="H198" s="124">
        <f t="shared" si="22"/>
        <v>9.4674880219028061</v>
      </c>
      <c r="I198" s="124">
        <f t="shared" si="22"/>
        <v>9.4674880219028061</v>
      </c>
      <c r="J198" s="124">
        <f t="shared" si="22"/>
        <v>9.4921286789869956</v>
      </c>
      <c r="K198" s="124"/>
    </row>
    <row r="199" spans="1:14" ht="15.75" thickBot="1" x14ac:dyDescent="0.3">
      <c r="A199" s="98" t="s">
        <v>88</v>
      </c>
      <c r="B199" s="99">
        <f t="shared" si="18"/>
        <v>166</v>
      </c>
      <c r="C199" s="154">
        <v>8040</v>
      </c>
      <c r="D199" s="103"/>
      <c r="E199" s="251"/>
      <c r="F199" s="101">
        <f t="shared" si="20"/>
        <v>0</v>
      </c>
      <c r="G199" s="155"/>
      <c r="H199" s="205"/>
      <c r="I199" s="206"/>
      <c r="J199" s="205"/>
      <c r="K199" s="102"/>
    </row>
    <row r="200" spans="1:14" x14ac:dyDescent="0.25">
      <c r="A200" s="107" t="s">
        <v>81</v>
      </c>
      <c r="B200" s="104">
        <f t="shared" si="18"/>
        <v>167</v>
      </c>
      <c r="C200" s="152" t="s">
        <v>212</v>
      </c>
      <c r="D200" s="106"/>
      <c r="E200" s="239"/>
      <c r="F200" s="128">
        <f t="shared" si="20"/>
        <v>0</v>
      </c>
      <c r="G200" s="156"/>
      <c r="H200" s="106"/>
      <c r="I200" s="157"/>
      <c r="J200" s="106"/>
      <c r="K200" s="121"/>
    </row>
    <row r="201" spans="1:14" x14ac:dyDescent="0.25">
      <c r="A201" s="111" t="s">
        <v>115</v>
      </c>
      <c r="B201" s="108">
        <f t="shared" si="18"/>
        <v>168</v>
      </c>
      <c r="C201" s="152" t="s">
        <v>213</v>
      </c>
      <c r="D201" s="112"/>
      <c r="E201" s="216"/>
      <c r="F201" s="129">
        <f t="shared" si="20"/>
        <v>0</v>
      </c>
      <c r="G201" s="159"/>
      <c r="H201" s="112"/>
      <c r="I201" s="160"/>
      <c r="J201" s="112"/>
      <c r="K201" s="113"/>
    </row>
    <row r="202" spans="1:14" x14ac:dyDescent="0.25">
      <c r="A202" s="111" t="s">
        <v>82</v>
      </c>
      <c r="B202" s="108">
        <f t="shared" si="18"/>
        <v>169</v>
      </c>
      <c r="C202" s="152" t="s">
        <v>214</v>
      </c>
      <c r="D202" s="112"/>
      <c r="E202" s="216"/>
      <c r="F202" s="129">
        <f t="shared" si="20"/>
        <v>0</v>
      </c>
      <c r="G202" s="159"/>
      <c r="H202" s="112"/>
      <c r="I202" s="160"/>
      <c r="J202" s="112"/>
      <c r="K202" s="113"/>
    </row>
    <row r="203" spans="1:14" x14ac:dyDescent="0.25">
      <c r="A203" s="111" t="s">
        <v>83</v>
      </c>
      <c r="B203" s="108">
        <f t="shared" si="18"/>
        <v>170</v>
      </c>
      <c r="C203" s="152" t="s">
        <v>215</v>
      </c>
      <c r="D203" s="112"/>
      <c r="E203" s="216"/>
      <c r="F203" s="129">
        <f t="shared" si="20"/>
        <v>0</v>
      </c>
      <c r="G203" s="159"/>
      <c r="H203" s="112"/>
      <c r="I203" s="160"/>
      <c r="J203" s="112"/>
      <c r="K203" s="113"/>
    </row>
    <row r="204" spans="1:14" x14ac:dyDescent="0.25">
      <c r="A204" s="111" t="s">
        <v>84</v>
      </c>
      <c r="B204" s="108">
        <f t="shared" si="18"/>
        <v>171</v>
      </c>
      <c r="C204" s="152" t="s">
        <v>216</v>
      </c>
      <c r="D204" s="112"/>
      <c r="E204" s="216"/>
      <c r="F204" s="129">
        <f t="shared" si="20"/>
        <v>0</v>
      </c>
      <c r="G204" s="159"/>
      <c r="H204" s="112"/>
      <c r="I204" s="160"/>
      <c r="J204" s="112"/>
      <c r="K204" s="113"/>
    </row>
    <row r="205" spans="1:14" x14ac:dyDescent="0.25">
      <c r="A205" s="111" t="s">
        <v>85</v>
      </c>
      <c r="B205" s="108">
        <f t="shared" si="18"/>
        <v>172</v>
      </c>
      <c r="C205" s="153" t="s">
        <v>217</v>
      </c>
      <c r="D205" s="112"/>
      <c r="E205" s="216"/>
      <c r="F205" s="129">
        <f t="shared" si="20"/>
        <v>0</v>
      </c>
      <c r="G205" s="159"/>
      <c r="H205" s="112"/>
      <c r="I205" s="160"/>
      <c r="J205" s="112"/>
      <c r="K205" s="113"/>
    </row>
    <row r="206" spans="1:14" ht="15.75" thickBot="1" x14ac:dyDescent="0.3">
      <c r="A206" s="161" t="s">
        <v>86</v>
      </c>
      <c r="B206" s="122">
        <f t="shared" si="18"/>
        <v>173</v>
      </c>
      <c r="C206" s="162" t="s">
        <v>218</v>
      </c>
      <c r="D206" s="124"/>
      <c r="E206" s="241"/>
      <c r="F206" s="147">
        <f t="shared" si="20"/>
        <v>0</v>
      </c>
      <c r="G206" s="163"/>
      <c r="H206" s="124"/>
      <c r="I206" s="164"/>
      <c r="J206" s="124"/>
      <c r="K206" s="123"/>
    </row>
    <row r="207" spans="1:14" x14ac:dyDescent="0.25">
      <c r="A207" s="72"/>
      <c r="B207" s="87"/>
      <c r="C207" s="165"/>
      <c r="D207" s="664"/>
      <c r="E207" s="664"/>
      <c r="F207" s="664"/>
      <c r="G207" s="166"/>
      <c r="K207" s="1"/>
    </row>
    <row r="208" spans="1:14" x14ac:dyDescent="0.25">
      <c r="B208" s="87"/>
      <c r="C208" s="71"/>
      <c r="D208" s="665"/>
      <c r="E208" s="665"/>
      <c r="F208" s="665"/>
      <c r="G208" s="167"/>
      <c r="K208" s="168"/>
    </row>
    <row r="209" spans="1:10" x14ac:dyDescent="0.25">
      <c r="A209" s="72" t="s">
        <v>835</v>
      </c>
      <c r="H209" s="666" t="s">
        <v>705</v>
      </c>
      <c r="I209" s="666"/>
      <c r="J209" s="666"/>
    </row>
    <row r="210" spans="1:10" x14ac:dyDescent="0.25">
      <c r="A210" s="231"/>
      <c r="H210" s="660"/>
      <c r="I210" s="660"/>
      <c r="J210" s="660"/>
    </row>
    <row r="211" spans="1:10" x14ac:dyDescent="0.25">
      <c r="A211" s="231"/>
      <c r="H211" s="177"/>
      <c r="I211" s="177"/>
      <c r="J211" s="177"/>
    </row>
    <row r="212" spans="1:10" x14ac:dyDescent="0.25">
      <c r="H212" s="1"/>
      <c r="I212" s="1"/>
      <c r="J212" s="1"/>
    </row>
  </sheetData>
  <mergeCells count="43">
    <mergeCell ref="I19:J19"/>
    <mergeCell ref="B20:H20"/>
    <mergeCell ref="I20:J20"/>
    <mergeCell ref="K31:K32"/>
    <mergeCell ref="D207:F207"/>
    <mergeCell ref="H209:J209"/>
    <mergeCell ref="D208:F208"/>
    <mergeCell ref="B21:H21"/>
    <mergeCell ref="I21:J21"/>
    <mergeCell ref="B22:H22"/>
    <mergeCell ref="B23:H23"/>
    <mergeCell ref="B24:H24"/>
    <mergeCell ref="I24:J24"/>
    <mergeCell ref="B18:H18"/>
    <mergeCell ref="H210:J210"/>
    <mergeCell ref="F31:F32"/>
    <mergeCell ref="G31:J31"/>
    <mergeCell ref="B25:H25"/>
    <mergeCell ref="I25:J25"/>
    <mergeCell ref="B26:H26"/>
    <mergeCell ref="B27:H27"/>
    <mergeCell ref="A29:J29"/>
    <mergeCell ref="A31:A32"/>
    <mergeCell ref="B31:B32"/>
    <mergeCell ref="C31:C32"/>
    <mergeCell ref="D31:D32"/>
    <mergeCell ref="E31:E32"/>
    <mergeCell ref="I18:J18"/>
    <mergeCell ref="B19:H19"/>
    <mergeCell ref="B17:H17"/>
    <mergeCell ref="I17:J17"/>
    <mergeCell ref="G1:K1"/>
    <mergeCell ref="I8:J8"/>
    <mergeCell ref="I9:J9"/>
    <mergeCell ref="I10:J10"/>
    <mergeCell ref="I11:J11"/>
    <mergeCell ref="I12:J12"/>
    <mergeCell ref="I14:J14"/>
    <mergeCell ref="B15:H15"/>
    <mergeCell ref="I15:K15"/>
    <mergeCell ref="B16:H16"/>
    <mergeCell ref="I16:J16"/>
    <mergeCell ref="J5:K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Footer>&amp;C&amp;P</oddFooter>
  </headerFooter>
  <rowBreaks count="2" manualBreakCount="2">
    <brk id="118" max="16383" man="1"/>
    <brk id="15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activeCell="E29" sqref="E29"/>
    </sheetView>
  </sheetViews>
  <sheetFormatPr defaultRowHeight="15" x14ac:dyDescent="0.25"/>
  <cols>
    <col min="1" max="1" width="10.7109375" customWidth="1"/>
    <col min="2" max="2" width="70.85546875" customWidth="1"/>
    <col min="3" max="3" width="0.140625" hidden="1" customWidth="1"/>
    <col min="4" max="4" width="16" customWidth="1"/>
    <col min="5" max="5" width="15" customWidth="1"/>
    <col min="6" max="7" width="14.28515625" customWidth="1"/>
    <col min="8" max="8" width="14.42578125" customWidth="1"/>
    <col min="9" max="9" width="18.140625" customWidth="1"/>
    <col min="11" max="11" width="9.140625" customWidth="1"/>
  </cols>
  <sheetData>
    <row r="1" spans="1:8" ht="15.75" x14ac:dyDescent="0.25">
      <c r="A1" s="224"/>
      <c r="B1" s="224"/>
      <c r="C1" s="224"/>
      <c r="D1" s="224"/>
      <c r="E1" s="224"/>
      <c r="F1" s="224"/>
      <c r="G1" s="285"/>
      <c r="H1" s="557" t="s">
        <v>263</v>
      </c>
    </row>
    <row r="2" spans="1:8" x14ac:dyDescent="0.25">
      <c r="A2" s="668" t="s">
        <v>708</v>
      </c>
      <c r="B2" s="668"/>
      <c r="C2" s="668"/>
      <c r="D2" s="668"/>
      <c r="E2" s="668"/>
      <c r="F2" s="668"/>
      <c r="G2" s="668"/>
      <c r="H2" s="668"/>
    </row>
    <row r="3" spans="1:8" x14ac:dyDescent="0.25">
      <c r="A3" s="668"/>
      <c r="B3" s="668"/>
      <c r="C3" s="668"/>
      <c r="D3" s="668"/>
      <c r="E3" s="668"/>
      <c r="F3" s="668"/>
      <c r="G3" s="668"/>
      <c r="H3" s="668"/>
    </row>
    <row r="4" spans="1:8" ht="94.5" x14ac:dyDescent="0.25">
      <c r="A4" s="225" t="s">
        <v>610</v>
      </c>
      <c r="B4" s="225" t="s">
        <v>611</v>
      </c>
      <c r="C4" s="226" t="s">
        <v>612</v>
      </c>
      <c r="D4" s="227" t="s">
        <v>680</v>
      </c>
      <c r="E4" s="225" t="s">
        <v>613</v>
      </c>
      <c r="F4" s="225" t="s">
        <v>614</v>
      </c>
      <c r="G4" s="225" t="s">
        <v>615</v>
      </c>
      <c r="H4" s="225" t="s">
        <v>616</v>
      </c>
    </row>
    <row r="5" spans="1:8" ht="20.25" customHeight="1" x14ac:dyDescent="0.25">
      <c r="A5" s="286">
        <v>1</v>
      </c>
      <c r="B5" s="287" t="s">
        <v>618</v>
      </c>
      <c r="C5" s="287" t="s">
        <v>681</v>
      </c>
      <c r="D5" s="550">
        <f t="shared" ref="D5:D16" si="0">SUM(E5:H5)</f>
        <v>137096800</v>
      </c>
      <c r="E5" s="551">
        <v>34274200</v>
      </c>
      <c r="F5" s="551">
        <v>34274200</v>
      </c>
      <c r="G5" s="551">
        <v>34274200</v>
      </c>
      <c r="H5" s="551">
        <v>34274200</v>
      </c>
    </row>
    <row r="6" spans="1:8" ht="50.25" customHeight="1" x14ac:dyDescent="0.25">
      <c r="A6" s="289">
        <v>9</v>
      </c>
      <c r="B6" s="288" t="s">
        <v>682</v>
      </c>
      <c r="C6" s="288" t="s">
        <v>683</v>
      </c>
      <c r="D6" s="552">
        <f t="shared" si="0"/>
        <v>57600000</v>
      </c>
      <c r="E6" s="551">
        <v>14400000</v>
      </c>
      <c r="F6" s="551">
        <v>14400000</v>
      </c>
      <c r="G6" s="551">
        <v>14400000</v>
      </c>
      <c r="H6" s="551">
        <v>14400000</v>
      </c>
    </row>
    <row r="7" spans="1:8" ht="18.75" customHeight="1" x14ac:dyDescent="0.25">
      <c r="A7" s="289">
        <v>10</v>
      </c>
      <c r="B7" s="288" t="s">
        <v>617</v>
      </c>
      <c r="C7" s="288" t="s">
        <v>683</v>
      </c>
      <c r="D7" s="553">
        <f t="shared" si="0"/>
        <v>388944</v>
      </c>
      <c r="E7" s="551">
        <v>97236</v>
      </c>
      <c r="F7" s="551">
        <v>97236</v>
      </c>
      <c r="G7" s="551">
        <v>97236</v>
      </c>
      <c r="H7" s="551">
        <v>97236</v>
      </c>
    </row>
    <row r="8" spans="1:8" ht="15.75" customHeight="1" x14ac:dyDescent="0.25">
      <c r="A8" s="289">
        <v>12</v>
      </c>
      <c r="B8" s="288" t="s">
        <v>684</v>
      </c>
      <c r="C8" s="288" t="s">
        <v>683</v>
      </c>
      <c r="D8" s="553">
        <f t="shared" si="0"/>
        <v>450564</v>
      </c>
      <c r="E8" s="551">
        <v>112641</v>
      </c>
      <c r="F8" s="551">
        <v>112641</v>
      </c>
      <c r="G8" s="551">
        <v>112641</v>
      </c>
      <c r="H8" s="551">
        <v>112641</v>
      </c>
    </row>
    <row r="9" spans="1:8" ht="16.5" customHeight="1" x14ac:dyDescent="0.25">
      <c r="A9" s="290">
        <v>13</v>
      </c>
      <c r="B9" s="291" t="s">
        <v>685</v>
      </c>
      <c r="C9" s="288" t="s">
        <v>683</v>
      </c>
      <c r="D9" s="553">
        <f t="shared" si="0"/>
        <v>307948</v>
      </c>
      <c r="E9" s="551">
        <v>76987</v>
      </c>
      <c r="F9" s="551">
        <v>76987</v>
      </c>
      <c r="G9" s="551">
        <v>76987</v>
      </c>
      <c r="H9" s="551">
        <v>76987</v>
      </c>
    </row>
    <row r="10" spans="1:8" ht="18.75" customHeight="1" x14ac:dyDescent="0.25">
      <c r="A10" s="290">
        <v>14</v>
      </c>
      <c r="B10" s="291" t="s">
        <v>686</v>
      </c>
      <c r="C10" s="288" t="s">
        <v>683</v>
      </c>
      <c r="D10" s="553">
        <f t="shared" si="0"/>
        <v>48216</v>
      </c>
      <c r="E10" s="551">
        <v>12054</v>
      </c>
      <c r="F10" s="551">
        <v>12054</v>
      </c>
      <c r="G10" s="551">
        <v>12054</v>
      </c>
      <c r="H10" s="551">
        <v>12054</v>
      </c>
    </row>
    <row r="11" spans="1:8" ht="33" customHeight="1" x14ac:dyDescent="0.25">
      <c r="A11" s="290">
        <v>26</v>
      </c>
      <c r="B11" s="292" t="s">
        <v>687</v>
      </c>
      <c r="C11" s="288" t="s">
        <v>683</v>
      </c>
      <c r="D11" s="553">
        <f t="shared" si="0"/>
        <v>14561436</v>
      </c>
      <c r="E11" s="551">
        <v>3640359</v>
      </c>
      <c r="F11" s="551">
        <v>3640359</v>
      </c>
      <c r="G11" s="551">
        <v>3640359</v>
      </c>
      <c r="H11" s="551">
        <v>3640359</v>
      </c>
    </row>
    <row r="12" spans="1:8" ht="32.25" customHeight="1" x14ac:dyDescent="0.25">
      <c r="A12" s="290">
        <v>27</v>
      </c>
      <c r="B12" s="292" t="s">
        <v>688</v>
      </c>
      <c r="C12" s="288" t="s">
        <v>683</v>
      </c>
      <c r="D12" s="553">
        <f t="shared" si="0"/>
        <v>3617172</v>
      </c>
      <c r="E12" s="551">
        <v>904293</v>
      </c>
      <c r="F12" s="551">
        <v>904293</v>
      </c>
      <c r="G12" s="551">
        <v>904293</v>
      </c>
      <c r="H12" s="551">
        <v>904293</v>
      </c>
    </row>
    <row r="13" spans="1:8" ht="16.5" customHeight="1" x14ac:dyDescent="0.25">
      <c r="A13" s="290">
        <v>34</v>
      </c>
      <c r="B13" s="292" t="s">
        <v>689</v>
      </c>
      <c r="C13" s="288" t="s">
        <v>683</v>
      </c>
      <c r="D13" s="553">
        <f t="shared" si="0"/>
        <v>217152</v>
      </c>
      <c r="E13" s="551">
        <v>54288</v>
      </c>
      <c r="F13" s="551">
        <v>54288</v>
      </c>
      <c r="G13" s="551">
        <v>54288</v>
      </c>
      <c r="H13" s="551">
        <v>54288</v>
      </c>
    </row>
    <row r="14" spans="1:8" ht="17.25" customHeight="1" x14ac:dyDescent="0.25">
      <c r="A14" s="290">
        <v>35</v>
      </c>
      <c r="B14" s="292" t="s">
        <v>690</v>
      </c>
      <c r="C14" s="288" t="s">
        <v>683</v>
      </c>
      <c r="D14" s="553">
        <f t="shared" si="0"/>
        <v>259200</v>
      </c>
      <c r="E14" s="551">
        <v>64800</v>
      </c>
      <c r="F14" s="551">
        <v>64800</v>
      </c>
      <c r="G14" s="551">
        <v>64800</v>
      </c>
      <c r="H14" s="551">
        <v>64800</v>
      </c>
    </row>
    <row r="15" spans="1:8" ht="31.5" x14ac:dyDescent="0.25">
      <c r="A15" s="290">
        <v>36</v>
      </c>
      <c r="B15" s="292" t="s">
        <v>695</v>
      </c>
      <c r="C15" s="288"/>
      <c r="D15" s="553">
        <f t="shared" si="0"/>
        <v>5709960</v>
      </c>
      <c r="E15" s="551">
        <v>1427490</v>
      </c>
      <c r="F15" s="551">
        <v>1427490</v>
      </c>
      <c r="G15" s="551">
        <v>1427490</v>
      </c>
      <c r="H15" s="551">
        <v>1427490</v>
      </c>
    </row>
    <row r="16" spans="1:8" ht="29.25" customHeight="1" x14ac:dyDescent="0.25">
      <c r="A16" s="290">
        <v>41</v>
      </c>
      <c r="B16" s="292" t="s">
        <v>691</v>
      </c>
      <c r="C16" s="288" t="s">
        <v>683</v>
      </c>
      <c r="D16" s="553">
        <f t="shared" si="0"/>
        <v>83700</v>
      </c>
      <c r="E16" s="551">
        <v>20925</v>
      </c>
      <c r="F16" s="551">
        <v>20925</v>
      </c>
      <c r="G16" s="551">
        <v>20925</v>
      </c>
      <c r="H16" s="551">
        <v>20925</v>
      </c>
    </row>
    <row r="17" spans="1:8" ht="15.75" x14ac:dyDescent="0.25">
      <c r="A17" s="669" t="s">
        <v>257</v>
      </c>
      <c r="B17" s="670"/>
      <c r="C17" s="671"/>
      <c r="D17" s="551">
        <f>SUM(D5:D16)</f>
        <v>220341092</v>
      </c>
      <c r="E17" s="551">
        <f>SUM(E5:E16)</f>
        <v>55085273</v>
      </c>
      <c r="F17" s="551">
        <f>SUM(F5:F16)</f>
        <v>55085273</v>
      </c>
      <c r="G17" s="551">
        <f>SUM(G5:G16)</f>
        <v>55085273</v>
      </c>
      <c r="H17" s="551">
        <f>SUM(H5:H16)</f>
        <v>55085273</v>
      </c>
    </row>
    <row r="18" spans="1:8" ht="15.75" x14ac:dyDescent="0.25">
      <c r="A18" s="293"/>
      <c r="B18" s="293"/>
      <c r="C18" s="293"/>
      <c r="D18" s="293"/>
      <c r="E18" s="293"/>
      <c r="F18" s="293"/>
      <c r="G18" s="294"/>
      <c r="H18" s="293"/>
    </row>
    <row r="19" spans="1:8" ht="15.75" x14ac:dyDescent="0.25">
      <c r="A19" s="295"/>
      <c r="B19" s="295" t="s">
        <v>679</v>
      </c>
      <c r="C19" s="295" t="s">
        <v>679</v>
      </c>
      <c r="D19" s="296">
        <f>D5</f>
        <v>137096800</v>
      </c>
      <c r="E19" s="296">
        <f>SUM(E5)</f>
        <v>34274200</v>
      </c>
      <c r="F19" s="296">
        <f t="shared" ref="F19:H19" si="1">SUM(F5)</f>
        <v>34274200</v>
      </c>
      <c r="G19" s="296">
        <f t="shared" si="1"/>
        <v>34274200</v>
      </c>
      <c r="H19" s="296">
        <f t="shared" si="1"/>
        <v>34274200</v>
      </c>
    </row>
    <row r="20" spans="1:8" ht="15.75" x14ac:dyDescent="0.25">
      <c r="A20" s="295"/>
      <c r="B20" s="295" t="s">
        <v>678</v>
      </c>
      <c r="C20" s="295" t="s">
        <v>678</v>
      </c>
      <c r="D20" s="296">
        <f>SUM(D6:D16)</f>
        <v>83244292</v>
      </c>
      <c r="E20" s="296">
        <f>SUM(E6:E16)</f>
        <v>20811073</v>
      </c>
      <c r="F20" s="296">
        <f>SUM(F6:F16)</f>
        <v>20811073</v>
      </c>
      <c r="G20" s="296">
        <f>SUM(G6:G16)</f>
        <v>20811073</v>
      </c>
      <c r="H20" s="296">
        <f>SUM(H6:H16)</f>
        <v>20811073</v>
      </c>
    </row>
    <row r="21" spans="1:8" ht="15.75" x14ac:dyDescent="0.25">
      <c r="A21" s="295"/>
      <c r="B21" s="295"/>
      <c r="C21" s="295"/>
      <c r="D21" s="296">
        <f>SUM(D19:D20)</f>
        <v>220341092</v>
      </c>
      <c r="E21" s="296">
        <f>SUM(E19:E20)</f>
        <v>55085273</v>
      </c>
      <c r="F21" s="296">
        <f t="shared" ref="F21:H21" si="2">SUM(F19:F20)</f>
        <v>55085273</v>
      </c>
      <c r="G21" s="296">
        <f t="shared" si="2"/>
        <v>55085273</v>
      </c>
      <c r="H21" s="296">
        <f t="shared" si="2"/>
        <v>55085273</v>
      </c>
    </row>
    <row r="22" spans="1:8" ht="15.75" x14ac:dyDescent="0.25">
      <c r="A22" s="295"/>
      <c r="B22" s="295"/>
      <c r="C22" s="295"/>
      <c r="D22" s="296"/>
      <c r="E22" s="296"/>
      <c r="F22" s="296"/>
      <c r="G22" s="296"/>
      <c r="H22" s="296"/>
    </row>
    <row r="23" spans="1:8" ht="15.75" x14ac:dyDescent="0.25">
      <c r="A23" s="224" t="s">
        <v>704</v>
      </c>
      <c r="B23" s="224"/>
      <c r="C23" s="224"/>
      <c r="D23" s="224"/>
      <c r="E23" s="228"/>
      <c r="F23" s="229"/>
      <c r="G23" s="672" t="s">
        <v>705</v>
      </c>
      <c r="H23" s="672"/>
    </row>
    <row r="24" spans="1:8" ht="15.75" x14ac:dyDescent="0.25">
      <c r="A24" s="224"/>
      <c r="B24" s="224"/>
      <c r="C24" s="224"/>
      <c r="D24" s="224"/>
      <c r="E24" s="228"/>
      <c r="F24" s="229"/>
      <c r="G24" s="224"/>
      <c r="H24" s="224"/>
    </row>
    <row r="25" spans="1:8" ht="15.75" x14ac:dyDescent="0.25">
      <c r="A25" s="224" t="s">
        <v>706</v>
      </c>
      <c r="B25" s="224"/>
      <c r="C25" s="224"/>
      <c r="D25" s="224"/>
      <c r="E25" s="228"/>
      <c r="F25" s="229"/>
      <c r="G25" s="673" t="s">
        <v>707</v>
      </c>
      <c r="H25" s="673"/>
    </row>
    <row r="27" spans="1:8" x14ac:dyDescent="0.25">
      <c r="A27" t="s">
        <v>832</v>
      </c>
      <c r="G27" t="s">
        <v>833</v>
      </c>
    </row>
  </sheetData>
  <mergeCells count="4">
    <mergeCell ref="A2:H3"/>
    <mergeCell ref="A17:C17"/>
    <mergeCell ref="G23:H23"/>
    <mergeCell ref="G25:H25"/>
  </mergeCells>
  <pageMargins left="0.7" right="0.7" top="0.75" bottom="0.75" header="0.3" footer="0.3"/>
  <pageSetup paperSize="9" scale="7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selection activeCell="R8" sqref="R8"/>
    </sheetView>
  </sheetViews>
  <sheetFormatPr defaultRowHeight="15" x14ac:dyDescent="0.25"/>
  <cols>
    <col min="1" max="1" width="40.7109375" customWidth="1"/>
    <col min="2" max="2" width="17.140625" customWidth="1"/>
    <col min="3" max="3" width="19" customWidth="1"/>
    <col min="4" max="4" width="20.42578125" customWidth="1"/>
    <col min="5" max="5" width="17.85546875" customWidth="1"/>
    <col min="6" max="6" width="15.42578125" customWidth="1"/>
    <col min="7" max="7" width="19.7109375" customWidth="1"/>
    <col min="8" max="8" width="13.7109375" customWidth="1"/>
    <col min="9" max="9" width="16.140625" customWidth="1"/>
  </cols>
  <sheetData>
    <row r="1" spans="1:10" x14ac:dyDescent="0.25">
      <c r="C1" s="557" t="s">
        <v>784</v>
      </c>
    </row>
    <row r="2" spans="1:10" ht="22.5" x14ac:dyDescent="0.25">
      <c r="A2" s="674" t="s">
        <v>709</v>
      </c>
      <c r="B2" s="674"/>
      <c r="C2" s="674"/>
      <c r="E2" s="677" t="s">
        <v>810</v>
      </c>
      <c r="F2" s="677"/>
      <c r="G2" s="677"/>
    </row>
    <row r="3" spans="1:10" ht="23.25" x14ac:dyDescent="0.25">
      <c r="A3" s="350"/>
      <c r="B3" s="20"/>
      <c r="C3" s="351" t="s">
        <v>710</v>
      </c>
      <c r="E3" s="677"/>
      <c r="F3" s="677"/>
      <c r="G3" s="677"/>
      <c r="H3" s="590"/>
      <c r="I3" s="590"/>
    </row>
    <row r="4" spans="1:10" ht="15.75" x14ac:dyDescent="0.25">
      <c r="A4" s="352" t="s">
        <v>711</v>
      </c>
      <c r="B4" s="267">
        <v>2080</v>
      </c>
      <c r="C4" s="267">
        <v>2111</v>
      </c>
      <c r="E4" s="591"/>
      <c r="F4" s="678" t="s">
        <v>679</v>
      </c>
      <c r="G4" s="678"/>
      <c r="H4" s="680" t="s">
        <v>678</v>
      </c>
      <c r="I4" s="680"/>
    </row>
    <row r="5" spans="1:10" ht="15.75" x14ac:dyDescent="0.25">
      <c r="A5" s="352">
        <v>2610</v>
      </c>
      <c r="B5" s="353"/>
      <c r="C5" s="20"/>
      <c r="E5" s="681" t="s">
        <v>812</v>
      </c>
      <c r="F5" s="681" t="s">
        <v>448</v>
      </c>
      <c r="G5" s="678" t="s">
        <v>813</v>
      </c>
      <c r="H5" s="681" t="s">
        <v>448</v>
      </c>
      <c r="I5" s="678" t="s">
        <v>813</v>
      </c>
    </row>
    <row r="6" spans="1:10" ht="15.75" x14ac:dyDescent="0.25">
      <c r="A6" s="354" t="s">
        <v>90</v>
      </c>
      <c r="B6" s="353">
        <v>1309000</v>
      </c>
      <c r="C6" s="353">
        <v>357500</v>
      </c>
      <c r="E6" s="681"/>
      <c r="F6" s="681"/>
      <c r="G6" s="678"/>
      <c r="H6" s="681"/>
      <c r="I6" s="678"/>
    </row>
    <row r="7" spans="1:10" ht="15.75" x14ac:dyDescent="0.25">
      <c r="A7" s="354" t="s">
        <v>712</v>
      </c>
      <c r="B7" s="353">
        <v>288000</v>
      </c>
      <c r="C7" s="353">
        <v>78650</v>
      </c>
      <c r="E7" s="681"/>
      <c r="F7" s="681"/>
      <c r="G7" s="678"/>
      <c r="H7" s="681"/>
      <c r="I7" s="678"/>
    </row>
    <row r="8" spans="1:10" ht="31.5" x14ac:dyDescent="0.25">
      <c r="A8" s="354" t="s">
        <v>713</v>
      </c>
      <c r="B8" s="355"/>
      <c r="C8" s="20"/>
      <c r="E8" s="580">
        <v>1</v>
      </c>
      <c r="F8" s="618">
        <v>2</v>
      </c>
      <c r="G8" s="617">
        <v>3</v>
      </c>
      <c r="H8" s="617"/>
      <c r="I8" s="598"/>
    </row>
    <row r="9" spans="1:10" ht="31.5" x14ac:dyDescent="0.25">
      <c r="A9" s="354" t="s">
        <v>46</v>
      </c>
      <c r="B9" s="355">
        <v>1599300</v>
      </c>
      <c r="C9" s="20"/>
      <c r="E9" s="600" t="s">
        <v>814</v>
      </c>
      <c r="F9" s="601">
        <v>3.25</v>
      </c>
      <c r="G9" s="602">
        <f>F9*20000*12</f>
        <v>780000</v>
      </c>
      <c r="H9" s="175">
        <v>7.5</v>
      </c>
      <c r="I9" s="603">
        <f>H9*20000*12</f>
        <v>1800000</v>
      </c>
      <c r="J9">
        <v>10.75</v>
      </c>
    </row>
    <row r="10" spans="1:10" ht="15.75" x14ac:dyDescent="0.25">
      <c r="A10" s="354" t="s">
        <v>714</v>
      </c>
      <c r="B10" s="355"/>
      <c r="C10" s="20"/>
      <c r="E10" s="600" t="s">
        <v>815</v>
      </c>
      <c r="F10" s="601">
        <v>1</v>
      </c>
      <c r="G10" s="602">
        <f>F10*13500*12</f>
        <v>162000</v>
      </c>
      <c r="H10" s="175">
        <v>8</v>
      </c>
      <c r="I10" s="603">
        <f>H10*13500*12</f>
        <v>1296000</v>
      </c>
      <c r="J10">
        <v>9</v>
      </c>
    </row>
    <row r="11" spans="1:10" ht="15.75" x14ac:dyDescent="0.25">
      <c r="A11" s="354" t="s">
        <v>47</v>
      </c>
      <c r="B11" s="355"/>
      <c r="C11" s="20"/>
      <c r="E11" s="600" t="s">
        <v>816</v>
      </c>
      <c r="F11" s="601"/>
      <c r="G11" s="602"/>
      <c r="H11" s="617"/>
      <c r="I11" s="598"/>
    </row>
    <row r="12" spans="1:10" ht="15.75" x14ac:dyDescent="0.25">
      <c r="A12" s="356" t="s">
        <v>715</v>
      </c>
      <c r="B12" s="357">
        <v>15137800</v>
      </c>
      <c r="C12" s="20"/>
      <c r="E12" s="600" t="s">
        <v>817</v>
      </c>
      <c r="F12" s="601"/>
      <c r="G12" s="602"/>
      <c r="H12" s="617"/>
      <c r="I12" s="598"/>
    </row>
    <row r="13" spans="1:10" ht="15.75" x14ac:dyDescent="0.25">
      <c r="A13" s="356" t="s">
        <v>716</v>
      </c>
      <c r="B13" s="357"/>
      <c r="C13" s="20"/>
      <c r="E13" s="600" t="s">
        <v>818</v>
      </c>
      <c r="F13" s="601"/>
      <c r="G13" s="602"/>
      <c r="H13" s="617"/>
      <c r="I13" s="598"/>
    </row>
    <row r="14" spans="1:10" ht="31.5" x14ac:dyDescent="0.25">
      <c r="A14" s="356" t="s">
        <v>692</v>
      </c>
      <c r="B14" s="357">
        <v>600000</v>
      </c>
      <c r="C14" s="20"/>
      <c r="E14" s="604"/>
      <c r="F14" s="605" t="s">
        <v>257</v>
      </c>
      <c r="G14" s="606">
        <f>SUM(G9:G13)</f>
        <v>942000</v>
      </c>
      <c r="H14" s="606"/>
      <c r="I14" s="606">
        <f>SUM(I9:I13)</f>
        <v>3096000</v>
      </c>
    </row>
    <row r="15" spans="1:10" ht="15.75" x14ac:dyDescent="0.25">
      <c r="A15" s="356" t="s">
        <v>693</v>
      </c>
      <c r="B15" s="357">
        <v>3500000</v>
      </c>
      <c r="C15" s="20"/>
      <c r="E15" s="677" t="s">
        <v>819</v>
      </c>
      <c r="F15" s="677"/>
      <c r="G15" s="677"/>
    </row>
    <row r="16" spans="1:10" ht="15.75" x14ac:dyDescent="0.25">
      <c r="A16" s="356" t="s">
        <v>717</v>
      </c>
      <c r="B16" s="357">
        <v>1100531</v>
      </c>
      <c r="C16" s="20"/>
      <c r="E16" s="677"/>
      <c r="F16" s="677"/>
      <c r="G16" s="677"/>
    </row>
    <row r="17" spans="1:9" ht="31.5" x14ac:dyDescent="0.25">
      <c r="A17" s="356" t="s">
        <v>694</v>
      </c>
      <c r="B17" s="357">
        <v>200000</v>
      </c>
      <c r="C17" s="20"/>
      <c r="E17" s="677" t="s">
        <v>811</v>
      </c>
      <c r="F17" s="677"/>
      <c r="G17" s="677"/>
    </row>
    <row r="18" spans="1:9" ht="15.75" x14ac:dyDescent="0.25">
      <c r="A18" s="358" t="s">
        <v>718</v>
      </c>
      <c r="B18" s="355"/>
      <c r="C18" s="357">
        <v>10620000</v>
      </c>
      <c r="E18" s="591"/>
      <c r="F18" s="679" t="s">
        <v>679</v>
      </c>
      <c r="G18" s="679"/>
      <c r="H18" s="682" t="s">
        <v>678</v>
      </c>
      <c r="I18" s="682"/>
    </row>
    <row r="19" spans="1:9" ht="15.75" x14ac:dyDescent="0.25">
      <c r="A19" s="358" t="s">
        <v>227</v>
      </c>
      <c r="B19" s="355"/>
      <c r="C19" s="359"/>
      <c r="E19" s="681" t="s">
        <v>812</v>
      </c>
      <c r="F19" s="681" t="s">
        <v>448</v>
      </c>
      <c r="G19" s="678" t="s">
        <v>813</v>
      </c>
      <c r="H19" s="681" t="s">
        <v>448</v>
      </c>
      <c r="I19" s="678" t="s">
        <v>813</v>
      </c>
    </row>
    <row r="20" spans="1:9" ht="15.75" x14ac:dyDescent="0.25">
      <c r="A20" s="360" t="s">
        <v>719</v>
      </c>
      <c r="B20" s="353">
        <f>SUM(B6:B19)</f>
        <v>23734631</v>
      </c>
      <c r="C20" s="353">
        <f>SUM(C6:C19)</f>
        <v>11056150</v>
      </c>
      <c r="D20" s="223">
        <f>SUM(B20:C20)</f>
        <v>34790781</v>
      </c>
      <c r="E20" s="681"/>
      <c r="F20" s="681"/>
      <c r="G20" s="678"/>
      <c r="H20" s="681"/>
      <c r="I20" s="678"/>
    </row>
    <row r="21" spans="1:9" ht="18.75" x14ac:dyDescent="0.3">
      <c r="A21" s="361"/>
      <c r="B21" s="362"/>
      <c r="C21" s="20"/>
      <c r="E21" s="681"/>
      <c r="F21" s="681"/>
      <c r="G21" s="678"/>
      <c r="H21" s="681"/>
      <c r="I21" s="678"/>
    </row>
    <row r="22" spans="1:9" ht="15.75" x14ac:dyDescent="0.25">
      <c r="A22" s="363"/>
      <c r="B22" s="364"/>
      <c r="C22" s="177"/>
      <c r="E22" s="580">
        <v>1</v>
      </c>
      <c r="F22" s="618">
        <v>2</v>
      </c>
      <c r="G22" s="617">
        <v>3</v>
      </c>
      <c r="H22" s="617"/>
      <c r="I22" s="598"/>
    </row>
    <row r="23" spans="1:9" ht="15.75" x14ac:dyDescent="0.25">
      <c r="A23" s="675" t="s">
        <v>720</v>
      </c>
      <c r="B23" s="675"/>
      <c r="C23" s="554" t="s">
        <v>705</v>
      </c>
      <c r="D23" s="365"/>
      <c r="E23" s="600" t="s">
        <v>814</v>
      </c>
      <c r="F23" s="601">
        <v>3.25</v>
      </c>
      <c r="G23" s="602">
        <f>G9*22%</f>
        <v>171600</v>
      </c>
      <c r="H23" s="175">
        <v>7.5</v>
      </c>
      <c r="I23" s="603">
        <f>I9*22%</f>
        <v>396000</v>
      </c>
    </row>
    <row r="24" spans="1:9" ht="15.75" x14ac:dyDescent="0.25">
      <c r="A24" s="363"/>
      <c r="B24" s="363"/>
      <c r="C24" s="555"/>
      <c r="E24" s="600" t="s">
        <v>815</v>
      </c>
      <c r="F24" s="601">
        <v>1</v>
      </c>
      <c r="G24" s="602">
        <f>G10*22%</f>
        <v>35640</v>
      </c>
      <c r="H24" s="175">
        <v>8</v>
      </c>
      <c r="I24" s="603">
        <f>I10*22%</f>
        <v>285120</v>
      </c>
    </row>
    <row r="25" spans="1:9" ht="15.75" x14ac:dyDescent="0.25">
      <c r="A25" s="675" t="s">
        <v>706</v>
      </c>
      <c r="B25" s="675"/>
      <c r="C25" s="554" t="s">
        <v>707</v>
      </c>
      <c r="D25" s="365"/>
      <c r="E25" s="600" t="s">
        <v>816</v>
      </c>
      <c r="F25" s="601"/>
      <c r="G25" s="602"/>
      <c r="H25" s="617"/>
      <c r="I25" s="598"/>
    </row>
    <row r="26" spans="1:9" ht="15.75" x14ac:dyDescent="0.25">
      <c r="A26" s="676"/>
      <c r="B26" s="676"/>
      <c r="C26" s="177"/>
      <c r="E26" s="600" t="s">
        <v>817</v>
      </c>
      <c r="F26" s="601"/>
      <c r="G26" s="602"/>
      <c r="H26" s="617"/>
      <c r="I26" s="598"/>
    </row>
    <row r="27" spans="1:9" ht="15.75" x14ac:dyDescent="0.25">
      <c r="A27" s="366"/>
      <c r="B27" s="366"/>
      <c r="C27" s="177"/>
      <c r="E27" s="600" t="s">
        <v>818</v>
      </c>
      <c r="F27" s="601"/>
      <c r="G27" s="602"/>
      <c r="H27" s="617"/>
      <c r="I27" s="598"/>
    </row>
    <row r="28" spans="1:9" ht="15.75" x14ac:dyDescent="0.25">
      <c r="E28" s="604"/>
      <c r="F28" s="605" t="s">
        <v>257</v>
      </c>
      <c r="G28" s="606">
        <f>SUM(G23:G27)</f>
        <v>207240</v>
      </c>
      <c r="H28" s="606"/>
      <c r="I28" s="606">
        <f>SUM(I23:I27)</f>
        <v>681120</v>
      </c>
    </row>
  </sheetData>
  <mergeCells count="21">
    <mergeCell ref="H18:I18"/>
    <mergeCell ref="E19:E21"/>
    <mergeCell ref="F19:F21"/>
    <mergeCell ref="G19:G21"/>
    <mergeCell ref="H19:H21"/>
    <mergeCell ref="I19:I21"/>
    <mergeCell ref="H4:I4"/>
    <mergeCell ref="E5:E7"/>
    <mergeCell ref="F5:F7"/>
    <mergeCell ref="G5:G7"/>
    <mergeCell ref="H5:H7"/>
    <mergeCell ref="I5:I7"/>
    <mergeCell ref="A2:C2"/>
    <mergeCell ref="A23:B23"/>
    <mergeCell ref="A25:B25"/>
    <mergeCell ref="A26:B26"/>
    <mergeCell ref="E2:G3"/>
    <mergeCell ref="F4:G4"/>
    <mergeCell ref="E15:G16"/>
    <mergeCell ref="E17:G17"/>
    <mergeCell ref="F18:G18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2"/>
  <sheetViews>
    <sheetView topLeftCell="A49" workbookViewId="0">
      <selection activeCell="A49" sqref="A49:C50"/>
    </sheetView>
  </sheetViews>
  <sheetFormatPr defaultRowHeight="15" x14ac:dyDescent="0.25"/>
  <cols>
    <col min="1" max="1" width="41.85546875" customWidth="1"/>
    <col min="2" max="2" width="19.5703125" customWidth="1"/>
    <col min="3" max="3" width="20.140625" customWidth="1"/>
    <col min="4" max="4" width="15" customWidth="1"/>
    <col min="5" max="5" width="17.7109375" customWidth="1"/>
    <col min="7" max="7" width="31.85546875" customWidth="1"/>
    <col min="8" max="8" width="10.7109375" customWidth="1"/>
    <col min="9" max="9" width="18.7109375" customWidth="1"/>
    <col min="11" max="11" width="14.7109375" customWidth="1"/>
  </cols>
  <sheetData>
    <row r="1" spans="1:3" ht="22.5" x14ac:dyDescent="0.25">
      <c r="A1" s="674" t="s">
        <v>709</v>
      </c>
      <c r="B1" s="674"/>
      <c r="C1" s="674"/>
    </row>
    <row r="2" spans="1:3" ht="23.25" x14ac:dyDescent="0.25">
      <c r="A2" s="350"/>
      <c r="B2" s="20"/>
      <c r="C2" s="351" t="s">
        <v>710</v>
      </c>
    </row>
    <row r="3" spans="1:3" ht="15.75" x14ac:dyDescent="0.25">
      <c r="A3" s="352" t="s">
        <v>711</v>
      </c>
      <c r="B3" s="267">
        <v>2080</v>
      </c>
      <c r="C3" s="267">
        <v>2111</v>
      </c>
    </row>
    <row r="4" spans="1:3" ht="15.75" x14ac:dyDescent="0.25">
      <c r="A4" s="352">
        <v>2610</v>
      </c>
      <c r="B4" s="353"/>
      <c r="C4" s="20"/>
    </row>
    <row r="5" spans="1:3" ht="15.75" x14ac:dyDescent="0.25">
      <c r="A5" s="354" t="s">
        <v>90</v>
      </c>
      <c r="B5" s="353">
        <v>1309000</v>
      </c>
      <c r="C5" s="353">
        <v>357500</v>
      </c>
    </row>
    <row r="6" spans="1:3" ht="15.75" x14ac:dyDescent="0.25">
      <c r="A6" s="354" t="s">
        <v>712</v>
      </c>
      <c r="B6" s="353">
        <v>288000</v>
      </c>
      <c r="C6" s="353">
        <v>78650</v>
      </c>
    </row>
    <row r="7" spans="1:3" ht="31.5" x14ac:dyDescent="0.25">
      <c r="A7" s="354" t="s">
        <v>713</v>
      </c>
      <c r="B7" s="355"/>
      <c r="C7" s="20"/>
    </row>
    <row r="8" spans="1:3" ht="31.5" x14ac:dyDescent="0.25">
      <c r="A8" s="354" t="s">
        <v>46</v>
      </c>
      <c r="B8" s="355">
        <v>1599300</v>
      </c>
      <c r="C8" s="20"/>
    </row>
    <row r="9" spans="1:3" ht="15.75" x14ac:dyDescent="0.25">
      <c r="A9" s="354" t="s">
        <v>714</v>
      </c>
      <c r="B9" s="355"/>
      <c r="C9" s="20"/>
    </row>
    <row r="10" spans="1:3" ht="15.75" x14ac:dyDescent="0.25">
      <c r="A10" s="354" t="s">
        <v>47</v>
      </c>
      <c r="B10" s="355"/>
      <c r="C10" s="20"/>
    </row>
    <row r="11" spans="1:3" ht="15.75" x14ac:dyDescent="0.25">
      <c r="A11" s="356" t="s">
        <v>715</v>
      </c>
      <c r="B11" s="357">
        <v>15137800</v>
      </c>
      <c r="C11" s="20"/>
    </row>
    <row r="12" spans="1:3" ht="15.75" x14ac:dyDescent="0.25">
      <c r="A12" s="356" t="s">
        <v>716</v>
      </c>
      <c r="B12" s="357"/>
      <c r="C12" s="20"/>
    </row>
    <row r="13" spans="1:3" ht="31.5" x14ac:dyDescent="0.25">
      <c r="A13" s="356" t="s">
        <v>692</v>
      </c>
      <c r="B13" s="357">
        <v>600000</v>
      </c>
      <c r="C13" s="20"/>
    </row>
    <row r="14" spans="1:3" ht="15.75" x14ac:dyDescent="0.25">
      <c r="A14" s="356" t="s">
        <v>693</v>
      </c>
      <c r="B14" s="357">
        <v>3500000</v>
      </c>
      <c r="C14" s="20"/>
    </row>
    <row r="15" spans="1:3" ht="15.75" x14ac:dyDescent="0.25">
      <c r="A15" s="356" t="s">
        <v>717</v>
      </c>
      <c r="B15" s="357">
        <v>1100531</v>
      </c>
      <c r="C15" s="20"/>
    </row>
    <row r="16" spans="1:3" ht="31.5" x14ac:dyDescent="0.25">
      <c r="A16" s="356" t="s">
        <v>694</v>
      </c>
      <c r="B16" s="357">
        <v>200000</v>
      </c>
      <c r="C16" s="20"/>
    </row>
    <row r="17" spans="1:6" ht="15.75" x14ac:dyDescent="0.25">
      <c r="A17" s="358" t="s">
        <v>718</v>
      </c>
      <c r="B17" s="355"/>
      <c r="C17" s="357">
        <v>10620000</v>
      </c>
    </row>
    <row r="18" spans="1:6" ht="15.75" x14ac:dyDescent="0.25">
      <c r="A18" s="358" t="s">
        <v>227</v>
      </c>
      <c r="B18" s="355"/>
      <c r="C18" s="359"/>
    </row>
    <row r="19" spans="1:6" ht="15.75" x14ac:dyDescent="0.25">
      <c r="A19" s="360" t="s">
        <v>719</v>
      </c>
      <c r="B19" s="353">
        <f>SUM(B5:B18)</f>
        <v>23734631</v>
      </c>
      <c r="C19" s="353">
        <f>SUM(C5:C18)</f>
        <v>11056150</v>
      </c>
      <c r="D19" s="223">
        <f>SUM(B19:C19)/12</f>
        <v>2899231.75</v>
      </c>
      <c r="E19" s="223">
        <f>SUM(B19:C19)</f>
        <v>34790781</v>
      </c>
    </row>
    <row r="20" spans="1:6" ht="18.75" x14ac:dyDescent="0.3">
      <c r="A20" s="361"/>
      <c r="B20" s="362"/>
      <c r="C20" s="20"/>
    </row>
    <row r="21" spans="1:6" x14ac:dyDescent="0.25">
      <c r="A21" s="363"/>
      <c r="B21" s="364"/>
      <c r="C21" s="177"/>
    </row>
    <row r="22" spans="1:6" ht="15.75" x14ac:dyDescent="0.25">
      <c r="A22" s="685" t="s">
        <v>720</v>
      </c>
      <c r="B22" s="685"/>
      <c r="C22" s="568" t="s">
        <v>705</v>
      </c>
      <c r="D22" s="568"/>
      <c r="E22" s="568"/>
    </row>
    <row r="23" spans="1:6" x14ac:dyDescent="0.25">
      <c r="A23" s="363"/>
      <c r="B23" s="363"/>
    </row>
    <row r="24" spans="1:6" ht="15.75" x14ac:dyDescent="0.25">
      <c r="A24" s="685" t="s">
        <v>706</v>
      </c>
      <c r="B24" s="685"/>
      <c r="C24" s="568" t="s">
        <v>707</v>
      </c>
      <c r="D24" s="568"/>
      <c r="E24" s="568"/>
    </row>
    <row r="25" spans="1:6" ht="15.75" x14ac:dyDescent="0.25">
      <c r="A25" s="676"/>
      <c r="B25" s="676"/>
      <c r="C25" s="177"/>
    </row>
    <row r="26" spans="1:6" x14ac:dyDescent="0.25">
      <c r="A26" s="366"/>
      <c r="B26" s="366"/>
      <c r="C26" s="177"/>
    </row>
    <row r="28" spans="1:6" ht="15.75" x14ac:dyDescent="0.25">
      <c r="A28" s="686" t="s">
        <v>799</v>
      </c>
      <c r="B28" s="686"/>
      <c r="C28" s="686"/>
      <c r="D28" s="569"/>
      <c r="E28" s="569"/>
      <c r="F28" s="569"/>
    </row>
    <row r="29" spans="1:6" ht="15.75" x14ac:dyDescent="0.25">
      <c r="A29" s="570" t="s">
        <v>800</v>
      </c>
      <c r="B29" s="570"/>
      <c r="C29" s="571" t="s">
        <v>801</v>
      </c>
      <c r="D29" s="570"/>
      <c r="E29" s="570"/>
      <c r="F29" s="570"/>
    </row>
    <row r="30" spans="1:6" ht="15.75" x14ac:dyDescent="0.25">
      <c r="A30" s="572" t="s">
        <v>711</v>
      </c>
      <c r="B30" s="572"/>
      <c r="C30" s="572"/>
      <c r="D30" s="295"/>
      <c r="E30" s="295"/>
      <c r="F30" s="295"/>
    </row>
    <row r="31" spans="1:6" ht="15.75" x14ac:dyDescent="0.25">
      <c r="A31" s="572">
        <v>2610</v>
      </c>
      <c r="B31" s="572">
        <v>2080</v>
      </c>
      <c r="C31" s="572">
        <v>2111</v>
      </c>
      <c r="D31" s="295"/>
      <c r="E31" s="295"/>
      <c r="F31" s="295"/>
    </row>
    <row r="32" spans="1:6" ht="15.75" x14ac:dyDescent="0.25">
      <c r="A32" s="572" t="s">
        <v>802</v>
      </c>
      <c r="B32" s="573">
        <v>15137800</v>
      </c>
      <c r="C32" s="572"/>
      <c r="D32" s="295"/>
      <c r="E32" s="295"/>
      <c r="F32" s="295"/>
    </row>
    <row r="33" spans="1:6" ht="31.5" x14ac:dyDescent="0.25">
      <c r="A33" s="354" t="s">
        <v>692</v>
      </c>
      <c r="B33" s="573">
        <v>600000</v>
      </c>
      <c r="C33" s="572"/>
      <c r="D33" s="295"/>
      <c r="E33" s="295"/>
      <c r="F33" s="295"/>
    </row>
    <row r="34" spans="1:6" ht="15.75" x14ac:dyDescent="0.25">
      <c r="A34" s="354" t="s">
        <v>693</v>
      </c>
      <c r="B34" s="573">
        <v>3500000</v>
      </c>
      <c r="C34" s="572"/>
      <c r="D34" s="295"/>
      <c r="E34" s="295"/>
      <c r="F34" s="295"/>
    </row>
    <row r="35" spans="1:6" ht="15.75" x14ac:dyDescent="0.25">
      <c r="A35" s="354" t="s">
        <v>803</v>
      </c>
      <c r="B35" s="573">
        <v>1100531</v>
      </c>
      <c r="C35" s="572"/>
      <c r="D35" s="295"/>
      <c r="E35" s="295"/>
      <c r="F35" s="295"/>
    </row>
    <row r="36" spans="1:6" ht="31.5" x14ac:dyDescent="0.25">
      <c r="A36" s="354" t="s">
        <v>694</v>
      </c>
      <c r="B36" s="573">
        <v>200000</v>
      </c>
      <c r="C36" s="572"/>
      <c r="D36" s="295"/>
      <c r="E36" s="295"/>
      <c r="F36" s="295"/>
    </row>
    <row r="37" spans="1:6" ht="15.75" x14ac:dyDescent="0.25">
      <c r="A37" s="352" t="s">
        <v>262</v>
      </c>
      <c r="B37" s="574">
        <f>SUM(B32:B36)</f>
        <v>20538331</v>
      </c>
      <c r="C37" s="572"/>
      <c r="D37" s="295"/>
      <c r="E37" s="295"/>
      <c r="F37" s="295"/>
    </row>
    <row r="38" spans="1:6" ht="15.75" x14ac:dyDescent="0.25">
      <c r="A38" s="575"/>
      <c r="B38" s="576"/>
      <c r="C38" s="577"/>
      <c r="D38" s="295"/>
      <c r="E38" s="295"/>
      <c r="F38" s="295"/>
    </row>
    <row r="39" spans="1:6" ht="15.75" x14ac:dyDescent="0.25">
      <c r="A39" s="295"/>
      <c r="B39" s="295"/>
      <c r="C39" s="295"/>
      <c r="D39" s="295"/>
      <c r="E39" s="295"/>
      <c r="F39" s="295"/>
    </row>
    <row r="40" spans="1:6" ht="15.75" x14ac:dyDescent="0.25">
      <c r="A40" s="295"/>
      <c r="B40" s="295"/>
      <c r="C40" s="295"/>
      <c r="D40" s="295"/>
      <c r="E40" s="295"/>
      <c r="F40" s="295"/>
    </row>
    <row r="41" spans="1:6" ht="15.75" x14ac:dyDescent="0.25">
      <c r="A41" s="683" t="s">
        <v>804</v>
      </c>
      <c r="B41" s="683"/>
      <c r="C41" s="683"/>
      <c r="D41" s="578"/>
      <c r="E41" s="578"/>
      <c r="F41" s="578"/>
    </row>
    <row r="42" spans="1:6" ht="15.75" x14ac:dyDescent="0.25">
      <c r="A42" s="683"/>
      <c r="B42" s="683"/>
      <c r="C42" s="683"/>
      <c r="D42" s="579"/>
      <c r="E42" s="577"/>
      <c r="F42" s="577"/>
    </row>
    <row r="43" spans="1:6" ht="15.75" x14ac:dyDescent="0.25">
      <c r="A43" s="580" t="s">
        <v>805</v>
      </c>
      <c r="B43" s="581" t="s">
        <v>806</v>
      </c>
      <c r="C43" s="575"/>
      <c r="D43" s="575"/>
      <c r="E43" s="576"/>
      <c r="F43" s="576"/>
    </row>
    <row r="44" spans="1:6" ht="15.75" x14ac:dyDescent="0.25">
      <c r="A44" s="582" t="s">
        <v>807</v>
      </c>
      <c r="B44" s="583">
        <v>439300</v>
      </c>
      <c r="C44" s="584"/>
      <c r="D44" s="584"/>
      <c r="E44" s="585"/>
      <c r="F44" s="586"/>
    </row>
    <row r="45" spans="1:6" ht="15.75" x14ac:dyDescent="0.25">
      <c r="A45" s="582" t="s">
        <v>808</v>
      </c>
      <c r="B45" s="583">
        <v>1100000</v>
      </c>
      <c r="C45" s="584"/>
      <c r="D45" s="584"/>
      <c r="E45" s="585"/>
      <c r="F45" s="586"/>
    </row>
    <row r="46" spans="1:6" ht="15.75" x14ac:dyDescent="0.25">
      <c r="A46" s="582" t="s">
        <v>809</v>
      </c>
      <c r="B46" s="583">
        <v>60000</v>
      </c>
      <c r="C46" s="584"/>
      <c r="D46" s="584"/>
      <c r="E46" s="585"/>
      <c r="F46" s="586"/>
    </row>
    <row r="47" spans="1:6" ht="15.75" x14ac:dyDescent="0.25">
      <c r="A47" s="587" t="s">
        <v>262</v>
      </c>
      <c r="B47" s="588">
        <f>SUM(B44:B46)</f>
        <v>1599300</v>
      </c>
      <c r="C47" s="584"/>
      <c r="D47" s="584"/>
      <c r="E47" s="584"/>
      <c r="F47" s="589"/>
    </row>
    <row r="48" spans="1:6" ht="15.75" x14ac:dyDescent="0.25">
      <c r="A48" s="295"/>
      <c r="B48" s="295"/>
      <c r="C48" s="295"/>
      <c r="D48" s="295"/>
      <c r="E48" s="295"/>
      <c r="F48" s="295"/>
    </row>
    <row r="49" spans="1:12" ht="15.75" x14ac:dyDescent="0.25">
      <c r="A49" s="677" t="s">
        <v>810</v>
      </c>
      <c r="B49" s="677"/>
      <c r="C49" s="677"/>
      <c r="D49" s="590"/>
      <c r="E49" s="590"/>
      <c r="F49" s="590"/>
    </row>
    <row r="50" spans="1:12" ht="110.25" customHeight="1" x14ac:dyDescent="0.25">
      <c r="A50" s="677"/>
      <c r="B50" s="677"/>
      <c r="C50" s="677"/>
      <c r="D50" s="590"/>
      <c r="E50" s="590"/>
      <c r="F50" s="590"/>
    </row>
    <row r="51" spans="1:12" ht="15.75" x14ac:dyDescent="0.25">
      <c r="A51" s="677" t="s">
        <v>811</v>
      </c>
      <c r="B51" s="677"/>
      <c r="C51" s="677"/>
      <c r="D51" s="590"/>
      <c r="E51" s="590"/>
      <c r="F51" s="590"/>
      <c r="G51" s="677" t="s">
        <v>811</v>
      </c>
      <c r="H51" s="677"/>
      <c r="I51" s="677"/>
      <c r="J51" s="590"/>
      <c r="K51" s="590"/>
    </row>
    <row r="52" spans="1:12" ht="15.75" x14ac:dyDescent="0.25">
      <c r="A52" s="591"/>
      <c r="B52" s="678" t="s">
        <v>679</v>
      </c>
      <c r="C52" s="678"/>
      <c r="D52" s="680" t="s">
        <v>678</v>
      </c>
      <c r="E52" s="680"/>
      <c r="F52" s="592"/>
      <c r="G52" s="591"/>
      <c r="H52" s="678" t="s">
        <v>679</v>
      </c>
      <c r="I52" s="678"/>
      <c r="J52" s="680" t="s">
        <v>678</v>
      </c>
      <c r="K52" s="680"/>
    </row>
    <row r="53" spans="1:12" ht="15.75" x14ac:dyDescent="0.25">
      <c r="A53" s="681" t="s">
        <v>812</v>
      </c>
      <c r="B53" s="681" t="s">
        <v>448</v>
      </c>
      <c r="C53" s="678" t="s">
        <v>813</v>
      </c>
      <c r="D53" s="681" t="s">
        <v>448</v>
      </c>
      <c r="E53" s="678" t="s">
        <v>813</v>
      </c>
      <c r="F53" s="593"/>
      <c r="G53" s="681" t="s">
        <v>812</v>
      </c>
      <c r="H53" s="681" t="s">
        <v>448</v>
      </c>
      <c r="I53" s="678" t="s">
        <v>813</v>
      </c>
      <c r="J53" s="681" t="s">
        <v>448</v>
      </c>
      <c r="K53" s="678" t="s">
        <v>813</v>
      </c>
    </row>
    <row r="54" spans="1:12" ht="15.75" x14ac:dyDescent="0.25">
      <c r="A54" s="681"/>
      <c r="B54" s="681"/>
      <c r="C54" s="678"/>
      <c r="D54" s="681"/>
      <c r="E54" s="678"/>
      <c r="F54" s="594"/>
      <c r="G54" s="681"/>
      <c r="H54" s="681"/>
      <c r="I54" s="678"/>
      <c r="J54" s="681"/>
      <c r="K54" s="678"/>
    </row>
    <row r="55" spans="1:12" ht="15.75" x14ac:dyDescent="0.25">
      <c r="A55" s="681"/>
      <c r="B55" s="681"/>
      <c r="C55" s="678"/>
      <c r="D55" s="681"/>
      <c r="E55" s="678"/>
      <c r="F55" s="595"/>
      <c r="G55" s="681"/>
      <c r="H55" s="681"/>
      <c r="I55" s="678"/>
      <c r="J55" s="681"/>
      <c r="K55" s="678"/>
    </row>
    <row r="56" spans="1:12" ht="15.75" x14ac:dyDescent="0.25">
      <c r="A56" s="580">
        <v>1</v>
      </c>
      <c r="B56" s="596">
        <v>2</v>
      </c>
      <c r="C56" s="597">
        <v>3</v>
      </c>
      <c r="D56" s="597"/>
      <c r="E56" s="598"/>
      <c r="F56" s="599"/>
      <c r="G56" s="580">
        <v>1</v>
      </c>
      <c r="H56" s="596">
        <v>2</v>
      </c>
      <c r="I56" s="597">
        <v>3</v>
      </c>
      <c r="J56" s="597"/>
      <c r="K56" s="598"/>
    </row>
    <row r="57" spans="1:12" ht="15.75" x14ac:dyDescent="0.25">
      <c r="A57" s="600" t="s">
        <v>814</v>
      </c>
      <c r="B57" s="601">
        <v>3.25</v>
      </c>
      <c r="C57" s="602">
        <v>273000</v>
      </c>
      <c r="D57" s="175">
        <v>7.5</v>
      </c>
      <c r="E57" s="603">
        <v>633000</v>
      </c>
      <c r="F57" s="599"/>
      <c r="G57" s="600" t="s">
        <v>814</v>
      </c>
      <c r="H57" s="601">
        <v>3.25</v>
      </c>
      <c r="I57" s="602">
        <f>H57*20000*12</f>
        <v>780000</v>
      </c>
      <c r="J57" s="175">
        <v>7.5</v>
      </c>
      <c r="K57" s="603">
        <f>J57*20000*12</f>
        <v>1800000</v>
      </c>
      <c r="L57">
        <v>10.75</v>
      </c>
    </row>
    <row r="58" spans="1:12" ht="15.75" x14ac:dyDescent="0.25">
      <c r="A58" s="600" t="s">
        <v>815</v>
      </c>
      <c r="B58" s="601">
        <v>1</v>
      </c>
      <c r="C58" s="602">
        <v>84500</v>
      </c>
      <c r="D58" s="175">
        <v>8</v>
      </c>
      <c r="E58" s="603">
        <v>676000</v>
      </c>
      <c r="F58" s="599"/>
      <c r="G58" s="600" t="s">
        <v>815</v>
      </c>
      <c r="H58" s="601">
        <v>1</v>
      </c>
      <c r="I58" s="602">
        <f>H58*13500*12</f>
        <v>162000</v>
      </c>
      <c r="J58" s="175">
        <v>8</v>
      </c>
      <c r="K58" s="603">
        <f>J58*13500*12</f>
        <v>1296000</v>
      </c>
      <c r="L58">
        <v>9</v>
      </c>
    </row>
    <row r="59" spans="1:12" ht="15.75" x14ac:dyDescent="0.25">
      <c r="A59" s="600" t="s">
        <v>816</v>
      </c>
      <c r="B59" s="601"/>
      <c r="C59" s="602"/>
      <c r="D59" s="597"/>
      <c r="E59" s="598"/>
      <c r="F59" s="599"/>
      <c r="G59" s="600" t="s">
        <v>816</v>
      </c>
      <c r="H59" s="601"/>
      <c r="I59" s="602"/>
      <c r="J59" s="597"/>
      <c r="K59" s="598"/>
    </row>
    <row r="60" spans="1:12" ht="15.75" x14ac:dyDescent="0.25">
      <c r="A60" s="600" t="s">
        <v>817</v>
      </c>
      <c r="B60" s="601"/>
      <c r="C60" s="602"/>
      <c r="D60" s="597"/>
      <c r="E60" s="598"/>
      <c r="F60" s="599"/>
      <c r="G60" s="600" t="s">
        <v>817</v>
      </c>
      <c r="H60" s="601"/>
      <c r="I60" s="602"/>
      <c r="J60" s="597"/>
      <c r="K60" s="598"/>
    </row>
    <row r="61" spans="1:12" ht="15.75" x14ac:dyDescent="0.25">
      <c r="A61" s="600" t="s">
        <v>818</v>
      </c>
      <c r="B61" s="601"/>
      <c r="C61" s="602"/>
      <c r="D61" s="597"/>
      <c r="E61" s="598"/>
      <c r="F61" s="599"/>
      <c r="G61" s="600" t="s">
        <v>818</v>
      </c>
      <c r="H61" s="601"/>
      <c r="I61" s="602"/>
      <c r="J61" s="597"/>
      <c r="K61" s="598"/>
    </row>
    <row r="62" spans="1:12" ht="15.75" x14ac:dyDescent="0.25">
      <c r="A62" s="604"/>
      <c r="B62" s="605" t="s">
        <v>257</v>
      </c>
      <c r="C62" s="606">
        <f>SUM(C57:C61)</f>
        <v>357500</v>
      </c>
      <c r="D62" s="606"/>
      <c r="E62" s="606">
        <f>SUM(E57:E61)</f>
        <v>1309000</v>
      </c>
      <c r="F62" s="607"/>
      <c r="G62" s="604"/>
      <c r="H62" s="605" t="s">
        <v>257</v>
      </c>
      <c r="I62" s="606">
        <f>SUM(I57:I61)</f>
        <v>942000</v>
      </c>
      <c r="J62" s="606"/>
      <c r="K62" s="606">
        <f>SUM(K57:K61)</f>
        <v>3096000</v>
      </c>
    </row>
    <row r="63" spans="1:12" ht="15.75" x14ac:dyDescent="0.25">
      <c r="A63" s="677" t="s">
        <v>819</v>
      </c>
      <c r="B63" s="677"/>
      <c r="C63" s="677"/>
      <c r="D63" s="590"/>
      <c r="E63" s="590"/>
      <c r="F63" s="590"/>
    </row>
    <row r="64" spans="1:12" ht="15.75" x14ac:dyDescent="0.25">
      <c r="A64" s="677"/>
      <c r="B64" s="677"/>
      <c r="C64" s="677"/>
      <c r="D64" s="590"/>
      <c r="E64" s="590"/>
      <c r="F64" s="590"/>
    </row>
    <row r="65" spans="1:11" ht="15.75" x14ac:dyDescent="0.25">
      <c r="A65" s="677" t="s">
        <v>811</v>
      </c>
      <c r="B65" s="677"/>
      <c r="C65" s="677"/>
      <c r="D65" s="590"/>
      <c r="E65" s="590"/>
      <c r="F65" s="590"/>
    </row>
    <row r="66" spans="1:11" ht="15.75" x14ac:dyDescent="0.25">
      <c r="A66" s="591"/>
      <c r="B66" s="679" t="s">
        <v>679</v>
      </c>
      <c r="C66" s="679"/>
      <c r="D66" s="682" t="s">
        <v>678</v>
      </c>
      <c r="E66" s="682"/>
      <c r="F66" s="590"/>
      <c r="G66" s="591"/>
      <c r="H66" s="679" t="s">
        <v>679</v>
      </c>
      <c r="I66" s="679"/>
      <c r="J66" s="682" t="s">
        <v>678</v>
      </c>
      <c r="K66" s="682"/>
    </row>
    <row r="67" spans="1:11" ht="15.75" x14ac:dyDescent="0.25">
      <c r="A67" s="681" t="s">
        <v>812</v>
      </c>
      <c r="B67" s="681" t="s">
        <v>448</v>
      </c>
      <c r="C67" s="678" t="s">
        <v>813</v>
      </c>
      <c r="D67" s="681" t="s">
        <v>448</v>
      </c>
      <c r="E67" s="678" t="s">
        <v>813</v>
      </c>
      <c r="F67" s="295"/>
      <c r="G67" s="681" t="s">
        <v>812</v>
      </c>
      <c r="H67" s="681" t="s">
        <v>448</v>
      </c>
      <c r="I67" s="678" t="s">
        <v>813</v>
      </c>
      <c r="J67" s="681" t="s">
        <v>448</v>
      </c>
      <c r="K67" s="678" t="s">
        <v>813</v>
      </c>
    </row>
    <row r="68" spans="1:11" ht="15.75" x14ac:dyDescent="0.25">
      <c r="A68" s="681"/>
      <c r="B68" s="681"/>
      <c r="C68" s="678"/>
      <c r="D68" s="681"/>
      <c r="E68" s="678"/>
      <c r="F68" s="295"/>
      <c r="G68" s="681"/>
      <c r="H68" s="681"/>
      <c r="I68" s="678"/>
      <c r="J68" s="681"/>
      <c r="K68" s="678"/>
    </row>
    <row r="69" spans="1:11" ht="15.75" x14ac:dyDescent="0.25">
      <c r="A69" s="681"/>
      <c r="B69" s="681"/>
      <c r="C69" s="678"/>
      <c r="D69" s="681"/>
      <c r="E69" s="678"/>
      <c r="F69" s="295"/>
      <c r="G69" s="681"/>
      <c r="H69" s="681"/>
      <c r="I69" s="678"/>
      <c r="J69" s="681"/>
      <c r="K69" s="678"/>
    </row>
    <row r="70" spans="1:11" ht="15.75" x14ac:dyDescent="0.25">
      <c r="A70" s="580">
        <v>1</v>
      </c>
      <c r="B70" s="596">
        <v>2</v>
      </c>
      <c r="C70" s="597">
        <v>3</v>
      </c>
      <c r="D70" s="597"/>
      <c r="E70" s="598"/>
      <c r="F70" s="295"/>
      <c r="G70" s="580">
        <v>1</v>
      </c>
      <c r="H70" s="596">
        <v>2</v>
      </c>
      <c r="I70" s="597">
        <v>3</v>
      </c>
      <c r="J70" s="597"/>
      <c r="K70" s="598"/>
    </row>
    <row r="71" spans="1:11" ht="15.75" x14ac:dyDescent="0.25">
      <c r="A71" s="600" t="s">
        <v>814</v>
      </c>
      <c r="B71" s="601">
        <v>3.25</v>
      </c>
      <c r="C71" s="602">
        <v>60060</v>
      </c>
      <c r="D71" s="175">
        <v>7.5</v>
      </c>
      <c r="E71" s="603">
        <v>139260</v>
      </c>
      <c r="F71" s="295"/>
      <c r="G71" s="600" t="s">
        <v>814</v>
      </c>
      <c r="H71" s="601">
        <v>3.25</v>
      </c>
      <c r="I71" s="602">
        <f>I57*22%</f>
        <v>171600</v>
      </c>
      <c r="J71" s="175">
        <v>7.5</v>
      </c>
      <c r="K71" s="603">
        <f>K57*22%</f>
        <v>396000</v>
      </c>
    </row>
    <row r="72" spans="1:11" ht="15.75" x14ac:dyDescent="0.25">
      <c r="A72" s="600" t="s">
        <v>815</v>
      </c>
      <c r="B72" s="601">
        <v>1</v>
      </c>
      <c r="C72" s="602">
        <v>18590</v>
      </c>
      <c r="D72" s="175">
        <v>8</v>
      </c>
      <c r="E72" s="603">
        <v>148740</v>
      </c>
      <c r="F72" s="295"/>
      <c r="G72" s="600" t="s">
        <v>815</v>
      </c>
      <c r="H72" s="601">
        <v>1</v>
      </c>
      <c r="I72" s="602">
        <f>I58*22%</f>
        <v>35640</v>
      </c>
      <c r="J72" s="175">
        <v>8</v>
      </c>
      <c r="K72" s="603">
        <f>K58*22%</f>
        <v>285120</v>
      </c>
    </row>
    <row r="73" spans="1:11" ht="15.75" x14ac:dyDescent="0.25">
      <c r="A73" s="600" t="s">
        <v>816</v>
      </c>
      <c r="B73" s="601"/>
      <c r="C73" s="602"/>
      <c r="D73" s="597"/>
      <c r="E73" s="598"/>
      <c r="F73" s="295"/>
      <c r="G73" s="600" t="s">
        <v>816</v>
      </c>
      <c r="H73" s="601"/>
      <c r="I73" s="602"/>
      <c r="J73" s="597"/>
      <c r="K73" s="598"/>
    </row>
    <row r="74" spans="1:11" ht="15.75" x14ac:dyDescent="0.25">
      <c r="A74" s="600" t="s">
        <v>817</v>
      </c>
      <c r="B74" s="601"/>
      <c r="C74" s="602"/>
      <c r="D74" s="597"/>
      <c r="E74" s="598"/>
      <c r="F74" s="295"/>
      <c r="G74" s="600" t="s">
        <v>817</v>
      </c>
      <c r="H74" s="601"/>
      <c r="I74" s="602"/>
      <c r="J74" s="597"/>
      <c r="K74" s="598"/>
    </row>
    <row r="75" spans="1:11" ht="15.75" x14ac:dyDescent="0.25">
      <c r="A75" s="600" t="s">
        <v>818</v>
      </c>
      <c r="B75" s="601"/>
      <c r="C75" s="602"/>
      <c r="D75" s="597"/>
      <c r="E75" s="598"/>
      <c r="F75" s="295"/>
      <c r="G75" s="600" t="s">
        <v>818</v>
      </c>
      <c r="H75" s="601"/>
      <c r="I75" s="602"/>
      <c r="J75" s="597"/>
      <c r="K75" s="598"/>
    </row>
    <row r="76" spans="1:11" ht="15.75" x14ac:dyDescent="0.25">
      <c r="A76" s="604"/>
      <c r="B76" s="605" t="s">
        <v>257</v>
      </c>
      <c r="C76" s="606">
        <f>SUM(C71:C75)</f>
        <v>78650</v>
      </c>
      <c r="D76" s="606"/>
      <c r="E76" s="606">
        <f>SUM(E71:E75)</f>
        <v>288000</v>
      </c>
      <c r="F76" s="295"/>
      <c r="G76" s="604"/>
      <c r="H76" s="605" t="s">
        <v>257</v>
      </c>
      <c r="I76" s="606">
        <f>SUM(I71:I75)</f>
        <v>207240</v>
      </c>
      <c r="J76" s="606"/>
      <c r="K76" s="606">
        <f>SUM(K71:K75)</f>
        <v>681120</v>
      </c>
    </row>
    <row r="77" spans="1:11" ht="76.5" customHeight="1" x14ac:dyDescent="0.25">
      <c r="A77" s="295"/>
      <c r="B77" s="295"/>
      <c r="C77" s="295"/>
      <c r="D77" s="295"/>
      <c r="E77" s="295"/>
      <c r="F77" s="295"/>
    </row>
    <row r="78" spans="1:11" ht="48.75" customHeight="1" x14ac:dyDescent="0.25">
      <c r="A78" s="683" t="s">
        <v>820</v>
      </c>
      <c r="B78" s="683"/>
      <c r="C78" s="683"/>
      <c r="D78" s="683"/>
      <c r="E78" s="683"/>
      <c r="F78" s="683"/>
    </row>
    <row r="79" spans="1:11" ht="15.75" x14ac:dyDescent="0.25">
      <c r="A79" s="580" t="s">
        <v>805</v>
      </c>
      <c r="B79" s="608" t="s">
        <v>821</v>
      </c>
      <c r="C79" s="581" t="s">
        <v>806</v>
      </c>
      <c r="D79" s="575"/>
      <c r="E79" s="576"/>
    </row>
    <row r="80" spans="1:11" ht="15.75" x14ac:dyDescent="0.25">
      <c r="A80" s="582" t="s">
        <v>822</v>
      </c>
      <c r="B80" s="609" t="s">
        <v>823</v>
      </c>
      <c r="C80" s="610">
        <v>2200000</v>
      </c>
      <c r="D80" s="584"/>
      <c r="E80" s="585"/>
    </row>
    <row r="81" spans="1:5" ht="15.75" x14ac:dyDescent="0.25">
      <c r="A81" s="582" t="s">
        <v>822</v>
      </c>
      <c r="B81" s="609" t="s">
        <v>824</v>
      </c>
      <c r="C81" s="610">
        <v>1800000</v>
      </c>
      <c r="D81" s="584"/>
      <c r="E81" s="585"/>
    </row>
    <row r="82" spans="1:5" ht="15.75" x14ac:dyDescent="0.25">
      <c r="A82" s="611" t="s">
        <v>825</v>
      </c>
      <c r="B82" s="609" t="s">
        <v>826</v>
      </c>
      <c r="C82" s="610">
        <v>3800000</v>
      </c>
      <c r="D82" s="584"/>
      <c r="E82" s="585"/>
    </row>
    <row r="83" spans="1:5" ht="15.75" x14ac:dyDescent="0.25">
      <c r="A83" s="611" t="s">
        <v>827</v>
      </c>
      <c r="B83" s="609" t="s">
        <v>828</v>
      </c>
      <c r="C83" s="610">
        <v>1000000</v>
      </c>
      <c r="D83" s="584"/>
      <c r="E83" s="585"/>
    </row>
    <row r="84" spans="1:5" ht="15.75" x14ac:dyDescent="0.25">
      <c r="A84" s="611" t="s">
        <v>827</v>
      </c>
      <c r="B84" s="609" t="s">
        <v>829</v>
      </c>
      <c r="C84" s="610">
        <v>200000</v>
      </c>
      <c r="D84" s="584"/>
      <c r="E84" s="585"/>
    </row>
    <row r="85" spans="1:5" ht="47.25" x14ac:dyDescent="0.25">
      <c r="A85" s="611" t="s">
        <v>827</v>
      </c>
      <c r="B85" s="612" t="s">
        <v>830</v>
      </c>
      <c r="C85" s="610">
        <v>380000</v>
      </c>
      <c r="D85" s="584"/>
      <c r="E85" s="585"/>
    </row>
    <row r="86" spans="1:5" ht="15.75" x14ac:dyDescent="0.25">
      <c r="A86" s="354" t="s">
        <v>831</v>
      </c>
      <c r="B86" s="609" t="s">
        <v>826</v>
      </c>
      <c r="C86" s="610">
        <v>1000000</v>
      </c>
      <c r="D86" s="584"/>
      <c r="E86" s="584"/>
    </row>
    <row r="87" spans="1:5" ht="15.75" x14ac:dyDescent="0.25">
      <c r="A87" s="354" t="s">
        <v>831</v>
      </c>
      <c r="B87" s="609" t="s">
        <v>828</v>
      </c>
      <c r="C87" s="613">
        <v>240000</v>
      </c>
      <c r="D87" s="577"/>
      <c r="E87" s="577"/>
    </row>
    <row r="88" spans="1:5" ht="15.75" x14ac:dyDescent="0.25">
      <c r="A88" s="581" t="s">
        <v>257</v>
      </c>
      <c r="B88" s="581"/>
      <c r="C88" s="614">
        <f>SUM(C80:C87)</f>
        <v>10620000</v>
      </c>
      <c r="D88" s="295"/>
      <c r="E88" s="295"/>
    </row>
    <row r="89" spans="1:5" ht="15.75" x14ac:dyDescent="0.25">
      <c r="A89" s="577"/>
      <c r="B89" s="577"/>
      <c r="C89" s="615"/>
      <c r="D89" s="295"/>
      <c r="E89" s="295"/>
    </row>
    <row r="90" spans="1:5" ht="15.75" x14ac:dyDescent="0.25">
      <c r="A90" s="684" t="s">
        <v>704</v>
      </c>
      <c r="B90" s="684"/>
      <c r="C90" s="568" t="s">
        <v>705</v>
      </c>
      <c r="D90" s="568"/>
      <c r="E90" s="568"/>
    </row>
    <row r="91" spans="1:5" ht="15.75" x14ac:dyDescent="0.25">
      <c r="A91" s="616"/>
      <c r="B91" s="616"/>
      <c r="C91" s="616"/>
      <c r="D91" s="616"/>
      <c r="E91" s="616"/>
    </row>
    <row r="92" spans="1:5" ht="15.75" x14ac:dyDescent="0.25">
      <c r="A92" s="685" t="s">
        <v>706</v>
      </c>
      <c r="B92" s="685"/>
      <c r="C92" s="568" t="s">
        <v>707</v>
      </c>
      <c r="D92" s="568"/>
      <c r="E92" s="568"/>
    </row>
  </sheetData>
  <mergeCells count="42">
    <mergeCell ref="A41:C42"/>
    <mergeCell ref="A1:C1"/>
    <mergeCell ref="A22:B22"/>
    <mergeCell ref="A24:B24"/>
    <mergeCell ref="A25:B25"/>
    <mergeCell ref="A28:C28"/>
    <mergeCell ref="A49:C50"/>
    <mergeCell ref="A51:C51"/>
    <mergeCell ref="B52:C52"/>
    <mergeCell ref="D52:E52"/>
    <mergeCell ref="A53:A55"/>
    <mergeCell ref="B53:B55"/>
    <mergeCell ref="C53:C55"/>
    <mergeCell ref="D53:D55"/>
    <mergeCell ref="E53:E55"/>
    <mergeCell ref="J52:K52"/>
    <mergeCell ref="G53:G55"/>
    <mergeCell ref="H53:H55"/>
    <mergeCell ref="I53:I55"/>
    <mergeCell ref="J53:J55"/>
    <mergeCell ref="K53:K55"/>
    <mergeCell ref="A78:F78"/>
    <mergeCell ref="A90:B90"/>
    <mergeCell ref="A92:B92"/>
    <mergeCell ref="G51:I51"/>
    <mergeCell ref="H52:I52"/>
    <mergeCell ref="A63:C64"/>
    <mergeCell ref="A65:C65"/>
    <mergeCell ref="B66:C66"/>
    <mergeCell ref="D66:E66"/>
    <mergeCell ref="A67:A69"/>
    <mergeCell ref="B67:B69"/>
    <mergeCell ref="C67:C69"/>
    <mergeCell ref="D67:D69"/>
    <mergeCell ref="E67:E69"/>
    <mergeCell ref="H66:I66"/>
    <mergeCell ref="J66:K66"/>
    <mergeCell ref="G67:G69"/>
    <mergeCell ref="H67:H69"/>
    <mergeCell ref="I67:I69"/>
    <mergeCell ref="J67:J69"/>
    <mergeCell ref="K67:K69"/>
  </mergeCells>
  <pageMargins left="0.7" right="0.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topLeftCell="A19" workbookViewId="0">
      <selection activeCell="A49" sqref="A49:XFD49"/>
    </sheetView>
  </sheetViews>
  <sheetFormatPr defaultRowHeight="15" x14ac:dyDescent="0.25"/>
  <cols>
    <col min="1" max="1" width="30.5703125" customWidth="1"/>
    <col min="2" max="2" width="11.5703125" customWidth="1"/>
    <col min="3" max="3" width="10.85546875" customWidth="1"/>
    <col min="5" max="5" width="15" customWidth="1"/>
    <col min="6" max="6" width="14" customWidth="1"/>
    <col min="7" max="7" width="14.28515625" customWidth="1"/>
    <col min="8" max="8" width="13.42578125" customWidth="1"/>
    <col min="9" max="9" width="14.85546875" customWidth="1"/>
    <col min="10" max="10" width="13.7109375" customWidth="1"/>
  </cols>
  <sheetData>
    <row r="1" spans="1:10" x14ac:dyDescent="0.25">
      <c r="J1" s="556" t="s">
        <v>783</v>
      </c>
    </row>
    <row r="2" spans="1:10" x14ac:dyDescent="0.25">
      <c r="A2" s="687" t="s">
        <v>721</v>
      </c>
      <c r="B2" s="687"/>
      <c r="C2" s="687"/>
      <c r="D2" s="687"/>
      <c r="E2" s="687"/>
      <c r="F2" s="687"/>
      <c r="G2" s="687"/>
      <c r="H2" s="687"/>
      <c r="I2" s="687"/>
      <c r="J2" s="687"/>
    </row>
    <row r="3" spans="1:10" ht="37.5" customHeight="1" x14ac:dyDescent="0.25">
      <c r="A3" s="7"/>
      <c r="B3" s="7"/>
      <c r="C3" s="8" t="s">
        <v>222</v>
      </c>
      <c r="D3" s="8" t="s">
        <v>722</v>
      </c>
      <c r="E3" s="8" t="s">
        <v>223</v>
      </c>
      <c r="F3" s="8" t="s">
        <v>224</v>
      </c>
      <c r="G3" s="8" t="s">
        <v>225</v>
      </c>
      <c r="H3" s="8" t="s">
        <v>226</v>
      </c>
      <c r="I3" s="8" t="s">
        <v>227</v>
      </c>
      <c r="J3" s="8" t="s">
        <v>723</v>
      </c>
    </row>
    <row r="4" spans="1:10" x14ac:dyDescent="0.25">
      <c r="A4" s="9" t="s">
        <v>228</v>
      </c>
      <c r="B4" s="10" t="s">
        <v>229</v>
      </c>
      <c r="C4" s="367">
        <v>2200</v>
      </c>
      <c r="D4" s="13"/>
      <c r="E4" s="11">
        <v>1218</v>
      </c>
      <c r="F4" s="11">
        <v>58</v>
      </c>
      <c r="G4" s="11">
        <v>5</v>
      </c>
      <c r="H4" s="11">
        <v>919</v>
      </c>
      <c r="I4" s="11">
        <v>2200</v>
      </c>
      <c r="J4" s="11"/>
    </row>
    <row r="5" spans="1:10" x14ac:dyDescent="0.25">
      <c r="A5" s="7" t="s">
        <v>724</v>
      </c>
      <c r="B5" s="10"/>
      <c r="C5" s="11"/>
      <c r="D5" s="13"/>
      <c r="E5" s="11"/>
      <c r="F5" s="11"/>
      <c r="G5" s="11"/>
      <c r="H5" s="11"/>
      <c r="I5" s="11"/>
      <c r="J5" s="11"/>
    </row>
    <row r="6" spans="1:10" x14ac:dyDescent="0.25">
      <c r="A6" s="7" t="s">
        <v>230</v>
      </c>
      <c r="B6" s="10"/>
      <c r="C6" s="12">
        <v>3607.68</v>
      </c>
      <c r="D6" s="13"/>
      <c r="E6" s="13"/>
      <c r="F6" s="13"/>
      <c r="G6" s="13"/>
      <c r="H6" s="13"/>
      <c r="I6" s="13"/>
      <c r="J6" s="11"/>
    </row>
    <row r="7" spans="1:10" x14ac:dyDescent="0.25">
      <c r="A7" s="7" t="s">
        <v>231</v>
      </c>
      <c r="B7" s="10"/>
      <c r="C7" s="368">
        <f>C4*C6</f>
        <v>7936896</v>
      </c>
      <c r="D7" s="13">
        <v>6467709</v>
      </c>
      <c r="E7" s="13">
        <f>E4*C6</f>
        <v>4394154.24</v>
      </c>
      <c r="F7" s="13">
        <f>F4*C6</f>
        <v>209245.44</v>
      </c>
      <c r="G7" s="13">
        <f>G4*C6</f>
        <v>18038.399999999998</v>
      </c>
      <c r="H7" s="13">
        <f>H4*C6</f>
        <v>3315457.92</v>
      </c>
      <c r="I7" s="13">
        <f>SUM(D7:H7)</f>
        <v>14404605</v>
      </c>
      <c r="J7" s="11"/>
    </row>
    <row r="8" spans="1:10" ht="38.25" customHeight="1" x14ac:dyDescent="0.25">
      <c r="A8" s="369" t="s">
        <v>725</v>
      </c>
      <c r="B8" s="51" t="s">
        <v>229</v>
      </c>
      <c r="C8" s="13"/>
      <c r="D8" s="13"/>
      <c r="E8" s="13"/>
      <c r="F8" s="13"/>
      <c r="G8" s="13"/>
      <c r="H8" s="13"/>
      <c r="I8" s="13"/>
      <c r="J8" s="13"/>
    </row>
    <row r="9" spans="1:10" x14ac:dyDescent="0.25">
      <c r="A9" s="7" t="s">
        <v>230</v>
      </c>
      <c r="B9" s="51"/>
      <c r="C9" s="12">
        <v>37451.54</v>
      </c>
      <c r="D9" s="13"/>
      <c r="E9" s="13"/>
      <c r="F9" s="13"/>
      <c r="G9" s="13"/>
      <c r="H9" s="13"/>
      <c r="I9" s="13"/>
      <c r="J9" s="13"/>
    </row>
    <row r="10" spans="1:10" x14ac:dyDescent="0.25">
      <c r="A10" s="7" t="s">
        <v>231</v>
      </c>
      <c r="B10" s="51"/>
      <c r="C10" s="368">
        <f>C9*12</f>
        <v>449418.48</v>
      </c>
      <c r="D10" s="13"/>
      <c r="E10" s="13">
        <f>C9*3</f>
        <v>112354.62</v>
      </c>
      <c r="F10" s="13">
        <f>C9*3</f>
        <v>112354.62</v>
      </c>
      <c r="G10" s="13">
        <f>C9*3</f>
        <v>112354.62</v>
      </c>
      <c r="H10" s="13">
        <f>C9*3</f>
        <v>112354.62</v>
      </c>
      <c r="I10" s="13">
        <f>H10+G10+F10+E10</f>
        <v>449418.48</v>
      </c>
      <c r="J10" s="13"/>
    </row>
    <row r="11" spans="1:10" x14ac:dyDescent="0.25">
      <c r="A11" s="9" t="s">
        <v>232</v>
      </c>
      <c r="B11" s="51" t="s">
        <v>233</v>
      </c>
      <c r="C11" s="367">
        <v>1300</v>
      </c>
      <c r="D11" s="13"/>
      <c r="E11" s="13">
        <v>438</v>
      </c>
      <c r="F11" s="13">
        <v>271</v>
      </c>
      <c r="G11" s="13">
        <v>205</v>
      </c>
      <c r="H11" s="13">
        <v>386</v>
      </c>
      <c r="I11" s="13">
        <f>SUM(E11:H11)</f>
        <v>1300</v>
      </c>
      <c r="J11" s="13"/>
    </row>
    <row r="12" spans="1:10" x14ac:dyDescent="0.25">
      <c r="A12" s="7" t="s">
        <v>230</v>
      </c>
      <c r="B12" s="51"/>
      <c r="C12" s="12">
        <v>218.29</v>
      </c>
      <c r="D12" s="13"/>
      <c r="E12" s="13"/>
      <c r="F12" s="13"/>
      <c r="G12" s="13"/>
      <c r="H12" s="13"/>
      <c r="I12" s="13"/>
      <c r="J12" s="13"/>
    </row>
    <row r="13" spans="1:10" x14ac:dyDescent="0.25">
      <c r="A13" s="7" t="s">
        <v>231</v>
      </c>
      <c r="B13" s="51"/>
      <c r="C13" s="368">
        <f>C11*C12</f>
        <v>283777</v>
      </c>
      <c r="D13" s="13"/>
      <c r="E13" s="13">
        <f>E11*C12</f>
        <v>95611.01999999999</v>
      </c>
      <c r="F13" s="13">
        <f>F11*C12</f>
        <v>59156.59</v>
      </c>
      <c r="G13" s="13">
        <f>G11*C12</f>
        <v>44749.45</v>
      </c>
      <c r="H13" s="13">
        <f>H11*C12</f>
        <v>84259.94</v>
      </c>
      <c r="I13" s="13">
        <f>SUM(E13:H13)</f>
        <v>283777</v>
      </c>
      <c r="J13" s="13"/>
    </row>
    <row r="14" spans="1:10" x14ac:dyDescent="0.25">
      <c r="A14" s="14" t="s">
        <v>234</v>
      </c>
      <c r="B14" s="51"/>
      <c r="C14" s="370">
        <f>C7+C10+C13</f>
        <v>8670091.4800000004</v>
      </c>
      <c r="D14" s="371"/>
      <c r="E14" s="15">
        <f>SUM(E7+E10+E13)</f>
        <v>4602119.88</v>
      </c>
      <c r="F14" s="15">
        <f>SUM(F7+F10+F13)</f>
        <v>380756.65</v>
      </c>
      <c r="G14" s="15">
        <f>SUM(G7+G10+G13)</f>
        <v>175142.46999999997</v>
      </c>
      <c r="H14" s="15">
        <f>SUM(H7+H10+H13)</f>
        <v>3512072.48</v>
      </c>
      <c r="I14" s="15">
        <f>SUM(I7+I10+I13)</f>
        <v>15137800.48</v>
      </c>
      <c r="J14" s="372">
        <f>SUM(I14)</f>
        <v>15137800.48</v>
      </c>
    </row>
    <row r="15" spans="1:10" x14ac:dyDescent="0.25">
      <c r="A15" s="9" t="s">
        <v>235</v>
      </c>
      <c r="B15" s="51" t="s">
        <v>233</v>
      </c>
      <c r="C15" s="373">
        <v>22400</v>
      </c>
      <c r="D15" s="52"/>
      <c r="E15" s="13">
        <v>5900</v>
      </c>
      <c r="F15" s="13">
        <v>5500</v>
      </c>
      <c r="G15" s="13">
        <v>5500</v>
      </c>
      <c r="H15" s="13">
        <v>5500</v>
      </c>
      <c r="I15" s="13">
        <f>SUM(E15:H15)</f>
        <v>22400</v>
      </c>
      <c r="J15" s="13"/>
    </row>
    <row r="16" spans="1:10" x14ac:dyDescent="0.25">
      <c r="A16" s="7" t="s">
        <v>230</v>
      </c>
      <c r="B16" s="51"/>
      <c r="C16" s="374">
        <v>12.52</v>
      </c>
      <c r="D16" s="375"/>
      <c r="E16" s="13"/>
      <c r="F16" s="13"/>
      <c r="G16" s="13"/>
      <c r="H16" s="13"/>
      <c r="I16" s="13"/>
      <c r="J16" s="13"/>
    </row>
    <row r="17" spans="1:10" x14ac:dyDescent="0.25">
      <c r="A17" s="7" t="s">
        <v>231</v>
      </c>
      <c r="B17" s="51"/>
      <c r="C17" s="13">
        <f>C15*C16</f>
        <v>280448</v>
      </c>
      <c r="D17" s="13"/>
      <c r="E17" s="13">
        <f>E15*C16</f>
        <v>73868</v>
      </c>
      <c r="F17" s="13">
        <f>F15*C16</f>
        <v>68860</v>
      </c>
      <c r="G17" s="13">
        <f>G15*C16</f>
        <v>68860</v>
      </c>
      <c r="H17" s="13">
        <f>H15*C16</f>
        <v>68860</v>
      </c>
      <c r="I17" s="13">
        <f>SUM(E17:H17)</f>
        <v>280448</v>
      </c>
      <c r="J17" s="16"/>
    </row>
    <row r="18" spans="1:10" x14ac:dyDescent="0.25">
      <c r="A18" s="9" t="s">
        <v>236</v>
      </c>
      <c r="B18" s="51" t="s">
        <v>233</v>
      </c>
      <c r="C18" s="373">
        <v>21665</v>
      </c>
      <c r="D18" s="52"/>
      <c r="E18" s="13">
        <v>5500</v>
      </c>
      <c r="F18" s="13">
        <v>5500</v>
      </c>
      <c r="G18" s="13">
        <v>5500</v>
      </c>
      <c r="H18" s="13">
        <v>5165</v>
      </c>
      <c r="I18" s="13">
        <f>SUM(E18:H18)</f>
        <v>21665</v>
      </c>
      <c r="J18" s="13"/>
    </row>
    <row r="19" spans="1:10" x14ac:dyDescent="0.25">
      <c r="A19" s="7" t="s">
        <v>230</v>
      </c>
      <c r="B19" s="51"/>
      <c r="C19" s="374">
        <v>14.75</v>
      </c>
      <c r="D19" s="375"/>
      <c r="E19" s="13"/>
      <c r="F19" s="13"/>
      <c r="G19" s="13"/>
      <c r="H19" s="13"/>
      <c r="I19" s="13"/>
      <c r="J19" s="13"/>
    </row>
    <row r="20" spans="1:10" x14ac:dyDescent="0.25">
      <c r="A20" s="7" t="s">
        <v>231</v>
      </c>
      <c r="B20" s="51"/>
      <c r="C20" s="13">
        <f>C18*C19</f>
        <v>319558.75</v>
      </c>
      <c r="D20" s="13"/>
      <c r="E20" s="13">
        <f>E18*C19</f>
        <v>81125</v>
      </c>
      <c r="F20" s="13">
        <f>F18*C19</f>
        <v>81125</v>
      </c>
      <c r="G20" s="13">
        <f>G18*C19</f>
        <v>81125</v>
      </c>
      <c r="H20" s="13">
        <f>H18*C19</f>
        <v>76183.75</v>
      </c>
      <c r="I20" s="13">
        <f>SUM(E20:H20)</f>
        <v>319558.75</v>
      </c>
      <c r="J20" s="16"/>
    </row>
    <row r="21" spans="1:10" x14ac:dyDescent="0.25">
      <c r="A21" s="14" t="s">
        <v>237</v>
      </c>
      <c r="B21" s="376"/>
      <c r="C21" s="377">
        <f>C17+C20</f>
        <v>600006.75</v>
      </c>
      <c r="D21" s="378"/>
      <c r="E21" s="15">
        <f>E17+E20</f>
        <v>154993</v>
      </c>
      <c r="F21" s="15">
        <f>F17+F20</f>
        <v>149985</v>
      </c>
      <c r="G21" s="15">
        <f>G17+G20</f>
        <v>149985</v>
      </c>
      <c r="H21" s="15">
        <f>H17+H20</f>
        <v>145043.75</v>
      </c>
      <c r="I21" s="15">
        <f>SUM(E21:H21)</f>
        <v>600006.75</v>
      </c>
      <c r="J21" s="372">
        <f>SUM(I21)</f>
        <v>600006.75</v>
      </c>
    </row>
    <row r="22" spans="1:10" x14ac:dyDescent="0.25">
      <c r="A22" s="9" t="s">
        <v>238</v>
      </c>
      <c r="B22" s="51" t="s">
        <v>239</v>
      </c>
      <c r="C22" s="367">
        <v>553400</v>
      </c>
      <c r="D22" s="13"/>
      <c r="E22" s="13">
        <v>153525</v>
      </c>
      <c r="F22" s="13">
        <v>130855</v>
      </c>
      <c r="G22" s="13">
        <v>115600</v>
      </c>
      <c r="H22" s="13">
        <v>153420</v>
      </c>
      <c r="I22" s="13">
        <f>SUM(E22:H22)</f>
        <v>553400</v>
      </c>
      <c r="J22" s="13"/>
    </row>
    <row r="23" spans="1:10" x14ac:dyDescent="0.25">
      <c r="A23" s="17" t="s">
        <v>240</v>
      </c>
      <c r="B23" s="51"/>
      <c r="C23" s="13"/>
      <c r="D23" s="13"/>
      <c r="E23" s="13"/>
      <c r="F23" s="13"/>
      <c r="G23" s="13"/>
      <c r="H23" s="13"/>
      <c r="I23" s="13"/>
      <c r="J23" s="13"/>
    </row>
    <row r="24" spans="1:10" x14ac:dyDescent="0.25">
      <c r="A24" s="7" t="s">
        <v>241</v>
      </c>
      <c r="B24" s="51"/>
      <c r="C24" s="374">
        <v>5.2</v>
      </c>
      <c r="D24" s="375"/>
      <c r="E24" s="375"/>
      <c r="F24" s="13"/>
      <c r="G24" s="13"/>
      <c r="H24" s="13"/>
      <c r="I24" s="13"/>
      <c r="J24" s="13"/>
    </row>
    <row r="25" spans="1:10" x14ac:dyDescent="0.25">
      <c r="A25" s="7" t="s">
        <v>242</v>
      </c>
      <c r="B25" s="51"/>
      <c r="C25" s="379">
        <f>C22*C24</f>
        <v>2877680</v>
      </c>
      <c r="D25" s="379"/>
      <c r="E25" s="13">
        <f>E22*C24</f>
        <v>798330</v>
      </c>
      <c r="F25" s="13">
        <f>F22*C24</f>
        <v>680446</v>
      </c>
      <c r="G25" s="13">
        <f>G22*C24</f>
        <v>601120</v>
      </c>
      <c r="H25" s="13">
        <f>H22*C24</f>
        <v>797784</v>
      </c>
      <c r="I25" s="13">
        <f>SUM(E25:H25)</f>
        <v>2877680</v>
      </c>
      <c r="J25" s="13"/>
    </row>
    <row r="26" spans="1:10" x14ac:dyDescent="0.25">
      <c r="A26" s="17" t="s">
        <v>243</v>
      </c>
      <c r="B26" s="51"/>
      <c r="C26" s="375"/>
      <c r="D26" s="375"/>
      <c r="E26" s="13"/>
      <c r="F26" s="13"/>
      <c r="G26" s="13"/>
      <c r="H26" s="13"/>
      <c r="I26" s="13"/>
      <c r="J26" s="13"/>
    </row>
    <row r="27" spans="1:10" x14ac:dyDescent="0.25">
      <c r="A27" s="7" t="s">
        <v>241</v>
      </c>
      <c r="B27" s="51"/>
      <c r="C27" s="374">
        <v>1.01</v>
      </c>
      <c r="D27" s="375"/>
      <c r="E27" s="13"/>
      <c r="F27" s="13"/>
      <c r="G27" s="13"/>
      <c r="H27" s="13"/>
      <c r="I27" s="13"/>
      <c r="J27" s="13"/>
    </row>
    <row r="28" spans="1:10" x14ac:dyDescent="0.25">
      <c r="A28" s="7" t="s">
        <v>242</v>
      </c>
      <c r="B28" s="51"/>
      <c r="C28" s="379">
        <f>C22*C27</f>
        <v>558934</v>
      </c>
      <c r="D28" s="379"/>
      <c r="E28" s="13">
        <f>E22*C27</f>
        <v>155060.25</v>
      </c>
      <c r="F28" s="13">
        <f>F22*C27</f>
        <v>132163.54999999999</v>
      </c>
      <c r="G28" s="13">
        <f>G22*C27</f>
        <v>116756</v>
      </c>
      <c r="H28" s="13">
        <f>H22*C27</f>
        <v>154954.20000000001</v>
      </c>
      <c r="I28" s="13">
        <f>SUM(E28:H28)</f>
        <v>558934</v>
      </c>
      <c r="J28" s="13"/>
    </row>
    <row r="29" spans="1:10" x14ac:dyDescent="0.25">
      <c r="A29" s="17" t="s">
        <v>726</v>
      </c>
      <c r="B29" s="51"/>
      <c r="C29" s="375"/>
      <c r="D29" s="375"/>
      <c r="E29" s="13"/>
      <c r="F29" s="13"/>
      <c r="G29" s="13"/>
      <c r="H29" s="13"/>
      <c r="I29" s="13"/>
      <c r="J29" s="13"/>
    </row>
    <row r="30" spans="1:10" x14ac:dyDescent="0.25">
      <c r="A30" s="7" t="s">
        <v>241</v>
      </c>
      <c r="B30" s="51"/>
      <c r="C30" s="380">
        <v>0.11459999999999999</v>
      </c>
      <c r="D30" s="381"/>
      <c r="E30" s="13"/>
      <c r="F30" s="13"/>
      <c r="G30" s="13"/>
      <c r="H30" s="13"/>
      <c r="I30" s="13"/>
      <c r="J30" s="13"/>
    </row>
    <row r="31" spans="1:10" x14ac:dyDescent="0.25">
      <c r="A31" s="7" t="s">
        <v>242</v>
      </c>
      <c r="B31" s="51"/>
      <c r="C31" s="379">
        <f>C22*C30</f>
        <v>63419.64</v>
      </c>
      <c r="D31" s="379"/>
      <c r="E31" s="13">
        <f>E22*C30</f>
        <v>17593.965</v>
      </c>
      <c r="F31" s="13">
        <f>F22*C30</f>
        <v>14995.982999999998</v>
      </c>
      <c r="G31" s="13">
        <f>G22*C30</f>
        <v>13247.759999999998</v>
      </c>
      <c r="H31" s="13">
        <f>H22*C30</f>
        <v>17581.932000000001</v>
      </c>
      <c r="I31" s="13">
        <f>SUM(E31:H31)</f>
        <v>63419.64</v>
      </c>
      <c r="J31" s="13"/>
    </row>
    <row r="32" spans="1:10" x14ac:dyDescent="0.25">
      <c r="A32" s="14" t="s">
        <v>244</v>
      </c>
      <c r="B32" s="51"/>
      <c r="C32" s="377">
        <f>C25+C28+C31</f>
        <v>3500033.64</v>
      </c>
      <c r="D32" s="378"/>
      <c r="E32" s="15">
        <f>E25+E28+E31</f>
        <v>970984.21499999997</v>
      </c>
      <c r="F32" s="15">
        <f>F25+F28+F31</f>
        <v>827605.53300000005</v>
      </c>
      <c r="G32" s="15">
        <f>G25+G28+G31</f>
        <v>731123.76</v>
      </c>
      <c r="H32" s="15">
        <f>H25+H28+H31</f>
        <v>970320.13199999998</v>
      </c>
      <c r="I32" s="15">
        <f>SUM(E32:H32)</f>
        <v>3500033.6400000006</v>
      </c>
      <c r="J32" s="382">
        <f>SUM(E32:H32)</f>
        <v>3500033.6400000006</v>
      </c>
    </row>
    <row r="33" spans="1:10" x14ac:dyDescent="0.25">
      <c r="A33" s="9" t="s">
        <v>245</v>
      </c>
      <c r="B33" s="51" t="s">
        <v>233</v>
      </c>
      <c r="C33" s="373">
        <v>50000</v>
      </c>
      <c r="D33" s="52"/>
      <c r="E33" s="13">
        <v>15000</v>
      </c>
      <c r="F33" s="13">
        <v>15000</v>
      </c>
      <c r="G33" s="13">
        <v>10000</v>
      </c>
      <c r="H33" s="13">
        <v>10000</v>
      </c>
      <c r="I33" s="13">
        <f>SUM(E33:H33)</f>
        <v>50000</v>
      </c>
      <c r="J33" s="13"/>
    </row>
    <row r="34" spans="1:10" x14ac:dyDescent="0.25">
      <c r="A34" s="17" t="s">
        <v>240</v>
      </c>
      <c r="B34" s="51"/>
      <c r="C34" s="13"/>
      <c r="D34" s="13"/>
      <c r="E34" s="13"/>
      <c r="F34" s="13"/>
      <c r="G34" s="13"/>
      <c r="H34" s="13"/>
      <c r="I34" s="13"/>
      <c r="J34" s="13"/>
    </row>
    <row r="35" spans="1:10" x14ac:dyDescent="0.25">
      <c r="A35" s="7" t="s">
        <v>241</v>
      </c>
      <c r="B35" s="383"/>
      <c r="C35" s="384">
        <v>16.553999999999998</v>
      </c>
      <c r="D35" s="13"/>
      <c r="E35" s="13"/>
      <c r="F35" s="13"/>
      <c r="G35" s="13"/>
      <c r="H35" s="13"/>
      <c r="I35" s="13"/>
      <c r="J35" s="13"/>
    </row>
    <row r="36" spans="1:10" x14ac:dyDescent="0.25">
      <c r="A36" s="7" t="s">
        <v>242</v>
      </c>
      <c r="B36" s="383"/>
      <c r="C36" s="13">
        <f>C33*C35</f>
        <v>827699.99999999988</v>
      </c>
      <c r="D36" s="13"/>
      <c r="E36" s="13">
        <f>E33*C35</f>
        <v>248309.99999999997</v>
      </c>
      <c r="F36" s="13">
        <f>F33*C35</f>
        <v>248309.99999999997</v>
      </c>
      <c r="G36" s="13">
        <f>G33*C35</f>
        <v>165539.99999999997</v>
      </c>
      <c r="H36" s="13">
        <f>H33*C35</f>
        <v>165539.99999999997</v>
      </c>
      <c r="I36" s="13">
        <f>SUM(E36:H36)</f>
        <v>827699.99999999988</v>
      </c>
      <c r="J36" s="13"/>
    </row>
    <row r="37" spans="1:10" x14ac:dyDescent="0.25">
      <c r="A37" s="17" t="s">
        <v>243</v>
      </c>
      <c r="B37" s="383"/>
      <c r="C37" s="13"/>
      <c r="D37" s="13"/>
      <c r="E37" s="13"/>
      <c r="F37" s="13"/>
      <c r="G37" s="13"/>
      <c r="H37" s="13"/>
      <c r="I37" s="13"/>
      <c r="J37" s="13"/>
    </row>
    <row r="38" spans="1:10" x14ac:dyDescent="0.25">
      <c r="A38" s="7" t="s">
        <v>241</v>
      </c>
      <c r="B38" s="383"/>
      <c r="C38" s="385">
        <v>5.4565999999999999</v>
      </c>
      <c r="D38" s="384"/>
      <c r="E38" s="13"/>
      <c r="F38" s="13"/>
      <c r="G38" s="13"/>
      <c r="H38" s="13"/>
      <c r="I38" s="13"/>
      <c r="J38" s="13"/>
    </row>
    <row r="39" spans="1:10" x14ac:dyDescent="0.25">
      <c r="A39" s="7" t="s">
        <v>242</v>
      </c>
      <c r="B39" s="383"/>
      <c r="C39" s="13">
        <f>C33*C38</f>
        <v>272830</v>
      </c>
      <c r="D39" s="13"/>
      <c r="E39" s="13">
        <f>E33*C38</f>
        <v>81849</v>
      </c>
      <c r="F39" s="13">
        <f>F33*C38</f>
        <v>81849</v>
      </c>
      <c r="G39" s="13">
        <f>G33*C38</f>
        <v>54566</v>
      </c>
      <c r="H39" s="13">
        <f>H33*C38</f>
        <v>54566</v>
      </c>
      <c r="I39" s="13">
        <f>SUM(E39:H39)</f>
        <v>272830</v>
      </c>
      <c r="J39" s="13"/>
    </row>
    <row r="40" spans="1:10" x14ac:dyDescent="0.25">
      <c r="A40" s="14" t="s">
        <v>246</v>
      </c>
      <c r="B40" s="383"/>
      <c r="C40" s="386">
        <f>C36+C39</f>
        <v>1100530</v>
      </c>
      <c r="D40" s="387"/>
      <c r="E40" s="388">
        <f>E36+E39</f>
        <v>330159</v>
      </c>
      <c r="F40" s="388">
        <f>F36+F39</f>
        <v>330159</v>
      </c>
      <c r="G40" s="388">
        <f>G36+G39</f>
        <v>220105.99999999997</v>
      </c>
      <c r="H40" s="388">
        <f>H36+H39</f>
        <v>220105.99999999997</v>
      </c>
      <c r="I40" s="15">
        <f>SUM(E40:H40)</f>
        <v>1100530</v>
      </c>
      <c r="J40" s="389">
        <f>H40+G40+F40+E40</f>
        <v>1100530</v>
      </c>
    </row>
    <row r="41" spans="1:10" x14ac:dyDescent="0.25">
      <c r="A41" s="21" t="s">
        <v>727</v>
      </c>
      <c r="B41" s="51" t="s">
        <v>233</v>
      </c>
      <c r="C41" s="390">
        <v>1118</v>
      </c>
      <c r="D41" s="390"/>
      <c r="E41" s="13">
        <v>280</v>
      </c>
      <c r="F41" s="13">
        <v>280</v>
      </c>
      <c r="G41" s="13">
        <v>280</v>
      </c>
      <c r="H41" s="13">
        <v>278</v>
      </c>
      <c r="I41" s="13">
        <f>SUM(E41:H41)</f>
        <v>1118</v>
      </c>
      <c r="J41" s="389"/>
    </row>
    <row r="42" spans="1:10" x14ac:dyDescent="0.25">
      <c r="A42" s="22" t="s">
        <v>241</v>
      </c>
      <c r="B42" s="383"/>
      <c r="C42" s="13">
        <v>117.1</v>
      </c>
      <c r="D42" s="13"/>
      <c r="E42" s="15"/>
      <c r="F42" s="15"/>
      <c r="G42" s="15"/>
      <c r="H42" s="15"/>
      <c r="I42" s="15"/>
      <c r="J42" s="389"/>
    </row>
    <row r="43" spans="1:10" x14ac:dyDescent="0.25">
      <c r="A43" s="22" t="s">
        <v>242</v>
      </c>
      <c r="B43" s="383"/>
      <c r="C43" s="13">
        <f>C41*C42</f>
        <v>130917.79999999999</v>
      </c>
      <c r="D43" s="13"/>
      <c r="E43" s="13">
        <f>E41*C42</f>
        <v>32788</v>
      </c>
      <c r="F43" s="13">
        <f>F41*C42</f>
        <v>32788</v>
      </c>
      <c r="G43" s="13">
        <f>G41*C42</f>
        <v>32788</v>
      </c>
      <c r="H43" s="13">
        <f>H41*C42</f>
        <v>32553.8</v>
      </c>
      <c r="I43" s="13">
        <f>SUM(E43:H43)</f>
        <v>130917.8</v>
      </c>
      <c r="J43" s="389"/>
    </row>
    <row r="44" spans="1:10" x14ac:dyDescent="0.25">
      <c r="A44" s="21" t="s">
        <v>728</v>
      </c>
      <c r="B44" s="51" t="s">
        <v>233</v>
      </c>
      <c r="C44" s="391">
        <v>290</v>
      </c>
      <c r="D44" s="391"/>
      <c r="E44" s="13">
        <v>72</v>
      </c>
      <c r="F44" s="13">
        <v>72</v>
      </c>
      <c r="G44" s="13">
        <v>73</v>
      </c>
      <c r="H44" s="13">
        <v>73</v>
      </c>
      <c r="I44" s="13">
        <f>SUM(E44:H44)</f>
        <v>290</v>
      </c>
      <c r="J44" s="389"/>
    </row>
    <row r="45" spans="1:10" x14ac:dyDescent="0.25">
      <c r="A45" s="22" t="s">
        <v>241</v>
      </c>
      <c r="B45" s="383"/>
      <c r="C45" s="13">
        <v>238.21</v>
      </c>
      <c r="D45" s="13"/>
      <c r="E45" s="15"/>
      <c r="F45" s="15"/>
      <c r="G45" s="15"/>
      <c r="H45" s="15"/>
      <c r="I45" s="15"/>
      <c r="J45" s="389"/>
    </row>
    <row r="46" spans="1:10" x14ac:dyDescent="0.25">
      <c r="A46" s="22" t="s">
        <v>242</v>
      </c>
      <c r="B46" s="383"/>
      <c r="C46" s="13">
        <f>C44*C45</f>
        <v>69080.900000000009</v>
      </c>
      <c r="D46" s="13"/>
      <c r="E46" s="13">
        <f>E44*C45</f>
        <v>17151.12</v>
      </c>
      <c r="F46" s="13">
        <f>F44*C45</f>
        <v>17151.12</v>
      </c>
      <c r="G46" s="13">
        <f>G44*C45</f>
        <v>17389.330000000002</v>
      </c>
      <c r="H46" s="13">
        <f>H44*C45</f>
        <v>17389.330000000002</v>
      </c>
      <c r="I46" s="13">
        <f>SUM(E46:H46)</f>
        <v>69080.899999999994</v>
      </c>
      <c r="J46" s="389"/>
    </row>
    <row r="47" spans="1:10" x14ac:dyDescent="0.25">
      <c r="A47" s="23" t="s">
        <v>258</v>
      </c>
      <c r="B47" s="383"/>
      <c r="C47" s="386">
        <f>C43+C46</f>
        <v>199998.7</v>
      </c>
      <c r="D47" s="387"/>
      <c r="E47" s="388">
        <f>E43+E46</f>
        <v>49939.119999999995</v>
      </c>
      <c r="F47" s="388">
        <f>F43+F46</f>
        <v>49939.119999999995</v>
      </c>
      <c r="G47" s="388">
        <f>G43+G46</f>
        <v>50177.33</v>
      </c>
      <c r="H47" s="388">
        <f>H43+H46</f>
        <v>49943.130000000005</v>
      </c>
      <c r="I47" s="15">
        <f>SUM(E47:H47)</f>
        <v>199998.7</v>
      </c>
      <c r="J47" s="382">
        <f>H47+G47+F47+E47</f>
        <v>199998.7</v>
      </c>
    </row>
    <row r="48" spans="1:10" x14ac:dyDescent="0.25">
      <c r="A48" s="18" t="s">
        <v>227</v>
      </c>
      <c r="B48" s="383"/>
      <c r="C48" s="392">
        <f>C14+C21+C32+C40+C47</f>
        <v>14070660.57</v>
      </c>
      <c r="D48" s="393">
        <f>SUM(D7:D47)</f>
        <v>6467709</v>
      </c>
      <c r="E48" s="393">
        <f>E14+E21+E32+E40+E47</f>
        <v>6108195.2149999999</v>
      </c>
      <c r="F48" s="393">
        <f>F14+F21+F32+F40+F47</f>
        <v>1738445.3030000003</v>
      </c>
      <c r="G48" s="393">
        <f>G14+G21+G32+G40+G47</f>
        <v>1326534.56</v>
      </c>
      <c r="H48" s="393">
        <f>H14+H21+H32+H40+H47</f>
        <v>4897485.4919999996</v>
      </c>
      <c r="I48" s="371">
        <f>SUM(E48:H48)</f>
        <v>14070660.57</v>
      </c>
      <c r="J48" s="382">
        <f>SUM(J9:J47)</f>
        <v>20538369.57</v>
      </c>
    </row>
    <row r="50" spans="1:8" ht="15.75" x14ac:dyDescent="0.25">
      <c r="A50" s="675" t="s">
        <v>720</v>
      </c>
      <c r="B50" s="675"/>
      <c r="G50" s="675" t="s">
        <v>705</v>
      </c>
      <c r="H50" s="675"/>
    </row>
    <row r="51" spans="1:8" x14ac:dyDescent="0.25">
      <c r="A51" s="363"/>
      <c r="B51" s="363"/>
      <c r="G51" s="555"/>
    </row>
    <row r="52" spans="1:8" ht="15.75" x14ac:dyDescent="0.25">
      <c r="A52" s="675" t="s">
        <v>706</v>
      </c>
      <c r="B52" s="675"/>
      <c r="G52" s="675" t="s">
        <v>707</v>
      </c>
      <c r="H52" s="675"/>
    </row>
    <row r="53" spans="1:8" ht="15.75" x14ac:dyDescent="0.25">
      <c r="A53" s="676"/>
      <c r="B53" s="676"/>
      <c r="C53" s="177"/>
    </row>
  </sheetData>
  <mergeCells count="6">
    <mergeCell ref="A2:J2"/>
    <mergeCell ref="A50:B50"/>
    <mergeCell ref="A52:B52"/>
    <mergeCell ref="A53:B53"/>
    <mergeCell ref="G50:H50"/>
    <mergeCell ref="G52:H52"/>
  </mergeCells>
  <pageMargins left="0.7" right="0.7" top="0.75" bottom="0.75" header="0.3" footer="0.3"/>
  <pageSetup paperSize="9" scale="6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workbookViewId="0">
      <selection activeCell="D9" sqref="D9"/>
    </sheetView>
  </sheetViews>
  <sheetFormatPr defaultRowHeight="15" x14ac:dyDescent="0.25"/>
  <cols>
    <col min="1" max="1" width="5.140625" customWidth="1"/>
    <col min="2" max="2" width="54.140625" customWidth="1"/>
    <col min="3" max="3" width="10.85546875" customWidth="1"/>
    <col min="4" max="4" width="15" customWidth="1"/>
  </cols>
  <sheetData>
    <row r="1" spans="1:4" x14ac:dyDescent="0.25">
      <c r="D1" s="557" t="s">
        <v>292</v>
      </c>
    </row>
    <row r="2" spans="1:4" ht="15.75" x14ac:dyDescent="0.25">
      <c r="B2" s="322" t="s">
        <v>259</v>
      </c>
    </row>
    <row r="3" spans="1:4" ht="15.75" thickBot="1" x14ac:dyDescent="0.3">
      <c r="D3" t="s">
        <v>264</v>
      </c>
    </row>
    <row r="4" spans="1:4" ht="30" customHeight="1" thickBot="1" x14ac:dyDescent="0.3">
      <c r="A4" s="692" t="s">
        <v>597</v>
      </c>
      <c r="B4" s="688" t="s">
        <v>260</v>
      </c>
      <c r="C4" s="690" t="s">
        <v>261</v>
      </c>
      <c r="D4" s="437" t="s">
        <v>764</v>
      </c>
    </row>
    <row r="5" spans="1:4" ht="30.75" thickBot="1" x14ac:dyDescent="0.3">
      <c r="A5" s="693"/>
      <c r="B5" s="689"/>
      <c r="C5" s="691"/>
      <c r="D5" s="438" t="s">
        <v>765</v>
      </c>
    </row>
    <row r="6" spans="1:4" ht="15.75" thickBot="1" x14ac:dyDescent="0.3">
      <c r="A6" s="439">
        <v>1</v>
      </c>
      <c r="B6" s="440">
        <v>2</v>
      </c>
      <c r="C6" s="441">
        <v>3</v>
      </c>
      <c r="D6" s="442">
        <v>4</v>
      </c>
    </row>
    <row r="7" spans="1:4" x14ac:dyDescent="0.25">
      <c r="A7" s="443">
        <v>1</v>
      </c>
      <c r="B7" s="444" t="s">
        <v>595</v>
      </c>
      <c r="C7" s="445">
        <v>2022</v>
      </c>
      <c r="D7" s="446">
        <v>4000</v>
      </c>
    </row>
    <row r="8" spans="1:4" x14ac:dyDescent="0.25">
      <c r="A8" s="447">
        <v>2</v>
      </c>
      <c r="B8" s="448" t="s">
        <v>766</v>
      </c>
      <c r="C8" s="449">
        <v>2022</v>
      </c>
      <c r="D8" s="450">
        <v>5490</v>
      </c>
    </row>
    <row r="9" spans="1:4" x14ac:dyDescent="0.25">
      <c r="A9" s="447">
        <v>3</v>
      </c>
      <c r="B9" s="451" t="s">
        <v>767</v>
      </c>
      <c r="C9" s="449">
        <v>2022</v>
      </c>
      <c r="D9" s="566">
        <v>1350</v>
      </c>
    </row>
    <row r="10" spans="1:4" x14ac:dyDescent="0.25">
      <c r="A10" s="447">
        <v>4</v>
      </c>
      <c r="B10" s="452" t="s">
        <v>768</v>
      </c>
      <c r="C10" s="449">
        <v>2022</v>
      </c>
      <c r="D10" s="453">
        <v>350</v>
      </c>
    </row>
    <row r="11" spans="1:4" ht="30" x14ac:dyDescent="0.25">
      <c r="A11" s="447">
        <v>5</v>
      </c>
      <c r="B11" s="454" t="s">
        <v>769</v>
      </c>
      <c r="C11" s="449">
        <v>2022</v>
      </c>
      <c r="D11" s="453">
        <v>1200</v>
      </c>
    </row>
    <row r="12" spans="1:4" x14ac:dyDescent="0.25">
      <c r="A12" s="447"/>
      <c r="B12" s="455"/>
      <c r="C12" s="449"/>
      <c r="D12" s="200"/>
    </row>
    <row r="13" spans="1:4" x14ac:dyDescent="0.25">
      <c r="A13" s="447"/>
      <c r="B13" s="456"/>
      <c r="C13" s="449"/>
      <c r="D13" s="453"/>
    </row>
    <row r="14" spans="1:4" x14ac:dyDescent="0.25">
      <c r="A14" s="457"/>
      <c r="B14" s="456"/>
      <c r="C14" s="449"/>
      <c r="D14" s="453"/>
    </row>
    <row r="15" spans="1:4" ht="15.75" thickBot="1" x14ac:dyDescent="0.3">
      <c r="A15" s="458"/>
      <c r="B15" s="459"/>
      <c r="C15" s="460"/>
      <c r="D15" s="461"/>
    </row>
    <row r="16" spans="1:4" ht="16.5" thickBot="1" x14ac:dyDescent="0.3">
      <c r="A16" s="462"/>
      <c r="B16" s="463" t="s">
        <v>262</v>
      </c>
      <c r="C16" s="464"/>
      <c r="D16" s="567">
        <f>SUM(D7:D15)</f>
        <v>12390</v>
      </c>
    </row>
    <row r="17" spans="2:4" ht="15" customHeight="1" x14ac:dyDescent="0.25"/>
    <row r="18" spans="2:4" x14ac:dyDescent="0.25">
      <c r="B18" s="24" t="s">
        <v>704</v>
      </c>
      <c r="D18" t="s">
        <v>705</v>
      </c>
    </row>
    <row r="20" spans="2:4" x14ac:dyDescent="0.25">
      <c r="B20" s="24" t="s">
        <v>706</v>
      </c>
      <c r="D20" t="s">
        <v>707</v>
      </c>
    </row>
  </sheetData>
  <mergeCells count="3">
    <mergeCell ref="B4:B5"/>
    <mergeCell ref="C4:C5"/>
    <mergeCell ref="A4:A5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M15" sqref="M15"/>
    </sheetView>
  </sheetViews>
  <sheetFormatPr defaultRowHeight="15" x14ac:dyDescent="0.25"/>
  <cols>
    <col min="1" max="1" width="6.5703125" customWidth="1"/>
    <col min="2" max="2" width="45.7109375" customWidth="1"/>
    <col min="3" max="3" width="17" customWidth="1"/>
    <col min="4" max="5" width="17.42578125" customWidth="1"/>
  </cols>
  <sheetData>
    <row r="1" spans="1:7" x14ac:dyDescent="0.25">
      <c r="A1" s="694" t="s">
        <v>579</v>
      </c>
      <c r="B1" s="695"/>
      <c r="C1" s="695"/>
      <c r="D1" s="695"/>
      <c r="E1" s="695"/>
      <c r="F1" s="695"/>
    </row>
    <row r="2" spans="1:7" ht="19.5" thickBot="1" x14ac:dyDescent="0.35">
      <c r="A2" s="697" t="s">
        <v>592</v>
      </c>
      <c r="B2" s="698"/>
      <c r="C2" s="698"/>
      <c r="D2" s="698"/>
      <c r="E2" s="698"/>
      <c r="F2" s="698"/>
    </row>
    <row r="3" spans="1:7" ht="75" x14ac:dyDescent="0.25">
      <c r="A3" s="465" t="s">
        <v>580</v>
      </c>
      <c r="B3" s="466" t="s">
        <v>581</v>
      </c>
      <c r="C3" s="466" t="s">
        <v>26</v>
      </c>
      <c r="D3" s="467" t="s">
        <v>296</v>
      </c>
      <c r="E3" s="467" t="s">
        <v>590</v>
      </c>
      <c r="F3" s="468" t="s">
        <v>770</v>
      </c>
      <c r="G3" s="195"/>
    </row>
    <row r="4" spans="1:7" x14ac:dyDescent="0.25">
      <c r="A4" s="469">
        <v>1</v>
      </c>
      <c r="B4" s="198" t="s">
        <v>582</v>
      </c>
      <c r="C4" s="176" t="s">
        <v>583</v>
      </c>
      <c r="D4" s="176">
        <v>1</v>
      </c>
      <c r="E4" s="199">
        <v>600</v>
      </c>
      <c r="F4" s="470">
        <f t="shared" ref="F4:F11" si="0">D4*E4</f>
        <v>600</v>
      </c>
    </row>
    <row r="5" spans="1:7" x14ac:dyDescent="0.25">
      <c r="A5" s="469">
        <v>2</v>
      </c>
      <c r="B5" s="198" t="s">
        <v>578</v>
      </c>
      <c r="C5" s="176" t="s">
        <v>583</v>
      </c>
      <c r="D5" s="176">
        <v>2</v>
      </c>
      <c r="E5" s="199">
        <v>490</v>
      </c>
      <c r="F5" s="470">
        <f>D5*E5</f>
        <v>980</v>
      </c>
    </row>
    <row r="6" spans="1:7" x14ac:dyDescent="0.25">
      <c r="A6" s="469">
        <v>3</v>
      </c>
      <c r="B6" s="198" t="s">
        <v>584</v>
      </c>
      <c r="C6" s="176" t="s">
        <v>583</v>
      </c>
      <c r="D6" s="176">
        <v>2</v>
      </c>
      <c r="E6" s="199">
        <v>150</v>
      </c>
      <c r="F6" s="470">
        <f t="shared" si="0"/>
        <v>300</v>
      </c>
    </row>
    <row r="7" spans="1:7" x14ac:dyDescent="0.25">
      <c r="A7" s="469">
        <v>4</v>
      </c>
      <c r="B7" s="198" t="s">
        <v>585</v>
      </c>
      <c r="C7" s="176" t="s">
        <v>583</v>
      </c>
      <c r="D7" s="176">
        <v>2</v>
      </c>
      <c r="E7" s="199">
        <v>470</v>
      </c>
      <c r="F7" s="470">
        <f t="shared" si="0"/>
        <v>940</v>
      </c>
    </row>
    <row r="8" spans="1:7" x14ac:dyDescent="0.25">
      <c r="A8" s="469">
        <v>5</v>
      </c>
      <c r="B8" s="198" t="s">
        <v>586</v>
      </c>
      <c r="C8" s="176" t="s">
        <v>583</v>
      </c>
      <c r="D8" s="176">
        <v>1</v>
      </c>
      <c r="E8" s="199">
        <v>150</v>
      </c>
      <c r="F8" s="470">
        <f t="shared" si="0"/>
        <v>150</v>
      </c>
    </row>
    <row r="9" spans="1:7" x14ac:dyDescent="0.25">
      <c r="A9" s="469">
        <v>6</v>
      </c>
      <c r="B9" s="198" t="s">
        <v>587</v>
      </c>
      <c r="C9" s="176" t="s">
        <v>583</v>
      </c>
      <c r="D9" s="176">
        <v>4</v>
      </c>
      <c r="E9" s="199">
        <v>120</v>
      </c>
      <c r="F9" s="470">
        <f t="shared" si="0"/>
        <v>480</v>
      </c>
    </row>
    <row r="10" spans="1:7" x14ac:dyDescent="0.25">
      <c r="A10" s="469">
        <v>7</v>
      </c>
      <c r="B10" s="198" t="s">
        <v>588</v>
      </c>
      <c r="C10" s="176" t="s">
        <v>583</v>
      </c>
      <c r="D10" s="176">
        <v>1</v>
      </c>
      <c r="E10" s="199">
        <v>450</v>
      </c>
      <c r="F10" s="470">
        <f t="shared" si="0"/>
        <v>450</v>
      </c>
    </row>
    <row r="11" spans="1:7" x14ac:dyDescent="0.25">
      <c r="A11" s="469">
        <v>8</v>
      </c>
      <c r="B11" s="198" t="s">
        <v>589</v>
      </c>
      <c r="C11" s="176" t="s">
        <v>583</v>
      </c>
      <c r="D11" s="176">
        <v>1</v>
      </c>
      <c r="E11" s="199">
        <v>100</v>
      </c>
      <c r="F11" s="470">
        <f t="shared" si="0"/>
        <v>100</v>
      </c>
    </row>
    <row r="12" spans="1:7" ht="16.5" thickBot="1" x14ac:dyDescent="0.3">
      <c r="A12" s="471"/>
      <c r="B12" s="472" t="s">
        <v>289</v>
      </c>
      <c r="C12" s="473"/>
      <c r="D12" s="473">
        <f>SUM(D4:D11)</f>
        <v>14</v>
      </c>
      <c r="E12" s="473"/>
      <c r="F12" s="474">
        <f>SUM(F4:F11)</f>
        <v>4000</v>
      </c>
    </row>
    <row r="13" spans="1:7" ht="9.75" customHeight="1" x14ac:dyDescent="0.25">
      <c r="A13" s="177"/>
      <c r="B13" s="177"/>
      <c r="C13" s="177"/>
      <c r="D13" s="177"/>
      <c r="E13" s="177"/>
      <c r="F13" s="177"/>
      <c r="G13" s="177"/>
    </row>
    <row r="14" spans="1:7" ht="15.75" thickBot="1" x14ac:dyDescent="0.3">
      <c r="A14" s="696" t="s">
        <v>591</v>
      </c>
      <c r="B14" s="696"/>
      <c r="C14" s="696"/>
      <c r="D14" s="696"/>
      <c r="E14" s="696"/>
      <c r="F14" s="696"/>
      <c r="G14" s="177"/>
    </row>
    <row r="15" spans="1:7" x14ac:dyDescent="0.25">
      <c r="A15" s="699" t="s">
        <v>593</v>
      </c>
      <c r="B15" s="700"/>
      <c r="C15" s="700"/>
      <c r="D15" s="700"/>
      <c r="E15" s="700"/>
      <c r="F15" s="701"/>
      <c r="G15" s="177"/>
    </row>
    <row r="16" spans="1:7" ht="75" x14ac:dyDescent="0.25">
      <c r="A16" s="475" t="s">
        <v>580</v>
      </c>
      <c r="B16" s="197" t="s">
        <v>581</v>
      </c>
      <c r="C16" s="197" t="s">
        <v>26</v>
      </c>
      <c r="D16" s="196" t="s">
        <v>296</v>
      </c>
      <c r="E16" s="196" t="s">
        <v>590</v>
      </c>
      <c r="F16" s="476" t="s">
        <v>770</v>
      </c>
      <c r="G16" s="177"/>
    </row>
    <row r="17" spans="1:7" ht="45.75" thickBot="1" x14ac:dyDescent="0.3">
      <c r="A17" s="477">
        <v>1</v>
      </c>
      <c r="B17" s="478" t="s">
        <v>771</v>
      </c>
      <c r="C17" s="321" t="s">
        <v>298</v>
      </c>
      <c r="D17" s="321">
        <v>1</v>
      </c>
      <c r="E17" s="479"/>
      <c r="F17" s="480">
        <v>5490</v>
      </c>
      <c r="G17" s="177"/>
    </row>
    <row r="18" spans="1:7" ht="16.5" thickBot="1" x14ac:dyDescent="0.3">
      <c r="A18" s="481"/>
      <c r="B18" s="482" t="s">
        <v>289</v>
      </c>
      <c r="C18" s="483"/>
      <c r="D18" s="483"/>
      <c r="E18" s="483"/>
      <c r="F18" s="484">
        <f>SUM(F17:F17)</f>
        <v>5490</v>
      </c>
      <c r="G18" s="177"/>
    </row>
    <row r="19" spans="1:7" x14ac:dyDescent="0.25">
      <c r="A19" s="177"/>
      <c r="B19" s="177"/>
      <c r="C19" s="177"/>
      <c r="D19" s="177"/>
      <c r="E19" s="177"/>
      <c r="F19" s="177"/>
      <c r="G19" s="177"/>
    </row>
    <row r="20" spans="1:7" x14ac:dyDescent="0.25">
      <c r="G20" s="177"/>
    </row>
    <row r="21" spans="1:7" x14ac:dyDescent="0.25">
      <c r="B21" s="24" t="s">
        <v>704</v>
      </c>
      <c r="D21" t="s">
        <v>705</v>
      </c>
      <c r="E21" s="177"/>
    </row>
    <row r="22" spans="1:7" x14ac:dyDescent="0.25">
      <c r="E22" s="177"/>
    </row>
    <row r="23" spans="1:7" x14ac:dyDescent="0.25">
      <c r="B23" s="24" t="s">
        <v>706</v>
      </c>
      <c r="D23" t="s">
        <v>707</v>
      </c>
      <c r="E23" s="177"/>
    </row>
    <row r="30" spans="1:7" x14ac:dyDescent="0.25">
      <c r="A30" s="177"/>
      <c r="F30" s="177"/>
    </row>
    <row r="31" spans="1:7" x14ac:dyDescent="0.25">
      <c r="A31" s="177"/>
      <c r="F31" s="177"/>
    </row>
    <row r="32" spans="1:7" x14ac:dyDescent="0.25">
      <c r="A32" s="177"/>
      <c r="F32" s="177"/>
    </row>
  </sheetData>
  <mergeCells count="4">
    <mergeCell ref="A1:F1"/>
    <mergeCell ref="A14:F14"/>
    <mergeCell ref="A2:F2"/>
    <mergeCell ref="A15:F15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</vt:i4>
      </vt:variant>
    </vt:vector>
  </HeadingPairs>
  <TitlesOfParts>
    <vt:vector size="18" baseType="lpstr">
      <vt:lpstr>2022 первинка</vt:lpstr>
      <vt:lpstr>2022 вторинка</vt:lpstr>
      <vt:lpstr>фін план 2022</vt:lpstr>
      <vt:lpstr>Плановані доходи від НСЗУ</vt:lpstr>
      <vt:lpstr>Плановані доходи місто</vt:lpstr>
      <vt:lpstr>Лист2</vt:lpstr>
      <vt:lpstr>Комунальні послуги.</vt:lpstr>
      <vt:lpstr>Капітальні інвестиції</vt:lpstr>
      <vt:lpstr>Обладнання для КДЛ</vt:lpstr>
      <vt:lpstr>Поточні ремонти.</vt:lpstr>
      <vt:lpstr>Оплата послуг (окрім комунальни</vt:lpstr>
      <vt:lpstr>страхові послуги</vt:lpstr>
      <vt:lpstr>Господарські товари</vt:lpstr>
      <vt:lpstr>Канцтовари</vt:lpstr>
      <vt:lpstr>Медикаменти та перевязувальні м</vt:lpstr>
      <vt:lpstr>Лікарські засоби.</vt:lpstr>
      <vt:lpstr>Лист1</vt:lpstr>
      <vt:lpstr>'фін план 2022'!Заголовки_для_печати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2021-12-17T08:44:14Z</dcterms:modified>
</cp:coreProperties>
</file>