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 tabRatio="947"/>
  </bookViews>
  <sheets>
    <sheet name="фін.план 2021 зведений" sheetId="15" r:id="rId1"/>
    <sheet name="Плановані доходи від НСЗУ" sheetId="25" r:id="rId2"/>
    <sheet name="комунальні" sheetId="4" r:id="rId3"/>
    <sheet name="Капітальні інвестиції" sheetId="7" r:id="rId4"/>
    <sheet name="Обладнання для КДЛ" sheetId="20" r:id="rId5"/>
    <sheet name="Поточні ремонти." sheetId="24" r:id="rId6"/>
    <sheet name="Оплата послуг (окрім комунальни" sheetId="8" r:id="rId7"/>
    <sheet name="Господарські товари" sheetId="9" r:id="rId8"/>
    <sheet name="Канцтовари" sheetId="10" r:id="rId9"/>
    <sheet name="Медикаменти та перевязувальні м" sheetId="14" r:id="rId10"/>
    <sheet name="Лікарські засоби." sheetId="22" r:id="rId11"/>
    <sheet name="Страхування" sheetId="16" r:id="rId12"/>
  </sheets>
  <calcPr calcId="152511"/>
</workbook>
</file>

<file path=xl/calcChain.xml><?xml version="1.0" encoding="utf-8"?>
<calcChain xmlns="http://schemas.openxmlformats.org/spreadsheetml/2006/main">
  <c r="C52" i="4" l="1"/>
  <c r="F53" i="4" s="1"/>
  <c r="F54" i="4" s="1"/>
  <c r="F55" i="4" s="1"/>
  <c r="H51" i="4"/>
  <c r="C47" i="4"/>
  <c r="G48" i="4" s="1"/>
  <c r="G49" i="4" s="1"/>
  <c r="C43" i="4"/>
  <c r="F44" i="4" s="1"/>
  <c r="F45" i="4" s="1"/>
  <c r="H41" i="4"/>
  <c r="C37" i="4"/>
  <c r="G38" i="4" s="1"/>
  <c r="G39" i="4" s="1"/>
  <c r="C33" i="4"/>
  <c r="F34" i="4" s="1"/>
  <c r="F35" i="4" s="1"/>
  <c r="C29" i="4"/>
  <c r="G30" i="4" s="1"/>
  <c r="G31" i="4" s="1"/>
  <c r="H27" i="4"/>
  <c r="C26" i="4"/>
  <c r="C23" i="4"/>
  <c r="G24" i="4" s="1"/>
  <c r="G25" i="4" s="1"/>
  <c r="H22" i="4"/>
  <c r="E20" i="4"/>
  <c r="E21" i="4" s="1"/>
  <c r="C19" i="4"/>
  <c r="F20" i="4" s="1"/>
  <c r="F21" i="4" s="1"/>
  <c r="H18" i="4"/>
  <c r="C14" i="4"/>
  <c r="G15" i="4" s="1"/>
  <c r="G16" i="4" s="1"/>
  <c r="H13" i="4"/>
  <c r="C10" i="4"/>
  <c r="G11" i="4" s="1"/>
  <c r="H9" i="4"/>
  <c r="C6" i="4"/>
  <c r="G7" i="4" s="1"/>
  <c r="G8" i="4" s="1"/>
  <c r="H4" i="4"/>
  <c r="H7" i="4" s="1"/>
  <c r="H8" i="4" s="1"/>
  <c r="G20" i="4" l="1"/>
  <c r="G21" i="4" s="1"/>
  <c r="G26" i="4" s="1"/>
  <c r="G12" i="4"/>
  <c r="G17" i="4"/>
  <c r="D7" i="4"/>
  <c r="D8" i="4" s="1"/>
  <c r="F7" i="4"/>
  <c r="F8" i="4" s="1"/>
  <c r="D11" i="4"/>
  <c r="D12" i="4" s="1"/>
  <c r="F11" i="4"/>
  <c r="F12" i="4" s="1"/>
  <c r="D15" i="4"/>
  <c r="F15" i="4"/>
  <c r="F16" i="4" s="1"/>
  <c r="D24" i="4"/>
  <c r="F24" i="4"/>
  <c r="F25" i="4" s="1"/>
  <c r="F26" i="4" s="1"/>
  <c r="D30" i="4"/>
  <c r="F30" i="4"/>
  <c r="F31" i="4" s="1"/>
  <c r="C34" i="4"/>
  <c r="E34" i="4"/>
  <c r="E35" i="4" s="1"/>
  <c r="G34" i="4"/>
  <c r="G35" i="4" s="1"/>
  <c r="G40" i="4" s="1"/>
  <c r="D38" i="4"/>
  <c r="F38" i="4"/>
  <c r="F39" i="4" s="1"/>
  <c r="C44" i="4"/>
  <c r="C50" i="4" s="1"/>
  <c r="E44" i="4"/>
  <c r="E45" i="4" s="1"/>
  <c r="G44" i="4"/>
  <c r="G45" i="4" s="1"/>
  <c r="G50" i="4" s="1"/>
  <c r="D48" i="4"/>
  <c r="F48" i="4"/>
  <c r="F49" i="4" s="1"/>
  <c r="C53" i="4"/>
  <c r="E53" i="4"/>
  <c r="E54" i="4" s="1"/>
  <c r="E55" i="4" s="1"/>
  <c r="G53" i="4"/>
  <c r="G54" i="4" s="1"/>
  <c r="G55" i="4" s="1"/>
  <c r="C7" i="4"/>
  <c r="E7" i="4"/>
  <c r="E8" i="4" s="1"/>
  <c r="C11" i="4"/>
  <c r="E11" i="4"/>
  <c r="E12" i="4" s="1"/>
  <c r="C15" i="4"/>
  <c r="E15" i="4"/>
  <c r="E16" i="4" s="1"/>
  <c r="D20" i="4"/>
  <c r="E24" i="4"/>
  <c r="E25" i="4" s="1"/>
  <c r="E26" i="4" s="1"/>
  <c r="C30" i="4"/>
  <c r="E30" i="4"/>
  <c r="E31" i="4" s="1"/>
  <c r="D34" i="4"/>
  <c r="C38" i="4"/>
  <c r="E38" i="4"/>
  <c r="E39" i="4" s="1"/>
  <c r="D44" i="4"/>
  <c r="C48" i="4"/>
  <c r="E48" i="4"/>
  <c r="E49" i="4" s="1"/>
  <c r="D53" i="4"/>
  <c r="C39" i="4" l="1"/>
  <c r="F40" i="4"/>
  <c r="H53" i="4"/>
  <c r="D54" i="4"/>
  <c r="H34" i="4"/>
  <c r="H35" i="4" s="1"/>
  <c r="D35" i="4"/>
  <c r="I35" i="4" s="1"/>
  <c r="D21" i="4"/>
  <c r="C20" i="4"/>
  <c r="D39" i="4"/>
  <c r="I39" i="4" s="1"/>
  <c r="H38" i="4"/>
  <c r="H39" i="4" s="1"/>
  <c r="C17" i="4"/>
  <c r="F17" i="4"/>
  <c r="F50" i="4"/>
  <c r="G57" i="4"/>
  <c r="I12" i="4"/>
  <c r="H44" i="4"/>
  <c r="H45" i="4" s="1"/>
  <c r="D45" i="4"/>
  <c r="D49" i="4"/>
  <c r="I49" i="4" s="1"/>
  <c r="H48" i="4"/>
  <c r="H49" i="4" s="1"/>
  <c r="D31" i="4"/>
  <c r="H30" i="4"/>
  <c r="H31" i="4" s="1"/>
  <c r="C24" i="4"/>
  <c r="D25" i="4"/>
  <c r="D16" i="4"/>
  <c r="I16" i="4" s="1"/>
  <c r="H15" i="4"/>
  <c r="H16" i="4" s="1"/>
  <c r="D17" i="4"/>
  <c r="I8" i="4"/>
  <c r="E40" i="4"/>
  <c r="E17" i="4"/>
  <c r="E50" i="4"/>
  <c r="H11" i="4"/>
  <c r="H12" i="4" s="1"/>
  <c r="H17" i="4" s="1"/>
  <c r="I17" i="4" l="1"/>
  <c r="H50" i="4"/>
  <c r="F57" i="4"/>
  <c r="I25" i="4"/>
  <c r="H25" i="4"/>
  <c r="I45" i="4"/>
  <c r="D50" i="4"/>
  <c r="I50" i="4" s="1"/>
  <c r="D55" i="4"/>
  <c r="H54" i="4"/>
  <c r="E57" i="4"/>
  <c r="D40" i="4"/>
  <c r="I31" i="4"/>
  <c r="D26" i="4"/>
  <c r="H21" i="4"/>
  <c r="H26" i="4" s="1"/>
  <c r="I21" i="4"/>
  <c r="D57" i="4"/>
  <c r="H57" i="4" s="1"/>
  <c r="I26" i="4" l="1"/>
  <c r="I40" i="4"/>
  <c r="H40" i="4"/>
  <c r="H55" i="4"/>
  <c r="I55" i="4"/>
  <c r="I57" i="4" s="1"/>
  <c r="B70" i="15" l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B145" i="15" s="1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B162" i="15" s="1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B179" i="15" s="1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B196" i="15" s="1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54" i="15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35" i="15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I143" i="15"/>
  <c r="E171" i="15" l="1"/>
  <c r="J136" i="15"/>
  <c r="I136" i="15"/>
  <c r="H136" i="15"/>
  <c r="G136" i="15"/>
  <c r="F56" i="15"/>
  <c r="F36" i="15"/>
  <c r="H9" i="25"/>
  <c r="G9" i="25"/>
  <c r="F9" i="25"/>
  <c r="E9" i="25"/>
  <c r="D5" i="25"/>
  <c r="D8" i="25"/>
  <c r="D7" i="25"/>
  <c r="D6" i="25"/>
  <c r="D9" i="25" l="1"/>
  <c r="F188" i="15" l="1"/>
  <c r="F184" i="15"/>
  <c r="D108" i="15" l="1"/>
  <c r="E183" i="15"/>
  <c r="E175" i="15"/>
  <c r="E153" i="15"/>
  <c r="E152" i="15" s="1"/>
  <c r="E96" i="15"/>
  <c r="E80" i="15"/>
  <c r="E72" i="15"/>
  <c r="E54" i="15"/>
  <c r="E43" i="15"/>
  <c r="E38" i="15"/>
  <c r="E69" i="15" l="1"/>
  <c r="J198" i="15"/>
  <c r="J197" i="15"/>
  <c r="J196" i="15"/>
  <c r="J195" i="15"/>
  <c r="J194" i="15"/>
  <c r="J193" i="15"/>
  <c r="J192" i="15"/>
  <c r="I198" i="15"/>
  <c r="I197" i="15"/>
  <c r="I196" i="15"/>
  <c r="I195" i="15"/>
  <c r="I194" i="15"/>
  <c r="I193" i="15"/>
  <c r="I192" i="15"/>
  <c r="H198" i="15"/>
  <c r="H197" i="15"/>
  <c r="H196" i="15"/>
  <c r="H195" i="15"/>
  <c r="H194" i="15"/>
  <c r="H193" i="15"/>
  <c r="H192" i="15"/>
  <c r="G194" i="15"/>
  <c r="G198" i="15"/>
  <c r="G197" i="15"/>
  <c r="G196" i="15"/>
  <c r="G195" i="15"/>
  <c r="G193" i="15"/>
  <c r="G192" i="15"/>
  <c r="F182" i="15"/>
  <c r="F181" i="15"/>
  <c r="F180" i="15"/>
  <c r="F196" i="15" s="1"/>
  <c r="F179" i="15"/>
  <c r="F178" i="15"/>
  <c r="F177" i="15"/>
  <c r="F176" i="15"/>
  <c r="F192" i="15" s="1"/>
  <c r="J183" i="15"/>
  <c r="J137" i="15" s="1"/>
  <c r="J135" i="15" s="1"/>
  <c r="I183" i="15"/>
  <c r="I137" i="15" s="1"/>
  <c r="I135" i="15" s="1"/>
  <c r="H183" i="15"/>
  <c r="H137" i="15" s="1"/>
  <c r="H135" i="15" s="1"/>
  <c r="G183" i="15"/>
  <c r="G137" i="15" s="1"/>
  <c r="G135" i="15" s="1"/>
  <c r="J175" i="15"/>
  <c r="I175" i="15"/>
  <c r="H175" i="15"/>
  <c r="G175" i="15"/>
  <c r="J153" i="15"/>
  <c r="I153" i="15"/>
  <c r="H153" i="15"/>
  <c r="H152" i="15" s="1"/>
  <c r="G153" i="15"/>
  <c r="J152" i="15"/>
  <c r="I152" i="15"/>
  <c r="G152" i="15"/>
  <c r="J54" i="15"/>
  <c r="I54" i="15"/>
  <c r="H54" i="15"/>
  <c r="G54" i="15"/>
  <c r="J80" i="15"/>
  <c r="I80" i="15"/>
  <c r="H80" i="15"/>
  <c r="G80" i="15"/>
  <c r="J43" i="15"/>
  <c r="I43" i="15"/>
  <c r="H43" i="15"/>
  <c r="J38" i="15"/>
  <c r="I38" i="15"/>
  <c r="H38" i="15"/>
  <c r="G43" i="15"/>
  <c r="G38" i="15"/>
  <c r="C40" i="8"/>
  <c r="G191" i="15" l="1"/>
  <c r="I191" i="15"/>
  <c r="H191" i="15"/>
  <c r="J191" i="15"/>
  <c r="J35" i="15"/>
  <c r="J132" i="15" s="1"/>
  <c r="I35" i="15"/>
  <c r="I132" i="15" s="1"/>
  <c r="F175" i="15"/>
  <c r="H35" i="15"/>
  <c r="H132" i="15" s="1"/>
  <c r="G35" i="15"/>
  <c r="F35" i="15" s="1"/>
  <c r="D26" i="24"/>
  <c r="F132" i="15" l="1"/>
  <c r="G132" i="15"/>
  <c r="F18" i="20"/>
  <c r="F17" i="20"/>
  <c r="F19" i="20" s="1"/>
  <c r="D12" i="20"/>
  <c r="F11" i="20"/>
  <c r="F10" i="20"/>
  <c r="F9" i="20"/>
  <c r="F8" i="20"/>
  <c r="F7" i="20"/>
  <c r="F6" i="20"/>
  <c r="F5" i="20"/>
  <c r="F4" i="20"/>
  <c r="F12" i="20" l="1"/>
  <c r="D43" i="16"/>
  <c r="D42" i="16"/>
  <c r="D41" i="16"/>
  <c r="D40" i="16"/>
  <c r="D39" i="16"/>
  <c r="D38" i="16"/>
  <c r="D44" i="16" s="1"/>
  <c r="D35" i="16"/>
  <c r="D34" i="16"/>
  <c r="D33" i="16"/>
  <c r="D32" i="16"/>
  <c r="D31" i="16"/>
  <c r="D30" i="16"/>
  <c r="D36" i="16" s="1"/>
  <c r="D27" i="16"/>
  <c r="D26" i="16"/>
  <c r="D25" i="16"/>
  <c r="D24" i="16"/>
  <c r="D23" i="16"/>
  <c r="D22" i="16"/>
  <c r="D28" i="16" s="1"/>
  <c r="D19" i="16"/>
  <c r="D18" i="16"/>
  <c r="D17" i="16"/>
  <c r="D16" i="16"/>
  <c r="D15" i="16"/>
  <c r="D14" i="16"/>
  <c r="D20" i="16" s="1"/>
  <c r="D11" i="16"/>
  <c r="D10" i="16"/>
  <c r="D9" i="16"/>
  <c r="D8" i="16"/>
  <c r="D7" i="16"/>
  <c r="D6" i="16"/>
  <c r="D12" i="16" s="1"/>
  <c r="G93" i="9"/>
  <c r="F93" i="9"/>
  <c r="G49" i="10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B44" i="16"/>
  <c r="B36" i="16"/>
  <c r="B28" i="16"/>
  <c r="B20" i="16"/>
  <c r="B12" i="16"/>
  <c r="D46" i="16" l="1"/>
  <c r="F206" i="15"/>
  <c r="F205" i="15"/>
  <c r="F204" i="15"/>
  <c r="F203" i="15"/>
  <c r="F202" i="15"/>
  <c r="F201" i="15"/>
  <c r="F200" i="15"/>
  <c r="F199" i="15"/>
  <c r="F190" i="15"/>
  <c r="F198" i="15" s="1"/>
  <c r="F189" i="15"/>
  <c r="F197" i="15" s="1"/>
  <c r="F187" i="15"/>
  <c r="F195" i="15" s="1"/>
  <c r="F186" i="15"/>
  <c r="F194" i="15" s="1"/>
  <c r="F185" i="15"/>
  <c r="F193" i="15" s="1"/>
  <c r="F183" i="15"/>
  <c r="F191" i="15" s="1"/>
  <c r="F174" i="15"/>
  <c r="F173" i="15"/>
  <c r="F172" i="15"/>
  <c r="F168" i="15"/>
  <c r="F167" i="15"/>
  <c r="F166" i="15"/>
  <c r="F165" i="15"/>
  <c r="F164" i="15"/>
  <c r="F163" i="15"/>
  <c r="F162" i="15"/>
  <c r="F161" i="15"/>
  <c r="F160" i="15"/>
  <c r="F159" i="15"/>
  <c r="F158" i="15"/>
  <c r="F157" i="15"/>
  <c r="F156" i="15"/>
  <c r="F155" i="15"/>
  <c r="F154" i="15"/>
  <c r="F153" i="15"/>
  <c r="F150" i="15"/>
  <c r="F149" i="15"/>
  <c r="F148" i="15"/>
  <c r="F147" i="15"/>
  <c r="F146" i="15"/>
  <c r="F145" i="15"/>
  <c r="F144" i="15"/>
  <c r="J143" i="15"/>
  <c r="J140" i="15" s="1"/>
  <c r="I140" i="15"/>
  <c r="H143" i="15"/>
  <c r="H140" i="15" s="1"/>
  <c r="G143" i="15"/>
  <c r="G140" i="15" s="1"/>
  <c r="E143" i="15"/>
  <c r="E140" i="15" s="1"/>
  <c r="F142" i="15"/>
  <c r="F141" i="15"/>
  <c r="F139" i="15"/>
  <c r="F138" i="15"/>
  <c r="F137" i="15"/>
  <c r="F136" i="15"/>
  <c r="F135" i="15"/>
  <c r="E134" i="15"/>
  <c r="D134" i="15"/>
  <c r="F131" i="15"/>
  <c r="F128" i="15"/>
  <c r="F127" i="15"/>
  <c r="F126" i="15"/>
  <c r="J125" i="15"/>
  <c r="I125" i="15"/>
  <c r="H125" i="15"/>
  <c r="G125" i="15"/>
  <c r="E125" i="15"/>
  <c r="D125" i="15"/>
  <c r="F124" i="15"/>
  <c r="F123" i="15"/>
  <c r="F122" i="15"/>
  <c r="F121" i="15"/>
  <c r="F120" i="15"/>
  <c r="J119" i="15"/>
  <c r="I119" i="15"/>
  <c r="H119" i="15"/>
  <c r="G119" i="15"/>
  <c r="E119" i="15"/>
  <c r="D119" i="15"/>
  <c r="F118" i="15"/>
  <c r="F117" i="15"/>
  <c r="F116" i="15"/>
  <c r="F115" i="15"/>
  <c r="F114" i="15"/>
  <c r="F113" i="15"/>
  <c r="F112" i="15"/>
  <c r="F111" i="15"/>
  <c r="F110" i="15"/>
  <c r="F109" i="15"/>
  <c r="J108" i="15"/>
  <c r="I108" i="15"/>
  <c r="H108" i="15"/>
  <c r="G108" i="15"/>
  <c r="F106" i="15"/>
  <c r="F105" i="15"/>
  <c r="F104" i="15"/>
  <c r="F103" i="15"/>
  <c r="F102" i="15"/>
  <c r="F101" i="15"/>
  <c r="F100" i="15"/>
  <c r="F99" i="15"/>
  <c r="F98" i="15"/>
  <c r="F97" i="15"/>
  <c r="J96" i="15"/>
  <c r="I96" i="15"/>
  <c r="H96" i="15"/>
  <c r="G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71" i="15"/>
  <c r="F70" i="15"/>
  <c r="J69" i="15"/>
  <c r="I69" i="15"/>
  <c r="H69" i="15"/>
  <c r="G69" i="15"/>
  <c r="F68" i="15"/>
  <c r="F67" i="15"/>
  <c r="F66" i="15"/>
  <c r="F64" i="15"/>
  <c r="F63" i="15"/>
  <c r="F62" i="15"/>
  <c r="F61" i="15"/>
  <c r="F60" i="15"/>
  <c r="F59" i="15"/>
  <c r="F58" i="15"/>
  <c r="F57" i="15"/>
  <c r="F55" i="15"/>
  <c r="F54" i="15" s="1"/>
  <c r="F50" i="15"/>
  <c r="F49" i="15"/>
  <c r="F48" i="15"/>
  <c r="F47" i="15"/>
  <c r="F46" i="15"/>
  <c r="F45" i="15"/>
  <c r="F44" i="15"/>
  <c r="F43" i="15"/>
  <c r="D43" i="15"/>
  <c r="D35" i="15" s="1"/>
  <c r="F42" i="15"/>
  <c r="F41" i="15"/>
  <c r="F40" i="15"/>
  <c r="F39" i="15"/>
  <c r="F37" i="15"/>
  <c r="E35" i="15"/>
  <c r="E38" i="9"/>
  <c r="F35" i="10"/>
  <c r="G35" i="10" s="1"/>
  <c r="H49" i="10"/>
  <c r="F42" i="10"/>
  <c r="F40" i="10"/>
  <c r="F39" i="10"/>
  <c r="F38" i="10"/>
  <c r="F44" i="10" s="1"/>
  <c r="F32" i="10"/>
  <c r="F31" i="10"/>
  <c r="F30" i="10"/>
  <c r="F29" i="10"/>
  <c r="F28" i="10"/>
  <c r="F27" i="10"/>
  <c r="F26" i="10"/>
  <c r="F25" i="10"/>
  <c r="F24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E89" i="9"/>
  <c r="E88" i="9"/>
  <c r="E87" i="9"/>
  <c r="E86" i="9"/>
  <c r="E85" i="9"/>
  <c r="E84" i="9"/>
  <c r="E83" i="9"/>
  <c r="E82" i="9"/>
  <c r="E81" i="9"/>
  <c r="E80" i="9"/>
  <c r="E79" i="9"/>
  <c r="E78" i="9"/>
  <c r="E90" i="9" s="1"/>
  <c r="E75" i="9"/>
  <c r="E74" i="9"/>
  <c r="E73" i="9"/>
  <c r="E72" i="9"/>
  <c r="E71" i="9"/>
  <c r="E70" i="9"/>
  <c r="E69" i="9"/>
  <c r="E47" i="9"/>
  <c r="E46" i="9"/>
  <c r="E45" i="9"/>
  <c r="E44" i="9"/>
  <c r="E43" i="9"/>
  <c r="E42" i="9"/>
  <c r="E41" i="9"/>
  <c r="E67" i="9" s="1"/>
  <c r="E33" i="9"/>
  <c r="E32" i="9"/>
  <c r="E31" i="9"/>
  <c r="E30" i="9"/>
  <c r="E29" i="9"/>
  <c r="E28" i="9"/>
  <c r="E27" i="9"/>
  <c r="E26" i="9"/>
  <c r="E25" i="9"/>
  <c r="E24" i="9"/>
  <c r="E23" i="9"/>
  <c r="E22" i="9"/>
  <c r="E39" i="9" s="1"/>
  <c r="E97" i="9" l="1"/>
  <c r="G44" i="10"/>
  <c r="H44" i="10"/>
  <c r="F143" i="15"/>
  <c r="F140" i="15"/>
  <c r="F151" i="15"/>
  <c r="F169" i="15"/>
  <c r="F171" i="15" s="1"/>
  <c r="J107" i="15"/>
  <c r="J53" i="15" s="1"/>
  <c r="J133" i="15" s="1"/>
  <c r="J134" i="15" s="1"/>
  <c r="D107" i="15"/>
  <c r="D53" i="15" s="1"/>
  <c r="E107" i="15"/>
  <c r="E53" i="15" s="1"/>
  <c r="H107" i="15"/>
  <c r="H53" i="15" s="1"/>
  <c r="H133" i="15" s="1"/>
  <c r="H134" i="15" s="1"/>
  <c r="F125" i="15"/>
  <c r="F119" i="15"/>
  <c r="I107" i="15"/>
  <c r="I53" i="15" s="1"/>
  <c r="I133" i="15" s="1"/>
  <c r="I134" i="15" s="1"/>
  <c r="F108" i="15"/>
  <c r="F96" i="15"/>
  <c r="F69" i="15"/>
  <c r="F38" i="15"/>
  <c r="F33" i="10"/>
  <c r="E76" i="9"/>
  <c r="F76" i="9" s="1"/>
  <c r="F67" i="9"/>
  <c r="G107" i="15"/>
  <c r="F39" i="9"/>
  <c r="G39" i="9"/>
  <c r="G90" i="9"/>
  <c r="F90" i="9"/>
  <c r="G33" i="10" l="1"/>
  <c r="F47" i="10"/>
  <c r="H33" i="10"/>
  <c r="G76" i="9"/>
  <c r="G67" i="9"/>
  <c r="F97" i="9"/>
  <c r="F107" i="15"/>
  <c r="G53" i="15"/>
  <c r="E21" i="8"/>
  <c r="D21" i="8"/>
  <c r="D41" i="8" s="1"/>
  <c r="C7" i="8"/>
  <c r="C5" i="8"/>
  <c r="C6" i="8"/>
  <c r="C8" i="8"/>
  <c r="C9" i="8"/>
  <c r="C10" i="8"/>
  <c r="C11" i="8"/>
  <c r="C12" i="8"/>
  <c r="C13" i="8"/>
  <c r="C14" i="8"/>
  <c r="C15" i="8"/>
  <c r="C16" i="8"/>
  <c r="C17" i="8"/>
  <c r="C18" i="8"/>
  <c r="C19" i="8"/>
  <c r="C24" i="8"/>
  <c r="C23" i="8"/>
  <c r="C27" i="8"/>
  <c r="C29" i="8"/>
  <c r="C31" i="8"/>
  <c r="C32" i="8"/>
  <c r="C33" i="8" s="1"/>
  <c r="C35" i="8"/>
  <c r="C37" i="8"/>
  <c r="C39" i="8"/>
  <c r="E25" i="8"/>
  <c r="D25" i="8"/>
  <c r="C25" i="8" l="1"/>
  <c r="E41" i="8"/>
  <c r="G97" i="9"/>
  <c r="C21" i="8"/>
  <c r="C41" i="8" s="1"/>
  <c r="H47" i="10"/>
  <c r="H51" i="10" s="1"/>
  <c r="G47" i="10"/>
  <c r="G51" i="10" s="1"/>
  <c r="F53" i="15"/>
  <c r="F133" i="15" s="1"/>
  <c r="G133" i="15"/>
  <c r="D31" i="7"/>
  <c r="F51" i="10" l="1"/>
  <c r="F134" i="15" l="1"/>
  <c r="F152" i="15"/>
  <c r="G134" i="15" l="1"/>
</calcChain>
</file>

<file path=xl/sharedStrings.xml><?xml version="1.0" encoding="utf-8"?>
<sst xmlns="http://schemas.openxmlformats.org/spreadsheetml/2006/main" count="1132" uniqueCount="802">
  <si>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</si>
  <si>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</si>
  <si>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</si>
  <si>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</si>
  <si>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Р.Марцінків</t>
  </si>
  <si>
    <t>"____" _______________ 20___ р.</t>
  </si>
  <si>
    <t>Проект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</si>
  <si>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</si>
  <si>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</si>
  <si>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</si>
  <si>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</si>
  <si>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</si>
  <si>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 xml:space="preserve">                                                      М.Бойко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</si>
  <si>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</si>
  <si>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</si>
  <si>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</si>
  <si>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</si>
  <si>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</si>
  <si>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</si>
  <si>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</si>
  <si>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</si>
  <si>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</si>
  <si>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</si>
  <si>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</si>
  <si>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</si>
  <si>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</si>
  <si>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</si>
  <si>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</si>
  <si>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</si>
  <si>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</si>
  <si>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</si>
  <si>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</si>
  <si>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</si>
  <si>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</si>
  <si>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</si>
  <si>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</si>
  <si>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</si>
  <si>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</si>
  <si>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</si>
  <si>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</si>
  <si>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</si>
  <si>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</si>
  <si>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</si>
  <si>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</si>
  <si>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</si>
  <si>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</si>
  <si>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</si>
  <si>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</si>
  <si>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</si>
  <si>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</si>
  <si>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</si>
  <si>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</si>
  <si>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</si>
  <si>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</si>
  <si>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</si>
  <si>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</si>
  <si>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</si>
  <si>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</si>
  <si>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</si>
  <si>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</si>
  <si>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</si>
  <si>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</si>
  <si>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</si>
  <si>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</si>
  <si>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</si>
  <si>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</si>
  <si>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</si>
  <si>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</si>
  <si>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</si>
  <si>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</si>
  <si>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</si>
  <si>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</si>
  <si>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</si>
  <si>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</si>
  <si>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</si>
  <si>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</si>
  <si>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</si>
  <si>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</si>
  <si>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</si>
  <si>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</si>
  <si>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</si>
  <si>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</si>
  <si>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</si>
  <si>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</si>
  <si>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</si>
  <si>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</si>
  <si>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</si>
  <si>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</si>
  <si>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</si>
  <si>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</si>
  <si>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</si>
  <si>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 xml:space="preserve">         (ініціали, прізвище)    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</si>
  <si>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</si>
  <si>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</si>
  <si>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</si>
  <si>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</si>
  <si>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</si>
  <si>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</si>
  <si>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</si>
  <si>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</si>
  <si>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</si>
  <si>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</si>
  <si>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</si>
  <si>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</si>
  <si>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</si>
  <si>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</si>
  <si>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</si>
  <si>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</si>
  <si>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</si>
  <si>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</si>
  <si>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</si>
  <si>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</si>
  <si>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</si>
  <si>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</si>
  <si>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</si>
  <si>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</si>
  <si>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</si>
  <si>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</si>
  <si>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</si>
  <si>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</si>
  <si>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</si>
  <si>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</si>
  <si>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</si>
  <si>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</si>
  <si>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</si>
  <si>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</si>
  <si>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</si>
  <si>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</si>
  <si>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</si>
  <si>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</si>
  <si>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</si>
  <si>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</si>
  <si>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</si>
  <si>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</si>
  <si>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</si>
  <si>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</si>
  <si>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</si>
  <si>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</si>
  <si>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</si>
  <si>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</si>
  <si>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</si>
  <si>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</si>
  <si>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</si>
  <si>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</si>
  <si>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</si>
  <si>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</si>
  <si>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</si>
  <si>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</si>
  <si>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</si>
  <si>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</si>
  <si>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</si>
  <si>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1060.7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</si>
  <si>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</si>
  <si>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</si>
  <si>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</si>
  <si>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</si>
  <si>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</si>
  <si>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</si>
  <si>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</si>
  <si>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</si>
  <si>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</si>
  <si>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</si>
  <si>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</si>
  <si>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</si>
  <si>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</si>
  <si>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</si>
  <si>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</si>
  <si>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</si>
  <si>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</si>
  <si>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</si>
  <si>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</si>
  <si>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</si>
  <si>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</si>
  <si>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</si>
  <si>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</si>
  <si>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</si>
  <si>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</si>
  <si>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</si>
  <si>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</si>
  <si>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</si>
  <si>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</si>
  <si>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</si>
  <si>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</si>
  <si>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</si>
  <si>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</si>
  <si>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</si>
  <si>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</si>
  <si>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</si>
  <si>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</si>
  <si>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</si>
  <si>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</si>
  <si>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</si>
  <si>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</si>
  <si>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</si>
  <si>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</si>
  <si>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</si>
  <si>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</si>
  <si>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</si>
  <si>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</si>
  <si>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</si>
  <si>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</si>
  <si>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</si>
  <si>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</si>
  <si>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</si>
  <si>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</si>
  <si>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</si>
  <si>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</si>
  <si>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</si>
  <si>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</si>
  <si>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</si>
  <si>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</si>
  <si>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</si>
  <si>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</si>
  <si>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</si>
  <si>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</si>
  <si>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</si>
  <si>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</si>
  <si>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</si>
  <si>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</si>
  <si>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</si>
  <si>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</si>
  <si>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</si>
  <si>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</si>
  <si>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</si>
  <si>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</si>
  <si>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Прогнозований розрахунок потреби коштів на комунальні послуги КНП "ЦПМКДД" на 2021 рік</t>
  </si>
  <si>
    <t>Ліміт на рік</t>
  </si>
  <si>
    <t>І квартал</t>
  </si>
  <si>
    <t>ІІ квартал</t>
  </si>
  <si>
    <t>ІІІ квартал</t>
  </si>
  <si>
    <t>ІV квартал</t>
  </si>
  <si>
    <t>Разом</t>
  </si>
  <si>
    <t>Теплова енергія</t>
  </si>
  <si>
    <t>г/кал</t>
  </si>
  <si>
    <t xml:space="preserve">    тариф</t>
  </si>
  <si>
    <t xml:space="preserve">    сума</t>
  </si>
  <si>
    <t>сума з 20%</t>
  </si>
  <si>
    <t>теплове навантаження</t>
  </si>
  <si>
    <t>гаряча вода</t>
  </si>
  <si>
    <t>м/куб</t>
  </si>
  <si>
    <t>Разом теплоенергія</t>
  </si>
  <si>
    <t>холодна вода</t>
  </si>
  <si>
    <t>Водовідведення</t>
  </si>
  <si>
    <t>Разом вода і водовідведення</t>
  </si>
  <si>
    <t>Електроенергія</t>
  </si>
  <si>
    <t>квт/год</t>
  </si>
  <si>
    <t xml:space="preserve">    - споживання</t>
  </si>
  <si>
    <t xml:space="preserve">        тариф</t>
  </si>
  <si>
    <t xml:space="preserve">        сума</t>
  </si>
  <si>
    <t xml:space="preserve">    - розподіл</t>
  </si>
  <si>
    <t xml:space="preserve">    - перетік</t>
  </si>
  <si>
    <t>Разом електроенергія</t>
  </si>
  <si>
    <t>Природний газ</t>
  </si>
  <si>
    <t>Разом природний газ</t>
  </si>
  <si>
    <t>Директор</t>
  </si>
  <si>
    <t>Савчук О.В.</t>
  </si>
  <si>
    <t>Головний бухгалтер</t>
  </si>
  <si>
    <t>Родчук Г.М.</t>
  </si>
  <si>
    <t>КНП "Центр первинної медичної і консультативно-діагностичної допомоги"</t>
  </si>
  <si>
    <t>комунальне підприємство</t>
  </si>
  <si>
    <t>Івано-Франківськ</t>
  </si>
  <si>
    <t>Охорона здоров'я</t>
  </si>
  <si>
    <t>Діяльність лікарських закладів</t>
  </si>
  <si>
    <t>комунальна</t>
  </si>
  <si>
    <t>Україна, 76018, Івано-Франківська область, м.Івано-Франківськ, вул.Привокзальна, 17</t>
  </si>
  <si>
    <t>59-22-27</t>
  </si>
  <si>
    <t>86.10</t>
  </si>
  <si>
    <t>ВСЬОГО:</t>
  </si>
  <si>
    <t>Сміття</t>
  </si>
  <si>
    <t>Разом сміття</t>
  </si>
  <si>
    <t>Капітальні інвестиції</t>
  </si>
  <si>
    <t>Найменування об'єкта</t>
  </si>
  <si>
    <t>Строк реалізації об'єкта (рік початку і завершення)</t>
  </si>
  <si>
    <t>Всього</t>
  </si>
  <si>
    <t>Додаток 1</t>
  </si>
  <si>
    <t>Додаток 2</t>
  </si>
  <si>
    <t>2021рік (проект)</t>
  </si>
  <si>
    <t>тис.грн</t>
  </si>
  <si>
    <t>Капітальний ремонт кабінету КТ</t>
  </si>
  <si>
    <t>Закупівля 40 принтерів для роботи лікарського складу</t>
  </si>
  <si>
    <t>Закупівля автотранспорту для пункту невідкладної допомоги</t>
  </si>
  <si>
    <t>Обладнання пункту невідкладної медичної допомоги</t>
  </si>
  <si>
    <t>Капітальний ремонт пункту невідкладної медичної допомоги</t>
  </si>
  <si>
    <t>Забезбечення роботи ІК (дезінфікуючі)</t>
  </si>
  <si>
    <t>Додаток 4</t>
  </si>
  <si>
    <t>н/п</t>
  </si>
  <si>
    <t>Назва послуги</t>
  </si>
  <si>
    <t>Сума</t>
  </si>
  <si>
    <t>Первинка</t>
  </si>
  <si>
    <t>Вторинка</t>
  </si>
  <si>
    <t>Гістологічні дослідження</t>
  </si>
  <si>
    <t>Цитологічні дослідження</t>
  </si>
  <si>
    <t>Навчання( адмін.госп.пер.)</t>
  </si>
  <si>
    <t>Прання білизни</t>
  </si>
  <si>
    <t>Обслуговування ліфтів (Сп №2 та МДП)</t>
  </si>
  <si>
    <t>Охорона обєктів і протипожежна сигналізація(СП№5,СП№3,СП№1,МДП і пед.відділення.)</t>
  </si>
  <si>
    <t>Технічне обслуговування та ремонт мед.обладнання  (Медтехніка)(графік)</t>
  </si>
  <si>
    <t>Повірка медичного обладнання  ДП                                      "Ів.Фр.Нау.вир.центр Стандарт метрологія)                (згідно списків потреб)</t>
  </si>
  <si>
    <t>Ремонт та тех.обслуговування медобладнання (флюрограф і рентгенапарати)</t>
  </si>
  <si>
    <t>Передплата періодичне видання</t>
  </si>
  <si>
    <t>Відшкодування комунальних послуг по педіатричному відділенні №8</t>
  </si>
  <si>
    <t>Поточний ремонт  приміщення (згідно планів провед.ремонт.робіт)</t>
  </si>
  <si>
    <t>Послуги по стоматології СП №5(зубопротезувальника )</t>
  </si>
  <si>
    <t>Послуги поточні(пломб.ліч.касове обслуг.тощо)</t>
  </si>
  <si>
    <t>Ремонт автомобілів</t>
  </si>
  <si>
    <t>Запасні частини до транспортних засобів</t>
  </si>
  <si>
    <t>Програма</t>
  </si>
  <si>
    <t>Інтернет , зв'язок,телефон</t>
  </si>
  <si>
    <t>Заправка катриджів</t>
  </si>
  <si>
    <t>Ремонт оргтехніки</t>
  </si>
  <si>
    <t>Витрати на охорону праці і навчання (згідно плану Інженера з Охр.прац.)</t>
  </si>
  <si>
    <t>Юридичні послуги</t>
  </si>
  <si>
    <t>Витрати на службові відрядження</t>
  </si>
  <si>
    <t>Всього:</t>
  </si>
  <si>
    <t>Вторинка (Спецфонд)</t>
  </si>
  <si>
    <t>Первинка (НСЗУ)</t>
  </si>
  <si>
    <t>Додаток 3</t>
  </si>
  <si>
    <t>Вивезення біовідходів</t>
  </si>
  <si>
    <t>Господарські товари та інвентар</t>
  </si>
  <si>
    <t>Назва товару</t>
  </si>
  <si>
    <t>Один.виміру</t>
  </si>
  <si>
    <t>Кількість</t>
  </si>
  <si>
    <t>Ціна</t>
  </si>
  <si>
    <t>шт</t>
  </si>
  <si>
    <t xml:space="preserve">Чистящий порошок </t>
  </si>
  <si>
    <t>Мило господарське</t>
  </si>
  <si>
    <t>Рушники паперові</t>
  </si>
  <si>
    <t>Госодарські товари</t>
  </si>
  <si>
    <t>Мітла пластикова</t>
  </si>
  <si>
    <t>Совок для сміття</t>
  </si>
  <si>
    <t>Відра педальні для сміття</t>
  </si>
  <si>
    <t>Віник для вулиці</t>
  </si>
  <si>
    <t>Набір мочалок</t>
  </si>
  <si>
    <t>Пакети для сміття</t>
  </si>
  <si>
    <t>Пакети для сміття великі</t>
  </si>
  <si>
    <t>пластикові бокси для мед.сміття</t>
  </si>
  <si>
    <t>Йоржик</t>
  </si>
  <si>
    <t>Дрібний інвентар (при потребі)</t>
  </si>
  <si>
    <t>Вода звичайна (Моршинська)</t>
  </si>
  <si>
    <t>Вода бутильована</t>
  </si>
  <si>
    <t>Електротовари</t>
  </si>
  <si>
    <t>Постільна білизна</t>
  </si>
  <si>
    <t>Рушники вафельні</t>
  </si>
  <si>
    <t>Наволочки</t>
  </si>
  <si>
    <t>Підодіяльники</t>
  </si>
  <si>
    <t>Простирадло</t>
  </si>
  <si>
    <t>Одноразові простині</t>
  </si>
  <si>
    <t>рул.</t>
  </si>
  <si>
    <t>Сантехніка</t>
  </si>
  <si>
    <t>Сифони</t>
  </si>
  <si>
    <t>Крани 15</t>
  </si>
  <si>
    <t>Шланги д/змішувачів</t>
  </si>
  <si>
    <t>Труба каналізаційна - 50</t>
  </si>
  <si>
    <t>Коліна каналізаційні - 50</t>
  </si>
  <si>
    <t>Трійник каналізаційний - 50</t>
  </si>
  <si>
    <t>Градусники ТТШ-М</t>
  </si>
  <si>
    <t>Шурупи</t>
  </si>
  <si>
    <t>короб.</t>
  </si>
  <si>
    <t>Змішувачі д/умивальників</t>
  </si>
  <si>
    <t>Набір ключів рожкових</t>
  </si>
  <si>
    <t>Трос д/пробивання каналіз.</t>
  </si>
  <si>
    <t>Замок врізний</t>
  </si>
  <si>
    <t>Друкована продукція,бланки( особ картки,рецеп.бланки,тощо)</t>
  </si>
  <si>
    <t>Додаток 5</t>
  </si>
  <si>
    <t>КАНЦТОВАРИ</t>
  </si>
  <si>
    <t>Один.    виміру</t>
  </si>
  <si>
    <t>Канцтовари</t>
  </si>
  <si>
    <t>Ручка кулькова</t>
  </si>
  <si>
    <t>Ручка гелева</t>
  </si>
  <si>
    <t>Коректор-ручка</t>
  </si>
  <si>
    <t>Коректор з пензликом</t>
  </si>
  <si>
    <t>Клей</t>
  </si>
  <si>
    <t>Клей олівець</t>
  </si>
  <si>
    <t>Стержень кульковий</t>
  </si>
  <si>
    <t>Стержень гелевий</t>
  </si>
  <si>
    <t>Скоби № 24/6  1000 шт</t>
  </si>
  <si>
    <t>пачка</t>
  </si>
  <si>
    <t>Скоби № 23/10  1000 шт</t>
  </si>
  <si>
    <t>Скріпки 25 мм 100шт</t>
  </si>
  <si>
    <t>Скріпки 28 мм 100шт</t>
  </si>
  <si>
    <t>Степлер</t>
  </si>
  <si>
    <t>Сегрегатор</t>
  </si>
  <si>
    <t>Олівці з гумкою</t>
  </si>
  <si>
    <t>Папки на завязках</t>
  </si>
  <si>
    <t>Швидкозшивачі</t>
  </si>
  <si>
    <t>Папір ксероксний</t>
  </si>
  <si>
    <t>Папір газетний</t>
  </si>
  <si>
    <t>Папір для нотаток 90*90</t>
  </si>
  <si>
    <t>Файли А4 100шт.</t>
  </si>
  <si>
    <t>Дирокіл пластмасовий</t>
  </si>
  <si>
    <t>Маркер</t>
  </si>
  <si>
    <t>Фарба штемпельна</t>
  </si>
  <si>
    <t>Змінна штемп.подушка</t>
  </si>
  <si>
    <t>Поштові марки</t>
  </si>
  <si>
    <t>Конверти</t>
  </si>
  <si>
    <t>Предмети, матеріали,меблі</t>
  </si>
  <si>
    <t>Жалюзі</t>
  </si>
  <si>
    <t>Столи</t>
  </si>
  <si>
    <t>Шафи</t>
  </si>
  <si>
    <t>Стільці</t>
  </si>
  <si>
    <t>Канцтовари та офісне обладнання</t>
  </si>
  <si>
    <t>Витрати на паливо-мастильні матеріали</t>
  </si>
  <si>
    <t>Додаток 6</t>
  </si>
  <si>
    <t xml:space="preserve">К-сть один. </t>
  </si>
  <si>
    <t>Страхування автотранспорту</t>
  </si>
  <si>
    <t>Страхування водіїв</t>
  </si>
  <si>
    <t>Страхування ВІЛ сніду</t>
  </si>
  <si>
    <t>Страхування від гепатиту</t>
  </si>
  <si>
    <t>Медичні вироби:</t>
  </si>
  <si>
    <t>-рентгенплівка:</t>
  </si>
  <si>
    <t>13*18- 60 уп.</t>
  </si>
  <si>
    <t>Лабораторні реактиви:</t>
  </si>
  <si>
    <t>Лабораторний посуд:</t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</si>
  <si>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Пробірки лабораторні центрифужні градуйовані – 2500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</si>
  <si>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Пробірки Відаля – 2000 шт.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</si>
  <si>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Пробірки лабораторні центрифужні  не градуйовані- 3000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</si>
  <si>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Пробірки біологічні П2 16*150 – 1500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</si>
  <si>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Піпетки Панченка – 1000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</si>
  <si>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Піпетки  Салі 0,02 – 300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</si>
  <si>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Скло предметне 254876мм 7101  № 50шт/уп- 40 уп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</si>
  <si>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Скло покривне 18х18 №100 шт- 30 уп.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</si>
  <si>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Скло предметне 25*76 мм з полем для запису 7105 №50шт/уп-12 уп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</si>
  <si>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Кювета 5 мм (КФК,ФЕК) – 24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</si>
  <si>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Палички скляні 220 мм – 400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</si>
  <si>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Стакан В – 100мм ТС- 60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</si>
  <si>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Стакан В - 250мм ТС 30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</si>
  <si>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Стакан В мірний В га 1000 мм ТС-30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</si>
  <si>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Банки з темного скла на 1 л з кришкою-6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</si>
  <si>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Циліндр на 50 мм – 12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</si>
  <si>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Флакон для біологічних рідин 50 мм (стер)- 1000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</si>
  <si>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Піпетка-контейнер 150 мм 1мл стерильна- 70000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</si>
  <si>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Наконечники  200 мкл,жовті 1000 шт/уп – 6 уп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</si>
  <si>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Йорж для пробірок 10 мм- 15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</si>
  <si>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Йорж для пробірок 25 мм-15 шт</t>
    </r>
  </si>
  <si>
    <r>
      <t>-</t>
    </r>
    <r>
      <rPr>
        <sz val="7"/>
        <rFont val="Cambria"/>
        <family val="1"/>
        <charset val="204"/>
      </rPr>
      <t xml:space="preserve">         </t>
    </r>
    <r>
      <rPr>
        <sz val="14"/>
        <color indexed="8"/>
        <rFont val="Cambria"/>
        <family val="1"/>
        <charset val="204"/>
      </rPr>
      <t>Корки гумові 14,5- 100 шт</t>
    </r>
  </si>
  <si>
    <t>Дезінфікуючі засоби:</t>
  </si>
  <si>
    <t>Медичні  меблі :</t>
  </si>
  <si>
    <t>Прибиральний інвентар (швабри, відра)</t>
  </si>
  <si>
    <t>Контейнери для сміття</t>
  </si>
  <si>
    <t>скарифікатори уп №100 -150 уп.</t>
  </si>
  <si>
    <t>рукавиці стерильні(S,M,L,XL) 30 000 пар</t>
  </si>
  <si>
    <t>рукавиці нестерильні нітрилові(S,M,L,XL)- 60 000 пар</t>
  </si>
  <si>
    <t>гінекологічні набори-20 000 шт.</t>
  </si>
  <si>
    <t>зонди урогінетальні- 3 000 шт</t>
  </si>
  <si>
    <t>маски- 50 000 шт</t>
  </si>
  <si>
    <t>30*40-130 уп.</t>
  </si>
  <si>
    <t>24*30-80 уп.</t>
  </si>
  <si>
    <t>18*24- 40 уп.</t>
  </si>
  <si>
    <t>флюорографічна плівка- 18 уп.</t>
  </si>
  <si>
    <t>фотофіксаж 5 л- 20 уп.</t>
  </si>
  <si>
    <t>проявник 5 л - 20 уп.</t>
  </si>
  <si>
    <t>УЗД гель 5 л-40 уп.</t>
  </si>
  <si>
    <t>шовний матеріал- 20 уп.</t>
  </si>
  <si>
    <t>одноразові леза для скальпелю – 2000 шт</t>
  </si>
  <si>
    <t xml:space="preserve">  Дезінфекційний  засіб для гігієнічної та хірургічної обробки рук, швидкої дезінфекції невеликих за площею об’єктів  1000 мл  - 1000 шт; (180 000, 00)</t>
  </si>
  <si>
    <t xml:space="preserve">  Дезінфекційний  засіб для гігієнічної та хірургічної обробки рук, швидкої дезінфекції невеликих за площею об’єктів   60 мл – 2000 шт; (138 000,00)</t>
  </si>
  <si>
    <t xml:space="preserve">  Дезінфікуючий засіб для обробки рук, шкіри, невеликих за площею поверхонь, некритичних медичних виробів, серветки у банці -  300 шт; (120 000,00)</t>
  </si>
  <si>
    <t xml:space="preserve">   Готовий засіб для швидкої дезінфекції об’єктів із розпилювачем 1000 мл –500 шт; (190 000,00)</t>
  </si>
  <si>
    <t xml:space="preserve"> Дезінфекційний  засіб для обробки поверхонь, ВМП, знезараження медичних відходів та медичних виробів одноразового використання 1 кг банка (таблетки) – 600 шт. (216 000,00) </t>
  </si>
  <si>
    <t>844 000,000 грн.</t>
  </si>
  <si>
    <t>300 000,00 грн.</t>
  </si>
  <si>
    <t xml:space="preserve"> вата 100 гр 2000 – уп.</t>
  </si>
  <si>
    <t xml:space="preserve"> марлевий відріз 10 м – 3000 уп.</t>
  </si>
  <si>
    <t xml:space="preserve"> бинти стерильні- 500 шт</t>
  </si>
  <si>
    <t>бинти нестерильні- 1000 шт</t>
  </si>
  <si>
    <t>пластир медичний- 500 уп.</t>
  </si>
  <si>
    <t>бинти гіпсові-  600 шт</t>
  </si>
  <si>
    <t xml:space="preserve"> шприци 2,0-30 000 шт</t>
  </si>
  <si>
    <t xml:space="preserve"> шприци 5,0-40 000 шт</t>
  </si>
  <si>
    <t xml:space="preserve"> шприци 10,0-20 000 шт</t>
  </si>
  <si>
    <t xml:space="preserve"> шприци 20,0-10 000 шт</t>
  </si>
  <si>
    <t xml:space="preserve"> шприц туберкуліновий 1,0-15 000 шт</t>
  </si>
  <si>
    <t xml:space="preserve"> системи для інфузій- 8000 шт</t>
  </si>
  <si>
    <t>1 000 000,00 грн.</t>
  </si>
  <si>
    <t>200 000,00 грн.</t>
  </si>
  <si>
    <t>Додаток 10</t>
  </si>
  <si>
    <t>СП МП №1</t>
  </si>
  <si>
    <t>СП МП №2</t>
  </si>
  <si>
    <t>СП МП №3</t>
  </si>
  <si>
    <t>СП МП №4</t>
  </si>
  <si>
    <t>СП МП №5</t>
  </si>
  <si>
    <t>Дитяча поліклініка</t>
  </si>
  <si>
    <t>Страхування рентген апаратів</t>
  </si>
  <si>
    <t>Люмінісцентна лампа 18w (600)</t>
  </si>
  <si>
    <t>Люмінісцентна лампа 36w (1200)</t>
  </si>
  <si>
    <t>Лампа світлодіодна 9w</t>
  </si>
  <si>
    <t>Лампа енергозберігаюча цоколь Е-27 (10-8w)</t>
  </si>
  <si>
    <t>Лампа накалювання цоколь Е-27 (60-75w)</t>
  </si>
  <si>
    <t>Лампа люмінісцентна G13 18w/765</t>
  </si>
  <si>
    <t>Лампа люмінісцентна G13 36w/745</t>
  </si>
  <si>
    <t>Лампа денного освітлення L=60</t>
  </si>
  <si>
    <t>Вилка електрична з заземленням 16 А 250v</t>
  </si>
  <si>
    <t>Розетки внутрішня одинарна</t>
  </si>
  <si>
    <t>Вимикач одинарний внутрішній</t>
  </si>
  <si>
    <t>Автомат однофазний</t>
  </si>
  <si>
    <t>Автомат трьохфазний</t>
  </si>
  <si>
    <t>Кабель електричний ПВС 3/2,5</t>
  </si>
  <si>
    <t>м</t>
  </si>
  <si>
    <t>Кабель електричний ПВС 3/1,5</t>
  </si>
  <si>
    <t>Подовжувач 5 метрів</t>
  </si>
  <si>
    <t>Подовжувач для комп. 3 метри</t>
  </si>
  <si>
    <t>Світильники світлодіодні лінійні ДПО 12м 36w 4100-5000к.</t>
  </si>
  <si>
    <t>Світильники LED</t>
  </si>
  <si>
    <t>Порохотяг</t>
  </si>
  <si>
    <t>Електролобзик</t>
  </si>
  <si>
    <t>Електродриль</t>
  </si>
  <si>
    <t>Болгарка</t>
  </si>
  <si>
    <t>Праска</t>
  </si>
  <si>
    <t>Бойлер</t>
  </si>
  <si>
    <t>Центробічний насос</t>
  </si>
  <si>
    <t>3. Інструментальні столики 45 шт.(2500 грн) =112 500,00</t>
  </si>
  <si>
    <t>7. Гінекологічне крісло - 2 шт. (15000 грн.)=30 000,00</t>
  </si>
  <si>
    <t>6. Пеленальні  столики  - 40 шт. ( 2900 грн)= 116 000,00</t>
  </si>
  <si>
    <t>5. Медичні ліжка  - 40 шт. ( 4500 грн)=180 000,00</t>
  </si>
  <si>
    <t>4. Кушетки оглядові  - 50 шт. (2800 грн)=140 000,00</t>
  </si>
  <si>
    <t>1. Шафи для зберігання  медикаментів- 40 шт. (6500 грн)=260 000,00</t>
  </si>
  <si>
    <t>2. Маніпуляційні столики – 45 шт. (3500 грн)= 157 000,00</t>
  </si>
  <si>
    <t>995 500,00 грн.</t>
  </si>
  <si>
    <t>Клейонка для ліжок у ДС 2м</t>
  </si>
  <si>
    <t>Пеленки одноразові 90*60</t>
  </si>
  <si>
    <t xml:space="preserve">№ п/п </t>
  </si>
  <si>
    <t>Найменування товару</t>
  </si>
  <si>
    <t>Одиниця вимір.</t>
  </si>
  <si>
    <t>МНН</t>
  </si>
  <si>
    <t>АТС</t>
  </si>
  <si>
    <t xml:space="preserve">Загальна </t>
  </si>
  <si>
    <t>кількість</t>
  </si>
  <si>
    <t>Загальна сума,грн</t>
  </si>
  <si>
    <r>
      <t>1.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</si>
  <si>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Адреналін  амп. 0.18% 1мл N10</t>
  </si>
  <si>
    <t>уп</t>
  </si>
  <si>
    <t>Epinephrine /Adrenaline</t>
  </si>
  <si>
    <t>C01C A24</t>
  </si>
  <si>
    <r>
      <t>2.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</si>
  <si>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Атропіну сульфат 1% 5мл,  очні краплі</t>
  </si>
  <si>
    <t>фл</t>
  </si>
  <si>
    <t>Atropini sulfas</t>
  </si>
  <si>
    <t>S01F A01</t>
  </si>
  <si>
    <r>
      <t>3.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</si>
  <si>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Аміак р-н 10% 40мл</t>
  </si>
  <si>
    <t>Ammonia</t>
  </si>
  <si>
    <t>R07A B12</t>
  </si>
  <si>
    <r>
      <t>4.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</si>
  <si>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Анальгін амп. 50% 2мл N10</t>
  </si>
  <si>
    <t>Metamizole sodium</t>
  </si>
  <si>
    <t>N02B B02</t>
  </si>
  <si>
    <r>
      <t>5.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</si>
  <si>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Беноксі  очні краплі 0.4% 10мл</t>
  </si>
  <si>
    <t>Oxybuprocaine</t>
  </si>
  <si>
    <t>S01H A02</t>
  </si>
  <si>
    <r>
      <t>6.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</si>
  <si>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Бісопролол  табл. 5мг N20(10х2)</t>
  </si>
  <si>
    <t>Bisoprolol</t>
  </si>
  <si>
    <t>C07A B07</t>
  </si>
  <si>
    <r>
      <t>7.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</si>
  <si>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Вода д/ін. амп. 2мл N10</t>
  </si>
  <si>
    <t>Aqua pro injectionibus/Water for injection)</t>
  </si>
  <si>
    <t xml:space="preserve">- </t>
  </si>
  <si>
    <r>
      <t>8.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</si>
  <si>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 xml:space="preserve">Вугілля актив. 0.25 N10 </t>
  </si>
  <si>
    <t>Carbo activatus</t>
  </si>
  <si>
    <t>A07B A01</t>
  </si>
  <si>
    <r>
      <t>9.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</si>
  <si>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Гепарин р-н д/ін. 5000МО/мл 5мл фл. №1</t>
  </si>
  <si>
    <t>Heparin sodium</t>
  </si>
  <si>
    <t>B01A B01</t>
  </si>
  <si>
    <r>
      <t>10.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</si>
  <si>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Дексаметазон р-н  д/ін. 4мг/мл амп. 1мл N5</t>
  </si>
  <si>
    <t>Dexamethasone</t>
  </si>
  <si>
    <t>H02A B02</t>
  </si>
  <si>
    <r>
      <t>11.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</si>
  <si>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 xml:space="preserve">Доксициклін капс. 100мг №10 </t>
  </si>
  <si>
    <t>Doxycycline</t>
  </si>
  <si>
    <t>J01A A02</t>
  </si>
  <si>
    <r>
      <t>12.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</si>
  <si>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Еуфілін амп. 2% 5мл N10</t>
  </si>
  <si>
    <t>Theophylline</t>
  </si>
  <si>
    <t>R03D A04</t>
  </si>
  <si>
    <r>
      <t>13.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</si>
  <si>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Йод р-н 10% 30мл</t>
  </si>
  <si>
    <t>Iodine</t>
  </si>
  <si>
    <t>D08A G03</t>
  </si>
  <si>
    <r>
      <t>14.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</si>
  <si>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Йод р-н 5% 30мл</t>
  </si>
  <si>
    <r>
      <t>15.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</si>
  <si>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 xml:space="preserve">Кальцію глюконат р-н д/ін.амп.10мл N10 </t>
  </si>
  <si>
    <t>Calcium gluconate</t>
  </si>
  <si>
    <t>A12A A03</t>
  </si>
  <si>
    <r>
      <t>16.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</si>
  <si>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Лідокаїн амп. 2% 2мл N10</t>
  </si>
  <si>
    <t>Lidocaine</t>
  </si>
  <si>
    <t>N01B B02</t>
  </si>
  <si>
    <r>
      <t>17.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</si>
  <si>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 xml:space="preserve">Магнію сульфат амп. 25% 5мл N10 </t>
  </si>
  <si>
    <t>Magnesium sulfate</t>
  </si>
  <si>
    <t>B05X A05</t>
  </si>
  <si>
    <r>
      <t>18.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</si>
  <si>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Метоклопрамід г/х р-н д/ін. амп. 5мг/мл 2мл №10</t>
  </si>
  <si>
    <t>Metoclopramide</t>
  </si>
  <si>
    <t>A03F A01</t>
  </si>
  <si>
    <r>
      <t>19.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</si>
  <si>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Натрію  хлорид 0.9% 200 мл</t>
  </si>
  <si>
    <t>Sodium chloride</t>
  </si>
  <si>
    <t>B05X A03</t>
  </si>
  <si>
    <r>
      <t>20.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</si>
  <si>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Натрію  хлорид амп.0.9% 5мл N10</t>
  </si>
  <si>
    <r>
      <t>21.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</si>
  <si>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Натрію тіосульфат  р-н д/ін.амп.30% 5мл N10</t>
  </si>
  <si>
    <t>Sodium thiosulfate</t>
  </si>
  <si>
    <t>V03A B06</t>
  </si>
  <si>
    <r>
      <t>22.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</si>
  <si>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Нітрогліцерин табл. сублінгв. 0.5мг N40</t>
  </si>
  <si>
    <t>Glyceryl trinitrate</t>
  </si>
  <si>
    <t>C01D A02</t>
  </si>
  <si>
    <r>
      <t>23.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</si>
  <si>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Дротаверин амп. 20мг/мл 2мл N5</t>
  </si>
  <si>
    <t>Drotaverine</t>
  </si>
  <si>
    <t>A03A D02</t>
  </si>
  <si>
    <r>
      <t>24.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</si>
  <si>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Парацетамол капс. 500 мг N12</t>
  </si>
  <si>
    <t>Paracetamol</t>
  </si>
  <si>
    <t>N02B E01</t>
  </si>
  <si>
    <r>
      <t>25.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</si>
  <si>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Парацетамол табл. 200 мг N10</t>
  </si>
  <si>
    <r>
      <t>26.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</si>
  <si>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Преднізолон  р-н д/ін.30мг/мл 1мл амп.N5</t>
  </si>
  <si>
    <t>Prednisolone</t>
  </si>
  <si>
    <t>H02A B06</t>
  </si>
  <si>
    <r>
      <t>27.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</si>
  <si>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Сальбутамол інг.сусп.100мкг/доза 200доз 10мл</t>
  </si>
  <si>
    <t>Salbutamol</t>
  </si>
  <si>
    <t>R03A C02</t>
  </si>
  <si>
    <r>
      <t>28.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</si>
  <si>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Фармадіпін краплі орал. 2% 5мл</t>
  </si>
  <si>
    <t>Nifedipine</t>
  </si>
  <si>
    <t>C08C A05</t>
  </si>
  <si>
    <r>
      <t>29.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</si>
  <si>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Фуросемід  р-н д/ін. амп. 1% 2мл N10</t>
  </si>
  <si>
    <t>Furosemide</t>
  </si>
  <si>
    <t>C03C A01</t>
  </si>
  <si>
    <r>
      <t>30.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</si>
  <si>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Фуросемід табл. 40мг N50</t>
  </si>
  <si>
    <r>
      <t>31.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</si>
  <si>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 xml:space="preserve">Хлоргексидин  р-н 0.05% 200мл </t>
  </si>
  <si>
    <r>
      <t>C</t>
    </r>
    <r>
      <rPr>
        <b/>
        <i/>
        <sz val="14"/>
        <color theme="1"/>
        <rFont val="Times New Roman"/>
        <family val="1"/>
        <charset val="204"/>
      </rPr>
      <t>hlorhexidine</t>
    </r>
  </si>
  <si>
    <t>D08A C02</t>
  </si>
  <si>
    <r>
      <t>32.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</si>
  <si>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Цикломед краплі 1% 5мл</t>
  </si>
  <si>
    <t>Cyclopentolate</t>
  </si>
  <si>
    <t>S01F A04</t>
  </si>
  <si>
    <r>
      <t>33.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</si>
  <si>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Верапамілу гідрохлорид 2,5мг/мл по 2мл в амп. №10</t>
  </si>
  <si>
    <t>Verapamil</t>
  </si>
  <si>
    <r>
      <t>C08DA01</t>
    </r>
    <r>
      <rPr>
        <b/>
        <i/>
        <sz val="14"/>
        <color rgb="FF4D5156"/>
        <rFont val="Times New Roman"/>
        <family val="1"/>
        <charset val="204"/>
      </rPr>
      <t> </t>
    </r>
  </si>
  <si>
    <t>вик. Грималюк Н.</t>
  </si>
  <si>
    <t xml:space="preserve"> Загальна сума закупівлі : 59 920, 67грн</t>
  </si>
  <si>
    <t>59 920,67 грн.</t>
  </si>
  <si>
    <t>3 399 420,67 грн.</t>
  </si>
  <si>
    <t>Всього по   2220 -   2 403 920,67 грн.</t>
  </si>
  <si>
    <t xml:space="preserve">                                                2220-  1 201 960,33 грн.</t>
  </si>
  <si>
    <t>Додаток 9</t>
  </si>
  <si>
    <t>з урахуванням зміни прожиткового мінімуму на 2021 рік</t>
  </si>
  <si>
    <t>Оплата послуг ( окрім комунальних)</t>
  </si>
  <si>
    <t>Автоматичний аналізатор крові</t>
  </si>
  <si>
    <t>Ремонт</t>
  </si>
  <si>
    <t>Додаток 3/1</t>
  </si>
  <si>
    <t>№п/п</t>
  </si>
  <si>
    <t>Найменування</t>
  </si>
  <si>
    <t xml:space="preserve">Автоматичний біохімічний аналізатор </t>
  </si>
  <si>
    <t>шт.</t>
  </si>
  <si>
    <t xml:space="preserve">Центрифуга 40т*2 </t>
  </si>
  <si>
    <t xml:space="preserve">Автоматичний аналізатор сечі </t>
  </si>
  <si>
    <t xml:space="preserve">Аналізатор електролітів </t>
  </si>
  <si>
    <t xml:space="preserve">Мікроскопи </t>
  </si>
  <si>
    <t xml:space="preserve">Імуноферментний аналізатор </t>
  </si>
  <si>
    <t xml:space="preserve">Плашковий автоматичний промивач </t>
  </si>
  <si>
    <t>Ціна, тис.грн.</t>
  </si>
  <si>
    <t>Сума, тис.грн.</t>
  </si>
  <si>
    <t xml:space="preserve">Директор </t>
  </si>
  <si>
    <t>О.В.Савчук</t>
  </si>
  <si>
    <t>Г.М.Родчук</t>
  </si>
  <si>
    <t>Додаток 3/2</t>
  </si>
  <si>
    <t>Закупівля обладнання для клініко-діагностичної лабораторії</t>
  </si>
  <si>
    <t>Капітальний ремонт клініко-діагностичної лабораторії</t>
  </si>
  <si>
    <t>Вентиляція</t>
  </si>
  <si>
    <t>Лікарські засоби (Додаток 8/1)</t>
  </si>
  <si>
    <t>Закупівля обладнання для КДЛ (додаток 3/1)</t>
  </si>
  <si>
    <t>Капітальний ремонт КДЛ (додаток 3/2)</t>
  </si>
  <si>
    <t>Кошти НСЗУ</t>
  </si>
  <si>
    <t>Денні стаціонари:</t>
  </si>
  <si>
    <t>медичні меблі</t>
  </si>
  <si>
    <t>Гінекологічні кабінети:</t>
  </si>
  <si>
    <t>Коагулятори, 4 шт.по 50000,00грн.</t>
  </si>
  <si>
    <t>Закупівля обладнання для хірургії 1 дня (МП №2, МП №3, МП №1):</t>
  </si>
  <si>
    <t>Медичні автомобілі (2шт.)</t>
  </si>
  <si>
    <t>МП1</t>
  </si>
  <si>
    <t>МП2</t>
  </si>
  <si>
    <t>Ремонт кабінетів лабораторії: побілка стін, встановлення платки на стінах та заміна підлоги</t>
  </si>
  <si>
    <t>№ п/п</t>
  </si>
  <si>
    <t>Запланована вартість</t>
  </si>
  <si>
    <t>Кабінет ЕКГ (IV-й поверх): заміна дверей, відкоси на вікнах, побілка стелі та стін, заміна сантехніки,встановлення перегородок для кабінок</t>
  </si>
  <si>
    <t>МП3</t>
  </si>
  <si>
    <t>Поточний ремонт кабінету УЗД</t>
  </si>
  <si>
    <t>МП4</t>
  </si>
  <si>
    <t>МП5</t>
  </si>
  <si>
    <t>Ремонт інфекційного кабінету</t>
  </si>
  <si>
    <t>Ремонт офтальмологічного кабінету</t>
  </si>
  <si>
    <t>Заміна вікон каб.№9,11,28,12,13,23,24 (Мельник О.І., приймальня), кабінет щеплення, вікон сходових кліток</t>
  </si>
  <si>
    <t>Ремонт коридору III-го поверху, двері</t>
  </si>
  <si>
    <t>Ремонт електромережі приміщення поліклініки</t>
  </si>
  <si>
    <t>Ремонт вбиральні II пов.</t>
  </si>
  <si>
    <t>МДП</t>
  </si>
  <si>
    <t>Часкова заміна каналізаційної системи та с-ми холодного водопостачання у відділенні ЛФК та масажу</t>
  </si>
  <si>
    <t>Часткова заміна відливів в центральному корпусі СП "МДП"</t>
  </si>
  <si>
    <t>Частковий ремонт даху над входом в центральному корпусі СП "МДП"</t>
  </si>
  <si>
    <t>Поточні ремонти           2021р.                                                                                                         тис.грн</t>
  </si>
  <si>
    <t>Додаток 7</t>
  </si>
  <si>
    <t>Додаток 9/1. Потреба лікарських засобів на 2021 рік.</t>
  </si>
  <si>
    <t>Страхові послуги</t>
  </si>
  <si>
    <t xml:space="preserve">             по    3210 -      995 500,00 грн.</t>
  </si>
  <si>
    <t>Первинна медична допомога :  3210- 500 000,00 грн.</t>
  </si>
  <si>
    <t>Вторинна  медична допомога :  3210-495 500,00 грн.</t>
  </si>
  <si>
    <t>Інформація про укладені договори між НСЗУ та КНП "ЦПМКДД" згідно Програми медичних гарантій  на 2021 рік</t>
  </si>
  <si>
    <t>Код медичної послуги або групи послуг</t>
  </si>
  <si>
    <t>Найменування медичної послуги або групи послуг</t>
  </si>
  <si>
    <t>№ договору</t>
  </si>
  <si>
    <t>I квартал</t>
  </si>
  <si>
    <t>II квартал</t>
  </si>
  <si>
    <t>III квартал</t>
  </si>
  <si>
    <t>IV квартал</t>
  </si>
  <si>
    <t>Амбулаторна вторинна спеціалізована) та третинна (високоспеціалізована) медична допомога дорослим та дітям, включаючи медичну реабілітацію та стоматологічну допомогу</t>
  </si>
  <si>
    <t>Мамографія</t>
  </si>
  <si>
    <t>Медична допомога, яка надається мобільними медичними бригадами, що створені для реагування на гостру респіраторну хворобу COVID-19, спричинену коронавірусом SARS-CoV-2</t>
  </si>
  <si>
    <t>Первинна медична допомога</t>
  </si>
  <si>
    <t>Запланована вартість медичних послуг на 2021 рік, грн.</t>
  </si>
  <si>
    <t>Страхування СК "УПСК"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</si>
  <si>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</si>
  <si>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</si>
  <si>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</si>
  <si>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</si>
  <si>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</si>
  <si>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</si>
  <si>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1110.11</t>
  </si>
  <si>
    <t>1110.11.1</t>
  </si>
  <si>
    <t>1110.11.2</t>
  </si>
  <si>
    <t>1110.11.3</t>
  </si>
  <si>
    <t>Видатки за Договорами НСЗУ</t>
  </si>
  <si>
    <t>1120.1</t>
  </si>
  <si>
    <t>1120.2</t>
  </si>
  <si>
    <t>1120.3</t>
  </si>
  <si>
    <t>1120.3.1</t>
  </si>
  <si>
    <t>1120.3.2</t>
  </si>
  <si>
    <t>1120.3.3</t>
  </si>
  <si>
    <t>1120.3.4</t>
  </si>
  <si>
    <t>1120.3.5</t>
  </si>
  <si>
    <t>1120.4</t>
  </si>
  <si>
    <t>1120.5</t>
  </si>
  <si>
    <t>1120.6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</si>
  <si>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</si>
  <si>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</si>
  <si>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</si>
  <si>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</si>
  <si>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</si>
  <si>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</si>
  <si>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</si>
  <si>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</si>
  <si>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</si>
  <si>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</si>
  <si>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1120.7</t>
  </si>
  <si>
    <t>1120.8</t>
  </si>
  <si>
    <t>1120.9</t>
  </si>
  <si>
    <t>1120.10</t>
  </si>
  <si>
    <t>1120.11</t>
  </si>
  <si>
    <t>1150.4</t>
  </si>
  <si>
    <t>1150.5</t>
  </si>
  <si>
    <t>1150.6</t>
  </si>
  <si>
    <t>1150.7</t>
  </si>
  <si>
    <t>1150.8</t>
  </si>
  <si>
    <t>1150.9</t>
  </si>
  <si>
    <t>1150.10</t>
  </si>
  <si>
    <t>Витрати на комунальних послуг та енергоносіїв</t>
  </si>
  <si>
    <t>1160.1</t>
  </si>
  <si>
    <t>1160.2</t>
  </si>
  <si>
    <t>1160.3</t>
  </si>
  <si>
    <t>1160.4</t>
  </si>
  <si>
    <t>1160.5</t>
  </si>
  <si>
    <t>1170.1</t>
  </si>
  <si>
    <t>1170.2</t>
  </si>
  <si>
    <t>1170.3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</si>
  <si>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</si>
  <si>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</si>
  <si>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Середньомісячні витрати на оплату праці одного працівника,
 у т.ч.:</t>
  </si>
  <si>
    <t>Начальник фінансового управління</t>
  </si>
  <si>
    <t xml:space="preserve">                                                       Г.Яцків</t>
  </si>
  <si>
    <t xml:space="preserve"> ФІНАНСОВИЙ ПЛАН                                                                                                                                                                                                                                                   КНП "Центр первинної медичної і консультатвно-діагностичної допомоги Івано-Франківської міської ради"
на 2021 рік</t>
  </si>
  <si>
    <t xml:space="preserve">Факт 
2019 року </t>
  </si>
  <si>
    <t>Фінансовий план
на 2020 рік  
(зі змінами)</t>
  </si>
  <si>
    <r>
      <t>Плановий 
20</t>
    </r>
    <r>
      <rPr>
        <b/>
        <u/>
        <sz val="10"/>
        <rFont val="Times New Roman"/>
        <family val="1"/>
        <charset val="204"/>
      </rPr>
      <t>21</t>
    </r>
    <r>
      <rPr>
        <b/>
        <sz val="10"/>
        <rFont val="Times New Roman"/>
        <family val="1"/>
        <charset val="204"/>
      </rPr>
      <t xml:space="preserve"> рік  
всього</t>
    </r>
  </si>
  <si>
    <t>СТЕК (теплова енергія)</t>
  </si>
  <si>
    <t>2021р.</t>
  </si>
  <si>
    <t>вик.економіст</t>
  </si>
  <si>
    <t>Поціхович Н.М.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</si>
</sst>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0.000"/>
    <numFmt numFmtId="167" formatCode="#,##0.0000"/>
  </numFmts>
  <fonts count="6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2"/>
      <name val="Arial Cyr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Arial"/>
      <family val="2"/>
    </font>
    <font>
      <b/>
      <sz val="10"/>
      <name val="Arial Cyr"/>
      <charset val="204"/>
    </font>
    <font>
      <sz val="14"/>
      <name val="Arial Cyr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  <font>
      <b/>
      <sz val="10"/>
      <name val="Cambria"/>
      <family val="1"/>
      <charset val="204"/>
      <scheme val="major"/>
    </font>
    <font>
      <b/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name val="Arial Cyr"/>
      <charset val="204"/>
    </font>
    <font>
      <b/>
      <sz val="16"/>
      <name val="Cambria"/>
      <family val="1"/>
      <charset val="204"/>
      <scheme val="major"/>
    </font>
    <font>
      <sz val="18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8"/>
      <name val="Cambria"/>
      <family val="1"/>
      <charset val="204"/>
      <scheme val="major"/>
    </font>
    <font>
      <sz val="7"/>
      <name val="Cambria"/>
      <family val="1"/>
      <charset val="204"/>
    </font>
    <font>
      <sz val="14"/>
      <color indexed="8"/>
      <name val="Cambria"/>
      <family val="1"/>
      <charset val="204"/>
    </font>
    <font>
      <sz val="10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6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sz val="11"/>
      <name val="Arial Cyr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7"/>
      <color theme="1"/>
      <name val="Times New Roman"/>
      <family val="1"/>
      <charset val="204"/>
    </font>
    <font>
      <b/>
      <i/>
      <sz val="14"/>
      <color rgb="FF333333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color rgb="FF4D5156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FF33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505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9" fillId="0" borderId="40" xfId="0" applyFont="1" applyBorder="1"/>
    <xf numFmtId="0" fontId="9" fillId="0" borderId="40" xfId="0" applyFont="1" applyBorder="1" applyAlignment="1">
      <alignment horizontal="center" vertical="center" textRotation="90" wrapText="1"/>
    </xf>
    <xf numFmtId="0" fontId="3" fillId="0" borderId="40" xfId="0" applyFont="1" applyBorder="1"/>
    <xf numFmtId="0" fontId="9" fillId="0" borderId="40" xfId="0" applyFont="1" applyBorder="1" applyAlignment="1">
      <alignment horizontal="center"/>
    </xf>
    <xf numFmtId="2" fontId="9" fillId="0" borderId="40" xfId="0" applyNumberFormat="1" applyFont="1" applyBorder="1" applyAlignment="1">
      <alignment horizontal="center"/>
    </xf>
    <xf numFmtId="2" fontId="9" fillId="5" borderId="40" xfId="0" applyNumberFormat="1" applyFont="1" applyFill="1" applyBorder="1" applyAlignment="1">
      <alignment horizontal="center"/>
    </xf>
    <xf numFmtId="2" fontId="3" fillId="6" borderId="40" xfId="0" applyNumberFormat="1" applyFont="1" applyFill="1" applyBorder="1" applyAlignment="1">
      <alignment horizontal="center"/>
    </xf>
    <xf numFmtId="2" fontId="9" fillId="7" borderId="40" xfId="0" applyNumberFormat="1" applyFont="1" applyFill="1" applyBorder="1" applyAlignment="1">
      <alignment horizontal="center"/>
    </xf>
    <xf numFmtId="0" fontId="9" fillId="5" borderId="40" xfId="0" applyFont="1" applyFill="1" applyBorder="1"/>
    <xf numFmtId="0" fontId="9" fillId="5" borderId="40" xfId="0" applyFont="1" applyFill="1" applyBorder="1" applyAlignment="1">
      <alignment horizontal="center"/>
    </xf>
    <xf numFmtId="2" fontId="3" fillId="7" borderId="40" xfId="0" applyNumberFormat="1" applyFont="1" applyFill="1" applyBorder="1" applyAlignment="1">
      <alignment horizontal="center"/>
    </xf>
    <xf numFmtId="2" fontId="9" fillId="2" borderId="40" xfId="0" applyNumberFormat="1" applyFont="1" applyFill="1" applyBorder="1" applyAlignment="1">
      <alignment horizontal="center"/>
    </xf>
    <xf numFmtId="0" fontId="10" fillId="0" borderId="40" xfId="0" applyFont="1" applyBorder="1"/>
    <xf numFmtId="2" fontId="11" fillId="2" borderId="40" xfId="0" applyNumberFormat="1" applyFont="1" applyFill="1" applyBorder="1" applyAlignment="1">
      <alignment horizontal="center"/>
    </xf>
    <xf numFmtId="2" fontId="12" fillId="2" borderId="40" xfId="0" applyNumberFormat="1" applyFont="1" applyFill="1" applyBorder="1" applyAlignment="1">
      <alignment horizontal="center"/>
    </xf>
    <xf numFmtId="2" fontId="8" fillId="7" borderId="40" xfId="0" applyNumberFormat="1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/>
    </xf>
    <xf numFmtId="0" fontId="10" fillId="0" borderId="40" xfId="0" applyFont="1" applyBorder="1" applyAlignment="1">
      <alignment horizontal="center"/>
    </xf>
    <xf numFmtId="2" fontId="11" fillId="7" borderId="40" xfId="0" applyNumberFormat="1" applyFont="1" applyFill="1" applyBorder="1" applyAlignment="1">
      <alignment horizontal="center"/>
    </xf>
    <xf numFmtId="2" fontId="10" fillId="7" borderId="40" xfId="0" applyNumberFormat="1" applyFont="1" applyFill="1" applyBorder="1" applyAlignment="1">
      <alignment horizontal="center"/>
    </xf>
    <xf numFmtId="0" fontId="8" fillId="0" borderId="40" xfId="0" applyFont="1" applyBorder="1"/>
    <xf numFmtId="2" fontId="8" fillId="0" borderId="40" xfId="0" applyNumberFormat="1" applyFont="1" applyBorder="1" applyAlignment="1">
      <alignment horizontal="center"/>
    </xf>
    <xf numFmtId="2" fontId="3" fillId="5" borderId="40" xfId="0" applyNumberFormat="1" applyFont="1" applyFill="1" applyBorder="1" applyAlignment="1">
      <alignment horizontal="center"/>
    </xf>
    <xf numFmtId="2" fontId="9" fillId="6" borderId="40" xfId="0" applyNumberFormat="1" applyFont="1" applyFill="1" applyBorder="1" applyAlignment="1">
      <alignment horizontal="center"/>
    </xf>
    <xf numFmtId="2" fontId="9" fillId="0" borderId="40" xfId="0" applyNumberFormat="1" applyFont="1" applyBorder="1"/>
    <xf numFmtId="2" fontId="11" fillId="0" borderId="40" xfId="0" applyNumberFormat="1" applyFont="1" applyBorder="1" applyAlignment="1">
      <alignment horizontal="center"/>
    </xf>
    <xf numFmtId="2" fontId="10" fillId="0" borderId="40" xfId="0" applyNumberFormat="1" applyFont="1" applyBorder="1" applyAlignment="1">
      <alignment horizontal="center"/>
    </xf>
    <xf numFmtId="0" fontId="10" fillId="0" borderId="0" xfId="0" applyFont="1" applyBorder="1"/>
    <xf numFmtId="0" fontId="9" fillId="0" borderId="0" xfId="0" applyFont="1" applyBorder="1"/>
    <xf numFmtId="2" fontId="9" fillId="0" borderId="0" xfId="0" applyNumberFormat="1" applyFont="1" applyBorder="1"/>
    <xf numFmtId="2" fontId="11" fillId="0" borderId="0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0" fillId="0" borderId="40" xfId="0" applyBorder="1"/>
    <xf numFmtId="4" fontId="0" fillId="0" borderId="40" xfId="0" applyNumberFormat="1" applyBorder="1"/>
    <xf numFmtId="0" fontId="11" fillId="0" borderId="41" xfId="0" applyFont="1" applyBorder="1"/>
    <xf numFmtId="0" fontId="9" fillId="0" borderId="41" xfId="0" applyFont="1" applyBorder="1"/>
    <xf numFmtId="2" fontId="14" fillId="0" borderId="40" xfId="0" applyNumberFormat="1" applyFont="1" applyBorder="1" applyAlignment="1">
      <alignment horizontal="center"/>
    </xf>
    <xf numFmtId="0" fontId="10" fillId="0" borderId="41" xfId="0" applyFont="1" applyBorder="1"/>
    <xf numFmtId="0" fontId="15" fillId="0" borderId="0" xfId="0" applyFont="1" applyAlignment="1">
      <alignment horizontal="center"/>
    </xf>
    <xf numFmtId="0" fontId="17" fillId="0" borderId="46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3" fontId="16" fillId="0" borderId="5" xfId="0" applyNumberFormat="1" applyFont="1" applyBorder="1" applyAlignment="1"/>
    <xf numFmtId="0" fontId="0" fillId="0" borderId="49" xfId="0" applyBorder="1" applyAlignment="1">
      <alignment horizontal="center"/>
    </xf>
    <xf numFmtId="0" fontId="14" fillId="0" borderId="0" xfId="0" applyFont="1" applyFill="1" applyBorder="1" applyAlignment="1">
      <alignment horizontal="justify" vertical="top" wrapText="1"/>
    </xf>
    <xf numFmtId="4" fontId="16" fillId="0" borderId="5" xfId="0" applyNumberFormat="1" applyFont="1" applyBorder="1" applyAlignment="1">
      <alignment vertical="center" wrapText="1"/>
    </xf>
    <xf numFmtId="4" fontId="16" fillId="0" borderId="5" xfId="0" applyNumberFormat="1" applyFont="1" applyBorder="1" applyAlignment="1"/>
    <xf numFmtId="0" fontId="20" fillId="0" borderId="40" xfId="0" applyFont="1" applyBorder="1"/>
    <xf numFmtId="0" fontId="11" fillId="0" borderId="4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textRotation="90" wrapText="1"/>
    </xf>
    <xf numFmtId="0" fontId="11" fillId="0" borderId="40" xfId="0" applyFont="1" applyBorder="1" applyAlignment="1">
      <alignment horizontal="center" vertical="center" textRotation="90" wrapText="1"/>
    </xf>
    <xf numFmtId="0" fontId="14" fillId="0" borderId="40" xfId="0" applyFont="1" applyBorder="1" applyAlignment="1">
      <alignment horizontal="left"/>
    </xf>
    <xf numFmtId="4" fontId="14" fillId="2" borderId="40" xfId="0" applyNumberFormat="1" applyFont="1" applyFill="1" applyBorder="1" applyAlignment="1">
      <alignment horizontal="center"/>
    </xf>
    <xf numFmtId="4" fontId="14" fillId="0" borderId="40" xfId="0" applyNumberFormat="1" applyFont="1" applyBorder="1" applyAlignment="1">
      <alignment horizontal="center"/>
    </xf>
    <xf numFmtId="0" fontId="14" fillId="0" borderId="40" xfId="0" applyFont="1" applyBorder="1" applyAlignment="1">
      <alignment horizontal="left" wrapText="1"/>
    </xf>
    <xf numFmtId="4" fontId="11" fillId="2" borderId="40" xfId="0" applyNumberFormat="1" applyFont="1" applyFill="1" applyBorder="1" applyAlignment="1">
      <alignment horizontal="center"/>
    </xf>
    <xf numFmtId="3" fontId="14" fillId="2" borderId="40" xfId="0" applyNumberFormat="1" applyFont="1" applyFill="1" applyBorder="1" applyAlignment="1">
      <alignment horizontal="center"/>
    </xf>
    <xf numFmtId="0" fontId="14" fillId="0" borderId="40" xfId="0" applyFont="1" applyBorder="1"/>
    <xf numFmtId="0" fontId="1" fillId="0" borderId="40" xfId="0" applyFont="1" applyBorder="1" applyAlignment="1">
      <alignment horizontal="left" wrapText="1"/>
    </xf>
    <xf numFmtId="4" fontId="9" fillId="2" borderId="40" xfId="0" applyNumberFormat="1" applyFont="1" applyFill="1" applyBorder="1" applyAlignment="1">
      <alignment horizontal="center"/>
    </xf>
    <xf numFmtId="0" fontId="11" fillId="0" borderId="40" xfId="0" applyFont="1" applyBorder="1"/>
    <xf numFmtId="4" fontId="11" fillId="0" borderId="40" xfId="0" applyNumberFormat="1" applyFont="1" applyBorder="1" applyAlignment="1">
      <alignment horizontal="center"/>
    </xf>
    <xf numFmtId="0" fontId="11" fillId="0" borderId="40" xfId="0" applyFont="1" applyBorder="1" applyAlignment="1">
      <alignment wrapText="1"/>
    </xf>
    <xf numFmtId="0" fontId="5" fillId="0" borderId="40" xfId="0" applyFont="1" applyBorder="1"/>
    <xf numFmtId="4" fontId="2" fillId="2" borderId="40" xfId="0" applyNumberFormat="1" applyFont="1" applyFill="1" applyBorder="1" applyAlignment="1">
      <alignment horizontal="center"/>
    </xf>
    <xf numFmtId="0" fontId="14" fillId="2" borderId="40" xfId="0" applyFont="1" applyFill="1" applyBorder="1" applyAlignment="1">
      <alignment horizontal="center"/>
    </xf>
    <xf numFmtId="3" fontId="11" fillId="2" borderId="40" xfId="0" applyNumberFormat="1" applyFont="1" applyFill="1" applyBorder="1" applyAlignment="1">
      <alignment horizontal="center"/>
    </xf>
    <xf numFmtId="0" fontId="20" fillId="0" borderId="0" xfId="0" applyFont="1"/>
    <xf numFmtId="4" fontId="2" fillId="5" borderId="40" xfId="0" applyNumberFormat="1" applyFont="1" applyFill="1" applyBorder="1" applyAlignment="1">
      <alignment horizontal="center"/>
    </xf>
    <xf numFmtId="164" fontId="9" fillId="2" borderId="40" xfId="0" applyNumberFormat="1" applyFont="1" applyFill="1" applyBorder="1" applyAlignment="1">
      <alignment horizontal="center"/>
    </xf>
    <xf numFmtId="164" fontId="14" fillId="2" borderId="40" xfId="0" applyNumberFormat="1" applyFont="1" applyFill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9" fillId="0" borderId="40" xfId="0" applyFont="1" applyBorder="1" applyAlignment="1">
      <alignment vertical="center" wrapText="1"/>
    </xf>
    <xf numFmtId="3" fontId="9" fillId="0" borderId="40" xfId="0" applyNumberFormat="1" applyFont="1" applyBorder="1" applyAlignment="1">
      <alignment horizontal="center"/>
    </xf>
    <xf numFmtId="4" fontId="9" fillId="0" borderId="40" xfId="0" applyNumberFormat="1" applyFont="1" applyBorder="1" applyAlignment="1">
      <alignment horizontal="center"/>
    </xf>
    <xf numFmtId="3" fontId="9" fillId="2" borderId="40" xfId="0" applyNumberFormat="1" applyFont="1" applyFill="1" applyBorder="1" applyAlignment="1">
      <alignment horizontal="center"/>
    </xf>
    <xf numFmtId="0" fontId="9" fillId="2" borderId="40" xfId="0" applyFont="1" applyFill="1" applyBorder="1" applyAlignment="1">
      <alignment horizontal="center"/>
    </xf>
    <xf numFmtId="0" fontId="3" fillId="0" borderId="40" xfId="0" applyFont="1" applyBorder="1" applyAlignment="1">
      <alignment horizontal="center"/>
    </xf>
    <xf numFmtId="1" fontId="9" fillId="2" borderId="40" xfId="0" applyNumberFormat="1" applyFont="1" applyFill="1" applyBorder="1" applyAlignment="1">
      <alignment horizontal="center"/>
    </xf>
    <xf numFmtId="4" fontId="3" fillId="2" borderId="40" xfId="0" applyNumberFormat="1" applyFont="1" applyFill="1" applyBorder="1" applyAlignment="1">
      <alignment horizontal="center"/>
    </xf>
    <xf numFmtId="0" fontId="2" fillId="0" borderId="40" xfId="0" applyFont="1" applyBorder="1"/>
    <xf numFmtId="165" fontId="8" fillId="2" borderId="40" xfId="0" applyNumberFormat="1" applyFont="1" applyFill="1" applyBorder="1" applyAlignment="1">
      <alignment horizontal="center"/>
    </xf>
    <xf numFmtId="166" fontId="3" fillId="2" borderId="40" xfId="0" applyNumberFormat="1" applyFont="1" applyFill="1" applyBorder="1" applyAlignment="1">
      <alignment horizontal="center"/>
    </xf>
    <xf numFmtId="3" fontId="3" fillId="2" borderId="40" xfId="0" applyNumberFormat="1" applyFont="1" applyFill="1" applyBorder="1" applyAlignment="1">
      <alignment horizontal="center"/>
    </xf>
    <xf numFmtId="164" fontId="2" fillId="2" borderId="40" xfId="0" applyNumberFormat="1" applyFont="1" applyFill="1" applyBorder="1" applyAlignment="1">
      <alignment horizontal="center"/>
    </xf>
    <xf numFmtId="0" fontId="11" fillId="0" borderId="40" xfId="0" applyFont="1" applyBorder="1" applyAlignment="1">
      <alignment horizontal="left" wrapText="1"/>
    </xf>
    <xf numFmtId="0" fontId="2" fillId="0" borderId="40" xfId="0" applyFont="1" applyBorder="1" applyAlignment="1">
      <alignment horizontal="center" vertical="center"/>
    </xf>
    <xf numFmtId="0" fontId="3" fillId="0" borderId="40" xfId="0" applyFont="1" applyBorder="1" applyAlignment="1">
      <alignment vertical="center" wrapText="1"/>
    </xf>
    <xf numFmtId="0" fontId="3" fillId="0" borderId="40" xfId="0" applyFont="1" applyBorder="1" applyAlignment="1">
      <alignment horizontal="center" vertical="center" textRotation="90" wrapText="1"/>
    </xf>
    <xf numFmtId="3" fontId="8" fillId="2" borderId="40" xfId="0" applyNumberFormat="1" applyFont="1" applyFill="1" applyBorder="1" applyAlignment="1">
      <alignment horizontal="center"/>
    </xf>
    <xf numFmtId="0" fontId="22" fillId="0" borderId="40" xfId="0" applyFont="1" applyBorder="1"/>
    <xf numFmtId="0" fontId="23" fillId="0" borderId="40" xfId="0" applyFont="1" applyBorder="1"/>
    <xf numFmtId="4" fontId="24" fillId="0" borderId="40" xfId="0" applyNumberFormat="1" applyFont="1" applyBorder="1" applyAlignment="1">
      <alignment horizontal="center"/>
    </xf>
    <xf numFmtId="4" fontId="24" fillId="2" borderId="40" xfId="0" applyNumberFormat="1" applyFont="1" applyFill="1" applyBorder="1" applyAlignment="1">
      <alignment horizontal="center"/>
    </xf>
    <xf numFmtId="167" fontId="8" fillId="2" borderId="40" xfId="0" applyNumberFormat="1" applyFont="1" applyFill="1" applyBorder="1" applyAlignment="1">
      <alignment horizontal="center"/>
    </xf>
    <xf numFmtId="164" fontId="25" fillId="2" borderId="40" xfId="0" applyNumberFormat="1" applyFont="1" applyFill="1" applyBorder="1" applyAlignment="1">
      <alignment horizontal="center"/>
    </xf>
    <xf numFmtId="4" fontId="0" fillId="0" borderId="0" xfId="0" applyNumberFormat="1"/>
    <xf numFmtId="0" fontId="1" fillId="0" borderId="40" xfId="0" applyFont="1" applyBorder="1" applyAlignment="1">
      <alignment horizontal="center"/>
    </xf>
    <xf numFmtId="0" fontId="1" fillId="0" borderId="40" xfId="0" applyFont="1" applyBorder="1"/>
    <xf numFmtId="0" fontId="27" fillId="0" borderId="0" xfId="0" applyFont="1"/>
    <xf numFmtId="0" fontId="28" fillId="2" borderId="51" xfId="0" applyFont="1" applyFill="1" applyBorder="1" applyAlignment="1">
      <alignment vertical="center" wrapText="1"/>
    </xf>
    <xf numFmtId="0" fontId="30" fillId="2" borderId="54" xfId="0" applyFont="1" applyFill="1" applyBorder="1" applyAlignment="1">
      <alignment vertical="top" wrapText="1"/>
    </xf>
    <xf numFmtId="0" fontId="29" fillId="2" borderId="54" xfId="0" applyFont="1" applyFill="1" applyBorder="1" applyAlignment="1">
      <alignment vertical="top" wrapText="1"/>
    </xf>
    <xf numFmtId="0" fontId="29" fillId="2" borderId="54" xfId="0" applyFont="1" applyFill="1" applyBorder="1" applyAlignment="1">
      <alignment vertical="center" wrapText="1"/>
    </xf>
    <xf numFmtId="0" fontId="29" fillId="2" borderId="52" xfId="0" applyFont="1" applyFill="1" applyBorder="1" applyAlignment="1">
      <alignment vertical="center" wrapText="1"/>
    </xf>
    <xf numFmtId="0" fontId="31" fillId="2" borderId="54" xfId="0" applyFont="1" applyFill="1" applyBorder="1" applyAlignment="1">
      <alignment vertical="center" wrapText="1"/>
    </xf>
    <xf numFmtId="0" fontId="30" fillId="2" borderId="53" xfId="0" applyFont="1" applyFill="1" applyBorder="1" applyAlignment="1">
      <alignment horizontal="left" vertical="center" wrapText="1" indent="4"/>
    </xf>
    <xf numFmtId="0" fontId="30" fillId="2" borderId="54" xfId="0" applyFont="1" applyFill="1" applyBorder="1" applyAlignment="1">
      <alignment horizontal="left" vertical="center" wrapText="1" indent="4"/>
    </xf>
    <xf numFmtId="0" fontId="34" fillId="2" borderId="52" xfId="0" applyFont="1" applyFill="1" applyBorder="1" applyAlignment="1">
      <alignment vertical="top" wrapText="1"/>
    </xf>
    <xf numFmtId="0" fontId="30" fillId="2" borderId="61" xfId="0" applyFont="1" applyFill="1" applyBorder="1" applyAlignment="1">
      <alignment horizontal="left" vertical="center" wrapText="1" indent="4"/>
    </xf>
    <xf numFmtId="0" fontId="34" fillId="2" borderId="62" xfId="0" applyFont="1" applyFill="1" applyBorder="1" applyAlignment="1">
      <alignment vertical="top" wrapText="1"/>
    </xf>
    <xf numFmtId="0" fontId="35" fillId="2" borderId="51" xfId="0" applyFont="1" applyFill="1" applyBorder="1" applyAlignment="1">
      <alignment vertical="center" wrapText="1"/>
    </xf>
    <xf numFmtId="0" fontId="30" fillId="2" borderId="54" xfId="0" applyFont="1" applyFill="1" applyBorder="1" applyAlignment="1">
      <alignment vertical="center" wrapText="1"/>
    </xf>
    <xf numFmtId="0" fontId="29" fillId="2" borderId="52" xfId="0" applyFont="1" applyFill="1" applyBorder="1" applyAlignment="1">
      <alignment horizontal="center" vertical="center" wrapText="1"/>
    </xf>
    <xf numFmtId="0" fontId="30" fillId="2" borderId="61" xfId="0" applyFont="1" applyFill="1" applyBorder="1" applyAlignment="1">
      <alignment vertical="center" wrapText="1"/>
    </xf>
    <xf numFmtId="0" fontId="30" fillId="2" borderId="0" xfId="0" applyFont="1" applyFill="1" applyAlignment="1">
      <alignment vertical="center"/>
    </xf>
    <xf numFmtId="4" fontId="35" fillId="2" borderId="0" xfId="0" applyNumberFormat="1" applyFont="1" applyFill="1" applyAlignment="1">
      <alignment horizontal="center"/>
    </xf>
    <xf numFmtId="0" fontId="34" fillId="2" borderId="0" xfId="0" applyFont="1" applyFill="1"/>
    <xf numFmtId="0" fontId="36" fillId="2" borderId="63" xfId="0" applyFont="1" applyFill="1" applyBorder="1" applyAlignment="1">
      <alignment vertical="center" wrapText="1"/>
    </xf>
    <xf numFmtId="0" fontId="34" fillId="2" borderId="26" xfId="0" applyFont="1" applyFill="1" applyBorder="1"/>
    <xf numFmtId="0" fontId="36" fillId="2" borderId="64" xfId="0" applyFont="1" applyFill="1" applyBorder="1" applyAlignment="1">
      <alignment vertical="center" wrapText="1"/>
    </xf>
    <xf numFmtId="0" fontId="34" fillId="2" borderId="16" xfId="0" applyFont="1" applyFill="1" applyBorder="1"/>
    <xf numFmtId="0" fontId="0" fillId="2" borderId="64" xfId="0" applyFill="1" applyBorder="1"/>
    <xf numFmtId="0" fontId="0" fillId="2" borderId="16" xfId="0" applyFill="1" applyBorder="1"/>
    <xf numFmtId="0" fontId="35" fillId="2" borderId="64" xfId="0" applyFont="1" applyFill="1" applyBorder="1"/>
    <xf numFmtId="0" fontId="21" fillId="2" borderId="16" xfId="0" applyFont="1" applyFill="1" applyBorder="1"/>
    <xf numFmtId="0" fontId="35" fillId="2" borderId="15" xfId="0" applyFont="1" applyFill="1" applyBorder="1"/>
    <xf numFmtId="0" fontId="21" fillId="2" borderId="14" xfId="0" applyFont="1" applyFill="1" applyBorder="1"/>
    <xf numFmtId="0" fontId="37" fillId="2" borderId="64" xfId="0" applyFont="1" applyFill="1" applyBorder="1"/>
    <xf numFmtId="0" fontId="38" fillId="0" borderId="0" xfId="0" applyFont="1"/>
    <xf numFmtId="0" fontId="37" fillId="2" borderId="0" xfId="0" applyFont="1" applyFill="1" applyBorder="1"/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23" xfId="0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 shrinkToFit="1"/>
    </xf>
    <xf numFmtId="0" fontId="3" fillId="3" borderId="23" xfId="0" applyFont="1" applyFill="1" applyBorder="1" applyAlignment="1">
      <alignment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164" fontId="3" fillId="3" borderId="13" xfId="0" applyNumberFormat="1" applyFont="1" applyFill="1" applyBorder="1" applyAlignment="1">
      <alignment vertical="center" wrapText="1"/>
    </xf>
    <xf numFmtId="164" fontId="3" fillId="3" borderId="23" xfId="0" applyNumberFormat="1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164" fontId="39" fillId="2" borderId="23" xfId="0" applyNumberFormat="1" applyFont="1" applyFill="1" applyBorder="1" applyAlignment="1">
      <alignment vertical="center" wrapText="1"/>
    </xf>
    <xf numFmtId="164" fontId="3" fillId="2" borderId="13" xfId="0" applyNumberFormat="1" applyFont="1" applyFill="1" applyBorder="1" applyAlignment="1">
      <alignment vertical="center" wrapText="1"/>
    </xf>
    <xf numFmtId="164" fontId="3" fillId="2" borderId="23" xfId="0" applyNumberFormat="1" applyFont="1" applyFill="1" applyBorder="1" applyAlignment="1">
      <alignment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164" fontId="3" fillId="2" borderId="27" xfId="0" applyNumberFormat="1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25" fillId="2" borderId="36" xfId="0" applyFont="1" applyFill="1" applyBorder="1" applyAlignment="1">
      <alignment vertical="center" wrapText="1"/>
    </xf>
    <xf numFmtId="0" fontId="25" fillId="2" borderId="28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vertical="center" wrapText="1"/>
    </xf>
    <xf numFmtId="164" fontId="3" fillId="2" borderId="30" xfId="0" applyNumberFormat="1" applyFont="1" applyFill="1" applyBorder="1" applyAlignment="1">
      <alignment vertical="center" wrapText="1"/>
    </xf>
    <xf numFmtId="164" fontId="3" fillId="2" borderId="6" xfId="0" applyNumberFormat="1" applyFont="1" applyFill="1" applyBorder="1" applyAlignment="1">
      <alignment vertical="center" wrapText="1"/>
    </xf>
    <xf numFmtId="0" fontId="25" fillId="2" borderId="37" xfId="0" applyFont="1" applyFill="1" applyBorder="1" applyAlignment="1">
      <alignment vertical="center" wrapText="1"/>
    </xf>
    <xf numFmtId="0" fontId="25" fillId="2" borderId="38" xfId="0" applyFont="1" applyFill="1" applyBorder="1" applyAlignment="1">
      <alignment vertical="center" wrapText="1"/>
    </xf>
    <xf numFmtId="0" fontId="25" fillId="2" borderId="16" xfId="0" applyFont="1" applyFill="1" applyBorder="1" applyAlignment="1">
      <alignment horizontal="center" vertical="center" wrapText="1"/>
    </xf>
    <xf numFmtId="164" fontId="3" fillId="2" borderId="32" xfId="0" applyNumberFormat="1" applyFont="1" applyFill="1" applyBorder="1" applyAlignment="1">
      <alignment vertical="center" wrapText="1"/>
    </xf>
    <xf numFmtId="164" fontId="3" fillId="2" borderId="24" xfId="0" applyNumberFormat="1" applyFont="1" applyFill="1" applyBorder="1" applyAlignment="1">
      <alignment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vertical="center" wrapText="1"/>
    </xf>
    <xf numFmtId="0" fontId="8" fillId="2" borderId="21" xfId="0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vertical="center" wrapText="1"/>
    </xf>
    <xf numFmtId="164" fontId="3" fillId="2" borderId="21" xfId="0" applyNumberFormat="1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8" fillId="3" borderId="23" xfId="0" applyFont="1" applyFill="1" applyBorder="1" applyAlignment="1">
      <alignment horizontal="center" vertical="center" wrapText="1"/>
    </xf>
    <xf numFmtId="164" fontId="39" fillId="3" borderId="23" xfId="0" applyNumberFormat="1" applyFont="1" applyFill="1" applyBorder="1" applyAlignment="1">
      <alignment vertical="center" wrapText="1"/>
    </xf>
    <xf numFmtId="164" fontId="39" fillId="2" borderId="17" xfId="0" applyNumberFormat="1" applyFont="1" applyFill="1" applyBorder="1" applyAlignment="1">
      <alignment vertical="center" wrapText="1"/>
    </xf>
    <xf numFmtId="164" fontId="39" fillId="2" borderId="30" xfId="0" applyNumberFormat="1" applyFont="1" applyFill="1" applyBorder="1" applyAlignment="1">
      <alignment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vertical="center" wrapText="1"/>
    </xf>
    <xf numFmtId="164" fontId="39" fillId="3" borderId="13" xfId="0" applyNumberFormat="1" applyFont="1" applyFill="1" applyBorder="1" applyAlignment="1">
      <alignment vertical="center" wrapText="1"/>
    </xf>
    <xf numFmtId="0" fontId="3" fillId="2" borderId="38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3" fillId="2" borderId="34" xfId="0" applyNumberFormat="1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 wrapText="1"/>
    </xf>
    <xf numFmtId="164" fontId="3" fillId="3" borderId="14" xfId="0" applyNumberFormat="1" applyFont="1" applyFill="1" applyBorder="1" applyAlignment="1">
      <alignment vertical="center" wrapText="1"/>
    </xf>
    <xf numFmtId="164" fontId="39" fillId="3" borderId="14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164" fontId="39" fillId="2" borderId="21" xfId="0" applyNumberFormat="1" applyFont="1" applyFill="1" applyBorder="1" applyAlignment="1">
      <alignment vertical="center" wrapText="1"/>
    </xf>
    <xf numFmtId="164" fontId="42" fillId="2" borderId="34" xfId="0" applyNumberFormat="1" applyFont="1" applyFill="1" applyBorder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164" fontId="3" fillId="3" borderId="12" xfId="0" applyNumberFormat="1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vertical="center" wrapText="1"/>
    </xf>
    <xf numFmtId="164" fontId="3" fillId="2" borderId="37" xfId="0" applyNumberFormat="1" applyFont="1" applyFill="1" applyBorder="1" applyAlignment="1">
      <alignment vertical="center" wrapText="1"/>
    </xf>
    <xf numFmtId="164" fontId="3" fillId="2" borderId="29" xfId="0" applyNumberFormat="1" applyFont="1" applyFill="1" applyBorder="1" applyAlignment="1">
      <alignment vertical="center" wrapText="1"/>
    </xf>
    <xf numFmtId="164" fontId="3" fillId="2" borderId="17" xfId="0" applyNumberFormat="1" applyFont="1" applyFill="1" applyBorder="1" applyAlignment="1">
      <alignment vertical="center" wrapText="1"/>
    </xf>
    <xf numFmtId="164" fontId="3" fillId="2" borderId="36" xfId="0" applyNumberFormat="1" applyFont="1" applyFill="1" applyBorder="1" applyAlignment="1">
      <alignment vertical="center" wrapText="1"/>
    </xf>
    <xf numFmtId="164" fontId="3" fillId="2" borderId="31" xfId="0" applyNumberFormat="1" applyFont="1" applyFill="1" applyBorder="1" applyAlignment="1">
      <alignment vertical="center" wrapText="1"/>
    </xf>
    <xf numFmtId="0" fontId="3" fillId="2" borderId="3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3" fillId="2" borderId="39" xfId="0" applyNumberFormat="1" applyFont="1" applyFill="1" applyBorder="1" applyAlignment="1">
      <alignment vertical="center" wrapText="1"/>
    </xf>
    <xf numFmtId="164" fontId="3" fillId="2" borderId="22" xfId="0" applyNumberFormat="1" applyFont="1" applyFill="1" applyBorder="1" applyAlignment="1">
      <alignment vertical="center" wrapText="1"/>
    </xf>
    <xf numFmtId="0" fontId="3" fillId="0" borderId="0" xfId="0" quotePrefix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0" fillId="2" borderId="54" xfId="0" applyFont="1" applyFill="1" applyBorder="1" applyAlignment="1">
      <alignment horizontal="left" vertical="center" wrapText="1"/>
    </xf>
    <xf numFmtId="0" fontId="35" fillId="2" borderId="11" xfId="0" applyFont="1" applyFill="1" applyBorder="1" applyAlignment="1">
      <alignment vertical="center" wrapText="1"/>
    </xf>
    <xf numFmtId="0" fontId="36" fillId="2" borderId="23" xfId="0" applyFont="1" applyFill="1" applyBorder="1" applyAlignment="1">
      <alignment vertical="top" wrapText="1"/>
    </xf>
    <xf numFmtId="0" fontId="7" fillId="0" borderId="40" xfId="0" applyFont="1" applyBorder="1"/>
    <xf numFmtId="0" fontId="2" fillId="0" borderId="40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2" fontId="5" fillId="0" borderId="40" xfId="0" applyNumberFormat="1" applyFont="1" applyBorder="1" applyAlignment="1">
      <alignment horizontal="center"/>
    </xf>
    <xf numFmtId="0" fontId="1" fillId="5" borderId="40" xfId="0" applyFont="1" applyFill="1" applyBorder="1" applyAlignment="1">
      <alignment horizontal="center"/>
    </xf>
    <xf numFmtId="4" fontId="19" fillId="0" borderId="8" xfId="0" applyNumberFormat="1" applyFont="1" applyBorder="1"/>
    <xf numFmtId="0" fontId="1" fillId="0" borderId="40" xfId="0" applyFon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0" xfId="0" applyBorder="1"/>
    <xf numFmtId="0" fontId="1" fillId="0" borderId="40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1" fillId="0" borderId="40" xfId="0" applyFont="1" applyFill="1" applyBorder="1"/>
    <xf numFmtId="0" fontId="4" fillId="0" borderId="40" xfId="0" applyFont="1" applyFill="1" applyBorder="1" applyAlignment="1">
      <alignment horizontal="center"/>
    </xf>
    <xf numFmtId="2" fontId="1" fillId="5" borderId="40" xfId="0" applyNumberFormat="1" applyFont="1" applyFill="1" applyBorder="1" applyAlignment="1">
      <alignment horizontal="center"/>
    </xf>
    <xf numFmtId="0" fontId="30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top" wrapText="1"/>
    </xf>
    <xf numFmtId="0" fontId="44" fillId="0" borderId="66" xfId="0" applyFont="1" applyBorder="1" applyAlignment="1">
      <alignment horizontal="left" vertical="top" wrapText="1" indent="3"/>
    </xf>
    <xf numFmtId="0" fontId="44" fillId="0" borderId="62" xfId="0" applyFont="1" applyBorder="1" applyAlignment="1">
      <alignment horizontal="left" vertical="top" wrapText="1" indent="3"/>
    </xf>
    <xf numFmtId="0" fontId="44" fillId="0" borderId="61" xfId="0" applyFont="1" applyBorder="1" applyAlignment="1">
      <alignment horizontal="center" vertical="top" wrapText="1"/>
    </xf>
    <xf numFmtId="0" fontId="44" fillId="0" borderId="62" xfId="0" applyFont="1" applyBorder="1" applyAlignment="1">
      <alignment horizontal="center" vertical="top" wrapText="1"/>
    </xf>
    <xf numFmtId="0" fontId="47" fillId="0" borderId="62" xfId="0" applyFont="1" applyBorder="1" applyAlignment="1">
      <alignment horizontal="left" vertical="top" wrapText="1" indent="3"/>
    </xf>
    <xf numFmtId="0" fontId="46" fillId="0" borderId="62" xfId="0" applyFont="1" applyBorder="1" applyAlignment="1">
      <alignment horizontal="left" vertical="top" wrapText="1" indent="3"/>
    </xf>
    <xf numFmtId="0" fontId="49" fillId="0" borderId="0" xfId="0" applyFont="1"/>
    <xf numFmtId="4" fontId="3" fillId="0" borderId="40" xfId="0" applyNumberFormat="1" applyFont="1" applyFill="1" applyBorder="1" applyAlignment="1">
      <alignment horizontal="center"/>
    </xf>
    <xf numFmtId="0" fontId="0" fillId="0" borderId="41" xfId="0" applyBorder="1" applyAlignment="1">
      <alignment horizontal="center"/>
    </xf>
    <xf numFmtId="2" fontId="6" fillId="0" borderId="40" xfId="0" applyNumberFormat="1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4" fontId="5" fillId="0" borderId="40" xfId="0" applyNumberFormat="1" applyFont="1" applyBorder="1" applyAlignment="1">
      <alignment horizontal="center"/>
    </xf>
    <xf numFmtId="0" fontId="35" fillId="2" borderId="68" xfId="0" applyFont="1" applyFill="1" applyBorder="1" applyAlignment="1">
      <alignment vertical="center" wrapText="1"/>
    </xf>
    <xf numFmtId="0" fontId="30" fillId="2" borderId="5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4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40" xfId="0" applyFill="1" applyBorder="1" applyAlignment="1">
      <alignment horizontal="center" vertical="center" wrapText="1"/>
    </xf>
    <xf numFmtId="0" fontId="13" fillId="0" borderId="40" xfId="0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13" fillId="0" borderId="40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4" fillId="0" borderId="40" xfId="0" applyFont="1" applyBorder="1" applyAlignment="1">
      <alignment horizontal="justify" vertical="top" wrapText="1"/>
    </xf>
    <xf numFmtId="4" fontId="16" fillId="0" borderId="40" xfId="0" applyNumberFormat="1" applyFont="1" applyBorder="1" applyAlignment="1">
      <alignment horizontal="center"/>
    </xf>
    <xf numFmtId="4" fontId="16" fillId="0" borderId="69" xfId="0" applyNumberFormat="1" applyFont="1" applyFill="1" applyBorder="1" applyAlignment="1"/>
    <xf numFmtId="0" fontId="16" fillId="0" borderId="71" xfId="0" applyFont="1" applyBorder="1" applyAlignment="1">
      <alignment horizontal="center" vertical="center" wrapText="1"/>
    </xf>
    <xf numFmtId="4" fontId="16" fillId="0" borderId="70" xfId="0" applyNumberFormat="1" applyFont="1" applyBorder="1" applyAlignment="1"/>
    <xf numFmtId="0" fontId="16" fillId="0" borderId="48" xfId="0" applyFont="1" applyBorder="1" applyAlignment="1">
      <alignment horizontal="center" vertical="center" wrapText="1"/>
    </xf>
    <xf numFmtId="4" fontId="16" fillId="0" borderId="72" xfId="0" applyNumberFormat="1" applyFont="1" applyBorder="1" applyAlignment="1"/>
    <xf numFmtId="0" fontId="0" fillId="0" borderId="71" xfId="0" applyBorder="1"/>
    <xf numFmtId="0" fontId="16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top" wrapText="1"/>
    </xf>
    <xf numFmtId="0" fontId="14" fillId="0" borderId="3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52" fillId="0" borderId="3" xfId="0" applyFont="1" applyBorder="1" applyAlignment="1">
      <alignment wrapText="1"/>
    </xf>
    <xf numFmtId="0" fontId="14" fillId="0" borderId="3" xfId="0" applyFont="1" applyBorder="1" applyAlignment="1">
      <alignment horizontal="justify" vertical="top" wrapText="1"/>
    </xf>
    <xf numFmtId="0" fontId="51" fillId="0" borderId="65" xfId="0" applyFont="1" applyFill="1" applyBorder="1" applyAlignment="1">
      <alignment horizontal="justify" vertical="top" wrapText="1"/>
    </xf>
    <xf numFmtId="0" fontId="14" fillId="0" borderId="42" xfId="0" applyFont="1" applyBorder="1" applyAlignment="1">
      <alignment horizontal="justify" vertical="top" wrapText="1"/>
    </xf>
    <xf numFmtId="0" fontId="51" fillId="0" borderId="33" xfId="0" applyFont="1" applyFill="1" applyBorder="1" applyAlignment="1">
      <alignment horizontal="justify" vertical="top" wrapText="1"/>
    </xf>
    <xf numFmtId="0" fontId="51" fillId="0" borderId="29" xfId="0" applyFont="1" applyBorder="1" applyAlignment="1">
      <alignment horizontal="justify" vertical="top" wrapText="1"/>
    </xf>
    <xf numFmtId="0" fontId="14" fillId="0" borderId="44" xfId="0" applyFont="1" applyBorder="1" applyAlignment="1">
      <alignment horizontal="justify" vertical="top" wrapText="1"/>
    </xf>
    <xf numFmtId="0" fontId="18" fillId="0" borderId="74" xfId="0" applyFont="1" applyBorder="1"/>
    <xf numFmtId="0" fontId="16" fillId="0" borderId="47" xfId="0" applyFont="1" applyBorder="1" applyAlignment="1">
      <alignment horizontal="center"/>
    </xf>
    <xf numFmtId="0" fontId="16" fillId="0" borderId="4" xfId="0" applyFont="1" applyBorder="1"/>
    <xf numFmtId="2" fontId="0" fillId="0" borderId="5" xfId="0" applyNumberFormat="1" applyBorder="1"/>
    <xf numFmtId="4" fontId="16" fillId="0" borderId="34" xfId="0" applyNumberFormat="1" applyFont="1" applyFill="1" applyBorder="1" applyAlignment="1"/>
    <xf numFmtId="4" fontId="16" fillId="0" borderId="28" xfId="0" applyNumberFormat="1" applyFont="1" applyBorder="1" applyAlignment="1"/>
    <xf numFmtId="0" fontId="0" fillId="0" borderId="7" xfId="0" applyBorder="1"/>
    <xf numFmtId="0" fontId="0" fillId="0" borderId="40" xfId="0" applyBorder="1" applyAlignment="1">
      <alignment horizontal="center" wrapText="1"/>
    </xf>
    <xf numFmtId="0" fontId="0" fillId="0" borderId="40" xfId="0" applyBorder="1" applyAlignment="1">
      <alignment vertical="center"/>
    </xf>
    <xf numFmtId="4" fontId="0" fillId="0" borderId="40" xfId="0" applyNumberFormat="1" applyBorder="1" applyAlignment="1">
      <alignment vertical="center"/>
    </xf>
    <xf numFmtId="4" fontId="0" fillId="0" borderId="40" xfId="0" applyNumberFormat="1" applyBorder="1" applyAlignment="1">
      <alignment horizontal="center" vertical="center"/>
    </xf>
    <xf numFmtId="4" fontId="0" fillId="0" borderId="40" xfId="0" applyNumberFormat="1" applyBorder="1" applyAlignment="1">
      <alignment horizontal="center" vertical="center" wrapText="1"/>
    </xf>
    <xf numFmtId="0" fontId="0" fillId="0" borderId="31" xfId="0" applyBorder="1" applyAlignment="1"/>
    <xf numFmtId="0" fontId="0" fillId="0" borderId="3" xfId="0" applyBorder="1" applyAlignment="1"/>
    <xf numFmtId="4" fontId="0" fillId="0" borderId="31" xfId="0" applyNumberFormat="1" applyBorder="1" applyAlignment="1"/>
    <xf numFmtId="0" fontId="0" fillId="0" borderId="40" xfId="0" applyBorder="1" applyAlignment="1">
      <alignment horizontal="left" vertical="center" wrapText="1"/>
    </xf>
    <xf numFmtId="0" fontId="0" fillId="0" borderId="40" xfId="0" applyBorder="1" applyAlignment="1">
      <alignment horizontal="left" vertical="center"/>
    </xf>
    <xf numFmtId="0" fontId="0" fillId="0" borderId="40" xfId="0" applyBorder="1" applyAlignment="1">
      <alignment horizontal="left" wrapText="1"/>
    </xf>
    <xf numFmtId="0" fontId="0" fillId="0" borderId="40" xfId="0" applyBorder="1" applyAlignment="1">
      <alignment horizontal="left"/>
    </xf>
    <xf numFmtId="164" fontId="3" fillId="2" borderId="35" xfId="0" applyNumberFormat="1" applyFont="1" applyFill="1" applyBorder="1" applyAlignment="1">
      <alignment vertical="center" wrapText="1"/>
    </xf>
    <xf numFmtId="164" fontId="3" fillId="2" borderId="10" xfId="0" applyNumberFormat="1" applyFont="1" applyFill="1" applyBorder="1" applyAlignment="1">
      <alignment vertical="center" wrapText="1"/>
    </xf>
    <xf numFmtId="164" fontId="39" fillId="2" borderId="6" xfId="0" applyNumberFormat="1" applyFont="1" applyFill="1" applyBorder="1" applyAlignment="1">
      <alignment vertical="center" wrapText="1"/>
    </xf>
    <xf numFmtId="164" fontId="39" fillId="2" borderId="28" xfId="0" applyNumberFormat="1" applyFont="1" applyFill="1" applyBorder="1" applyAlignment="1">
      <alignment vertical="center" wrapText="1"/>
    </xf>
    <xf numFmtId="164" fontId="39" fillId="2" borderId="34" xfId="0" applyNumberFormat="1" applyFont="1" applyFill="1" applyBorder="1" applyAlignment="1">
      <alignment vertical="center" wrapText="1"/>
    </xf>
    <xf numFmtId="164" fontId="40" fillId="2" borderId="28" xfId="0" applyNumberFormat="1" applyFont="1" applyFill="1" applyBorder="1" applyAlignment="1">
      <alignment vertical="center" wrapText="1"/>
    </xf>
    <xf numFmtId="164" fontId="40" fillId="2" borderId="6" xfId="0" applyNumberFormat="1" applyFont="1" applyFill="1" applyBorder="1" applyAlignment="1">
      <alignment vertical="center" wrapText="1"/>
    </xf>
    <xf numFmtId="164" fontId="39" fillId="2" borderId="13" xfId="0" applyNumberFormat="1" applyFont="1" applyFill="1" applyBorder="1" applyAlignment="1">
      <alignment vertical="center" wrapText="1"/>
    </xf>
    <xf numFmtId="164" fontId="41" fillId="2" borderId="34" xfId="0" applyNumberFormat="1" applyFont="1" applyFill="1" applyBorder="1" applyAlignment="1">
      <alignment vertical="center" wrapText="1"/>
    </xf>
    <xf numFmtId="164" fontId="39" fillId="2" borderId="27" xfId="0" applyNumberFormat="1" applyFont="1" applyFill="1" applyBorder="1" applyAlignment="1">
      <alignment vertical="center" wrapText="1"/>
    </xf>
    <xf numFmtId="164" fontId="39" fillId="2" borderId="9" xfId="0" applyNumberFormat="1" applyFont="1" applyFill="1" applyBorder="1" applyAlignment="1">
      <alignment vertical="center" wrapText="1"/>
    </xf>
    <xf numFmtId="164" fontId="39" fillId="0" borderId="30" xfId="0" applyNumberFormat="1" applyFont="1" applyFill="1" applyBorder="1" applyAlignment="1">
      <alignment vertical="center" wrapText="1"/>
    </xf>
    <xf numFmtId="164" fontId="3" fillId="0" borderId="6" xfId="0" applyNumberFormat="1" applyFont="1" applyFill="1" applyBorder="1" applyAlignment="1">
      <alignment vertical="center" wrapText="1"/>
    </xf>
    <xf numFmtId="164" fontId="3" fillId="3" borderId="35" xfId="0" applyNumberFormat="1" applyFont="1" applyFill="1" applyBorder="1" applyAlignment="1">
      <alignment vertical="center" wrapText="1"/>
    </xf>
    <xf numFmtId="164" fontId="42" fillId="2" borderId="32" xfId="0" applyNumberFormat="1" applyFont="1" applyFill="1" applyBorder="1" applyAlignment="1">
      <alignment vertical="center" wrapText="1"/>
    </xf>
    <xf numFmtId="164" fontId="39" fillId="2" borderId="25" xfId="0" applyNumberFormat="1" applyFont="1" applyFill="1" applyBorder="1" applyAlignment="1">
      <alignment vertical="center" wrapText="1"/>
    </xf>
    <xf numFmtId="164" fontId="3" fillId="2" borderId="11" xfId="0" applyNumberFormat="1" applyFont="1" applyFill="1" applyBorder="1" applyAlignment="1">
      <alignment vertical="center" wrapText="1"/>
    </xf>
    <xf numFmtId="164" fontId="3" fillId="2" borderId="25" xfId="0" applyNumberFormat="1" applyFont="1" applyFill="1" applyBorder="1" applyAlignment="1">
      <alignment vertical="center" wrapText="1"/>
    </xf>
    <xf numFmtId="164" fontId="3" fillId="2" borderId="75" xfId="0" applyNumberFormat="1" applyFont="1" applyFill="1" applyBorder="1" applyAlignment="1">
      <alignment vertical="center" wrapText="1"/>
    </xf>
    <xf numFmtId="164" fontId="3" fillId="2" borderId="33" xfId="0" applyNumberFormat="1" applyFont="1" applyFill="1" applyBorder="1" applyAlignment="1">
      <alignment vertical="center" wrapText="1"/>
    </xf>
    <xf numFmtId="164" fontId="39" fillId="0" borderId="17" xfId="0" applyNumberFormat="1" applyFont="1" applyFill="1" applyBorder="1" applyAlignment="1">
      <alignment vertical="center" wrapText="1"/>
    </xf>
    <xf numFmtId="4" fontId="39" fillId="2" borderId="17" xfId="0" applyNumberFormat="1" applyFont="1" applyFill="1" applyBorder="1" applyAlignment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9" fillId="2" borderId="30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6" xfId="0" applyNumberFormat="1" applyFont="1" applyFill="1" applyBorder="1" applyAlignment="1">
      <alignment vertical="center" wrapText="1"/>
    </xf>
    <xf numFmtId="4" fontId="39" fillId="2" borderId="21" xfId="0" applyNumberFormat="1" applyFont="1" applyFill="1" applyBorder="1" applyAlignment="1">
      <alignment vertical="center" wrapText="1"/>
    </xf>
    <xf numFmtId="4" fontId="3" fillId="2" borderId="32" xfId="0" applyNumberFormat="1" applyFont="1" applyFill="1" applyBorder="1" applyAlignment="1">
      <alignment vertical="center" wrapText="1"/>
    </xf>
    <xf numFmtId="4" fontId="3" fillId="2" borderId="34" xfId="0" applyNumberFormat="1" applyFont="1" applyFill="1" applyBorder="1" applyAlignment="1">
      <alignment vertical="center" wrapText="1"/>
    </xf>
    <xf numFmtId="164" fontId="0" fillId="0" borderId="0" xfId="0" applyNumberFormat="1"/>
    <xf numFmtId="0" fontId="53" fillId="0" borderId="0" xfId="0" applyFont="1"/>
    <xf numFmtId="2" fontId="55" fillId="0" borderId="48" xfId="0" applyNumberFormat="1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2" fontId="55" fillId="0" borderId="76" xfId="0" applyNumberFormat="1" applyFont="1" applyBorder="1" applyAlignment="1">
      <alignment horizontal="center" vertical="center" wrapText="1"/>
    </xf>
    <xf numFmtId="0" fontId="50" fillId="0" borderId="40" xfId="0" applyFont="1" applyBorder="1" applyAlignment="1">
      <alignment horizontal="center" vertical="center" wrapText="1"/>
    </xf>
    <xf numFmtId="4" fontId="56" fillId="0" borderId="40" xfId="0" applyNumberFormat="1" applyFont="1" applyBorder="1" applyAlignment="1">
      <alignment horizontal="center" vertical="center" wrapText="1"/>
    </xf>
    <xf numFmtId="164" fontId="50" fillId="0" borderId="40" xfId="0" applyNumberFormat="1" applyFont="1" applyBorder="1" applyAlignment="1">
      <alignment horizontal="center" vertical="center" wrapText="1"/>
    </xf>
    <xf numFmtId="4" fontId="57" fillId="0" borderId="40" xfId="0" applyNumberFormat="1" applyFont="1" applyBorder="1" applyAlignment="1">
      <alignment horizontal="center" vertical="center" wrapText="1"/>
    </xf>
    <xf numFmtId="0" fontId="50" fillId="0" borderId="48" xfId="0" applyFont="1" applyBorder="1" applyAlignment="1">
      <alignment horizontal="center" vertical="center" wrapText="1"/>
    </xf>
    <xf numFmtId="4" fontId="57" fillId="0" borderId="77" xfId="0" applyNumberFormat="1" applyFont="1" applyBorder="1" applyAlignment="1">
      <alignment horizontal="center" vertical="center" wrapText="1"/>
    </xf>
    <xf numFmtId="0" fontId="50" fillId="0" borderId="71" xfId="0" applyFont="1" applyBorder="1" applyAlignment="1">
      <alignment horizontal="center" vertical="center" wrapText="1"/>
    </xf>
    <xf numFmtId="4" fontId="50" fillId="0" borderId="78" xfId="0" applyNumberFormat="1" applyFont="1" applyBorder="1" applyAlignment="1">
      <alignment horizontal="center" vertical="center" wrapText="1"/>
    </xf>
    <xf numFmtId="4" fontId="50" fillId="0" borderId="40" xfId="0" applyNumberFormat="1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4" fontId="50" fillId="0" borderId="0" xfId="0" applyNumberFormat="1" applyFont="1" applyBorder="1" applyAlignment="1">
      <alignment vertical="center" wrapText="1"/>
    </xf>
    <xf numFmtId="4" fontId="50" fillId="0" borderId="0" xfId="0" applyNumberFormat="1" applyFont="1" applyBorder="1" applyAlignment="1">
      <alignment horizontal="right" vertical="center" wrapText="1"/>
    </xf>
    <xf numFmtId="4" fontId="58" fillId="0" borderId="0" xfId="0" applyNumberFormat="1" applyFont="1" applyBorder="1" applyAlignment="1">
      <alignment horizontal="right" vertical="center" wrapText="1"/>
    </xf>
    <xf numFmtId="4" fontId="59" fillId="0" borderId="0" xfId="0" applyNumberFormat="1" applyFont="1" applyBorder="1" applyAlignment="1">
      <alignment vertical="center" wrapText="1"/>
    </xf>
    <xf numFmtId="4" fontId="53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58" fillId="0" borderId="0" xfId="0" applyFont="1"/>
    <xf numFmtId="0" fontId="3" fillId="8" borderId="11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vertical="center" wrapText="1"/>
    </xf>
    <xf numFmtId="164" fontId="3" fillId="0" borderId="28" xfId="0" applyNumberFormat="1" applyFont="1" applyFill="1" applyBorder="1" applyAlignment="1">
      <alignment vertical="center" wrapText="1"/>
    </xf>
    <xf numFmtId="164" fontId="3" fillId="0" borderId="34" xfId="0" applyNumberFormat="1" applyFont="1" applyFill="1" applyBorder="1" applyAlignment="1">
      <alignment vertical="center" wrapText="1"/>
    </xf>
    <xf numFmtId="164" fontId="3" fillId="0" borderId="9" xfId="0" applyNumberFormat="1" applyFont="1" applyFill="1" applyBorder="1" applyAlignment="1">
      <alignment vertical="center" wrapText="1"/>
    </xf>
    <xf numFmtId="164" fontId="39" fillId="0" borderId="29" xfId="0" applyNumberFormat="1" applyFont="1" applyFill="1" applyBorder="1" applyAlignment="1">
      <alignment vertical="center" wrapText="1"/>
    </xf>
    <xf numFmtId="164" fontId="39" fillId="0" borderId="31" xfId="0" applyNumberFormat="1" applyFont="1" applyFill="1" applyBorder="1" applyAlignment="1">
      <alignment vertical="center" wrapText="1"/>
    </xf>
    <xf numFmtId="164" fontId="3" fillId="0" borderId="31" xfId="0" applyNumberFormat="1" applyFont="1" applyFill="1" applyBorder="1" applyAlignment="1">
      <alignment vertical="center" wrapText="1"/>
    </xf>
    <xf numFmtId="164" fontId="39" fillId="0" borderId="28" xfId="0" applyNumberFormat="1" applyFont="1" applyFill="1" applyBorder="1" applyAlignment="1">
      <alignment vertical="center" wrapText="1"/>
    </xf>
    <xf numFmtId="164" fontId="39" fillId="0" borderId="6" xfId="0" applyNumberFormat="1" applyFont="1" applyFill="1" applyBorder="1" applyAlignment="1">
      <alignment vertical="center" wrapText="1"/>
    </xf>
    <xf numFmtId="164" fontId="40" fillId="0" borderId="28" xfId="0" applyNumberFormat="1" applyFont="1" applyFill="1" applyBorder="1" applyAlignment="1">
      <alignment vertical="center" wrapText="1"/>
    </xf>
    <xf numFmtId="164" fontId="40" fillId="0" borderId="6" xfId="0" applyNumberFormat="1" applyFont="1" applyFill="1" applyBorder="1" applyAlignment="1">
      <alignment vertical="center" wrapText="1"/>
    </xf>
    <xf numFmtId="164" fontId="39" fillId="0" borderId="34" xfId="0" applyNumberFormat="1" applyFont="1" applyFill="1" applyBorder="1" applyAlignment="1">
      <alignment vertical="center" wrapText="1"/>
    </xf>
    <xf numFmtId="164" fontId="42" fillId="0" borderId="34" xfId="0" applyNumberFormat="1" applyFont="1" applyFill="1" applyBorder="1" applyAlignment="1">
      <alignment vertical="center" wrapText="1"/>
    </xf>
    <xf numFmtId="164" fontId="3" fillId="0" borderId="12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33" xfId="0" applyNumberFormat="1" applyFont="1" applyFill="1" applyBorder="1" applyAlignment="1">
      <alignment vertical="center" wrapText="1"/>
    </xf>
    <xf numFmtId="164" fontId="3" fillId="0" borderId="29" xfId="0" applyNumberFormat="1" applyFont="1" applyFill="1" applyBorder="1" applyAlignment="1">
      <alignment vertical="center" wrapText="1"/>
    </xf>
    <xf numFmtId="164" fontId="3" fillId="0" borderId="33" xfId="0" applyNumberFormat="1" applyFont="1" applyFill="1" applyBorder="1" applyAlignment="1">
      <alignment vertical="center" wrapText="1"/>
    </xf>
    <xf numFmtId="0" fontId="0" fillId="0" borderId="0" xfId="0" applyFill="1"/>
    <xf numFmtId="0" fontId="3" fillId="0" borderId="15" xfId="0" applyFont="1" applyFill="1" applyBorder="1" applyAlignment="1">
      <alignment vertical="center" wrapText="1"/>
    </xf>
    <xf numFmtId="164" fontId="3" fillId="0" borderId="27" xfId="0" applyNumberFormat="1" applyFont="1" applyFill="1" applyBorder="1" applyAlignment="1">
      <alignment vertical="center" wrapText="1"/>
    </xf>
    <xf numFmtId="164" fontId="3" fillId="0" borderId="30" xfId="0" applyNumberFormat="1" applyFont="1" applyFill="1" applyBorder="1" applyAlignment="1">
      <alignment vertical="center" wrapText="1"/>
    </xf>
    <xf numFmtId="164" fontId="3" fillId="0" borderId="32" xfId="0" applyNumberFormat="1" applyFont="1" applyFill="1" applyBorder="1" applyAlignment="1">
      <alignment vertical="center" wrapText="1"/>
    </xf>
    <xf numFmtId="164" fontId="39" fillId="0" borderId="27" xfId="0" applyNumberFormat="1" applyFont="1" applyFill="1" applyBorder="1" applyAlignment="1">
      <alignment vertical="center" wrapText="1"/>
    </xf>
    <xf numFmtId="164" fontId="39" fillId="0" borderId="32" xfId="0" applyNumberFormat="1" applyFont="1" applyFill="1" applyBorder="1" applyAlignment="1">
      <alignment vertical="center" wrapText="1"/>
    </xf>
    <xf numFmtId="164" fontId="9" fillId="0" borderId="27" xfId="0" applyNumberFormat="1" applyFont="1" applyFill="1" applyBorder="1" applyAlignment="1">
      <alignment vertical="center" wrapText="1"/>
    </xf>
    <xf numFmtId="164" fontId="9" fillId="0" borderId="28" xfId="0" applyNumberFormat="1" applyFont="1" applyFill="1" applyBorder="1" applyAlignment="1">
      <alignment vertical="center" wrapText="1"/>
    </xf>
    <xf numFmtId="164" fontId="9" fillId="0" borderId="30" xfId="0" applyNumberFormat="1" applyFont="1" applyFill="1" applyBorder="1" applyAlignment="1">
      <alignment vertical="center" wrapText="1"/>
    </xf>
    <xf numFmtId="164" fontId="9" fillId="0" borderId="6" xfId="0" applyNumberFormat="1" applyFont="1" applyFill="1" applyBorder="1" applyAlignment="1">
      <alignment vertical="center" wrapText="1"/>
    </xf>
    <xf numFmtId="164" fontId="3" fillId="0" borderId="37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36" xfId="0" applyNumberFormat="1" applyFont="1" applyFill="1" applyBorder="1" applyAlignment="1">
      <alignment vertical="center" wrapText="1"/>
    </xf>
    <xf numFmtId="164" fontId="39" fillId="0" borderId="21" xfId="0" applyNumberFormat="1" applyFont="1" applyFill="1" applyBorder="1" applyAlignment="1">
      <alignment vertical="center" wrapText="1"/>
    </xf>
    <xf numFmtId="164" fontId="3" fillId="0" borderId="38" xfId="0" applyNumberFormat="1" applyFont="1" applyFill="1" applyBorder="1" applyAlignment="1">
      <alignment vertical="center" wrapText="1"/>
    </xf>
    <xf numFmtId="0" fontId="61" fillId="0" borderId="0" xfId="0" applyFont="1"/>
    <xf numFmtId="0" fontId="3" fillId="2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55" fillId="0" borderId="40" xfId="0" applyFont="1" applyBorder="1" applyAlignment="1">
      <alignment horizontal="center" vertical="center" wrapText="1"/>
    </xf>
    <xf numFmtId="0" fontId="55" fillId="0" borderId="41" xfId="0" applyFont="1" applyBorder="1" applyAlignment="1">
      <alignment horizontal="center" vertical="center" wrapText="1"/>
    </xf>
    <xf numFmtId="0" fontId="55" fillId="0" borderId="31" xfId="0" applyFont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 wrapText="1"/>
    </xf>
    <xf numFmtId="0" fontId="54" fillId="0" borderId="29" xfId="0" applyFont="1" applyBorder="1" applyAlignment="1">
      <alignment horizontal="center"/>
    </xf>
    <xf numFmtId="0" fontId="0" fillId="9" borderId="29" xfId="0" applyFill="1" applyBorder="1" applyAlignment="1">
      <alignment horizontal="center"/>
    </xf>
    <xf numFmtId="0" fontId="17" fillId="0" borderId="7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0" fillId="0" borderId="43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0" xfId="0" applyAlignment="1">
      <alignment horizontal="right"/>
    </xf>
    <xf numFmtId="0" fontId="13" fillId="0" borderId="41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1" xfId="0" applyBorder="1" applyAlignment="1">
      <alignment horizontal="right"/>
    </xf>
    <xf numFmtId="0" fontId="0" fillId="0" borderId="31" xfId="0" applyBorder="1" applyAlignment="1">
      <alignment horizontal="right"/>
    </xf>
    <xf numFmtId="0" fontId="0" fillId="0" borderId="3" xfId="0" applyBorder="1" applyAlignment="1">
      <alignment horizontal="right"/>
    </xf>
    <xf numFmtId="0" fontId="1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9" fillId="2" borderId="53" xfId="0" applyFont="1" applyFill="1" applyBorder="1" applyAlignment="1">
      <alignment vertical="center" wrapText="1"/>
    </xf>
    <xf numFmtId="0" fontId="29" fillId="2" borderId="54" xfId="0" applyFont="1" applyFill="1" applyBorder="1" applyAlignment="1">
      <alignment vertical="center" wrapText="1"/>
    </xf>
    <xf numFmtId="0" fontId="31" fillId="2" borderId="55" xfId="0" applyFont="1" applyFill="1" applyBorder="1" applyAlignment="1">
      <alignment vertical="center" wrapText="1"/>
    </xf>
    <xf numFmtId="0" fontId="31" fillId="2" borderId="57" xfId="0" applyFont="1" applyFill="1" applyBorder="1" applyAlignment="1">
      <alignment vertical="center" wrapText="1"/>
    </xf>
    <xf numFmtId="0" fontId="31" fillId="2" borderId="59" xfId="0" applyFont="1" applyFill="1" applyBorder="1" applyAlignment="1">
      <alignment vertical="center" wrapText="1"/>
    </xf>
    <xf numFmtId="4" fontId="29" fillId="2" borderId="56" xfId="0" applyNumberFormat="1" applyFont="1" applyFill="1" applyBorder="1" applyAlignment="1">
      <alignment vertical="center" wrapText="1"/>
    </xf>
    <xf numFmtId="0" fontId="29" fillId="2" borderId="58" xfId="0" applyFont="1" applyFill="1" applyBorder="1" applyAlignment="1">
      <alignment vertical="center" wrapText="1"/>
    </xf>
    <xf numFmtId="0" fontId="29" fillId="2" borderId="60" xfId="0" applyFont="1" applyFill="1" applyBorder="1" applyAlignment="1">
      <alignment vertical="center" wrapText="1"/>
    </xf>
    <xf numFmtId="0" fontId="29" fillId="2" borderId="25" xfId="0" applyFont="1" applyFill="1" applyBorder="1" applyAlignment="1">
      <alignment horizontal="center" vertical="center" wrapText="1"/>
    </xf>
    <xf numFmtId="0" fontId="29" fillId="2" borderId="24" xfId="0" applyFont="1" applyFill="1" applyBorder="1" applyAlignment="1">
      <alignment horizontal="center" vertical="center" wrapText="1"/>
    </xf>
    <xf numFmtId="0" fontId="29" fillId="2" borderId="35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right" vertical="center"/>
    </xf>
    <xf numFmtId="0" fontId="43" fillId="0" borderId="67" xfId="0" applyFont="1" applyBorder="1" applyAlignment="1">
      <alignment horizontal="right" vertical="center"/>
    </xf>
    <xf numFmtId="0" fontId="44" fillId="0" borderId="53" xfId="0" applyFont="1" applyBorder="1" applyAlignment="1">
      <alignment horizontal="center" vertical="top" wrapText="1"/>
    </xf>
    <xf numFmtId="0" fontId="44" fillId="0" borderId="61" xfId="0" applyFont="1" applyBorder="1" applyAlignment="1">
      <alignment horizontal="center" vertical="top" wrapText="1"/>
    </xf>
    <xf numFmtId="0" fontId="44" fillId="0" borderId="53" xfId="0" applyFont="1" applyBorder="1" applyAlignment="1">
      <alignment horizontal="left" vertical="top" wrapText="1" indent="3"/>
    </xf>
    <xf numFmtId="0" fontId="44" fillId="0" borderId="61" xfId="0" applyFont="1" applyBorder="1" applyAlignment="1">
      <alignment horizontal="left" vertical="top" wrapText="1" indent="3"/>
    </xf>
    <xf numFmtId="0" fontId="46" fillId="0" borderId="53" xfId="0" applyFont="1" applyBorder="1" applyAlignment="1">
      <alignment horizontal="left" vertical="top" wrapText="1" indent="3"/>
    </xf>
    <xf numFmtId="0" fontId="46" fillId="0" borderId="61" xfId="0" applyFont="1" applyBorder="1" applyAlignment="1">
      <alignment horizontal="left" vertical="top" wrapText="1" indent="3"/>
    </xf>
    <xf numFmtId="0" fontId="5" fillId="0" borderId="0" xfId="0" applyFont="1" applyAlignment="1">
      <alignment horizontal="center"/>
    </xf>
    <xf numFmtId="0" fontId="2" fillId="0" borderId="2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3"/>
  <sheetViews>
    <sheetView tabSelected="1" view="pageLayout" topLeftCell="A33" zoomScaleNormal="100" workbookViewId="0">
      <selection activeCell="A38" sqref="A38"/>
    </sheetView>
  </sheetViews>
  <sheetFormatPr defaultRowHeight="15" x14ac:dyDescent="0.25"/>
  <cols>
    <col min="1" max="1" width="69.7109375" customWidth="1"/>
    <col min="4" max="4" width="11" customWidth="1"/>
    <col min="5" max="5" width="11.7109375" style="400" customWidth="1"/>
    <col min="6" max="6" width="14.28515625" customWidth="1"/>
    <col min="7" max="7" width="12.28515625" customWidth="1"/>
    <col min="8" max="8" width="11.85546875" customWidth="1"/>
    <col min="9" max="10" width="12.28515625" customWidth="1"/>
    <col min="11" max="11" width="12.42578125" customWidth="1"/>
  </cols>
  <sheetData>
    <row r="1" spans="1:11" x14ac:dyDescent="0.25">
      <c r="A1" s="141"/>
      <c r="B1" s="142"/>
      <c r="C1" s="143"/>
      <c r="D1" s="143"/>
      <c r="E1" s="143"/>
      <c r="F1" s="141"/>
      <c r="G1" s="425" t="s">
        <v>0</v>
      </c>
      <c r="H1" s="425"/>
      <c r="I1" s="425"/>
      <c r="J1" s="425"/>
      <c r="K1" s="425"/>
    </row>
    <row r="2" spans="1:11" x14ac:dyDescent="0.25">
      <c r="A2" s="1"/>
      <c r="B2" s="142"/>
      <c r="C2" s="144"/>
      <c r="D2" s="144"/>
      <c r="E2" s="144"/>
      <c r="F2" s="1"/>
      <c r="G2" s="145"/>
      <c r="H2" s="145"/>
      <c r="I2" s="145"/>
      <c r="J2" s="145"/>
      <c r="K2" s="145"/>
    </row>
    <row r="3" spans="1:11" x14ac:dyDescent="0.25">
      <c r="A3" s="1"/>
      <c r="B3" s="142"/>
      <c r="C3" s="144"/>
      <c r="D3" s="146"/>
      <c r="E3" s="144"/>
      <c r="F3" s="147"/>
      <c r="G3" s="147" t="s">
        <v>1</v>
      </c>
      <c r="H3" s="147"/>
      <c r="I3" s="147"/>
      <c r="J3" s="147"/>
      <c r="K3" s="1"/>
    </row>
    <row r="4" spans="1:11" x14ac:dyDescent="0.25">
      <c r="A4" s="1" t="s">
        <v>2</v>
      </c>
      <c r="B4" s="142"/>
      <c r="C4" s="144"/>
      <c r="D4" s="146"/>
      <c r="E4" s="144"/>
      <c r="F4" s="147"/>
      <c r="G4" s="147"/>
      <c r="H4" s="147"/>
      <c r="I4" s="147"/>
      <c r="J4" s="147"/>
      <c r="K4" s="1"/>
    </row>
    <row r="5" spans="1:11" x14ac:dyDescent="0.25">
      <c r="A5" s="1" t="s">
        <v>792</v>
      </c>
      <c r="B5" s="142"/>
      <c r="C5" s="144"/>
      <c r="D5" s="146"/>
      <c r="E5" s="144"/>
      <c r="F5" s="147"/>
      <c r="G5" s="147" t="s">
        <v>3</v>
      </c>
      <c r="H5" s="147"/>
      <c r="I5" s="147"/>
      <c r="J5" s="147"/>
      <c r="K5" s="1" t="s">
        <v>4</v>
      </c>
    </row>
    <row r="6" spans="1:11" x14ac:dyDescent="0.25">
      <c r="A6" s="1" t="s">
        <v>10</v>
      </c>
      <c r="B6" s="142"/>
      <c r="C6" s="144"/>
      <c r="D6" s="146"/>
      <c r="E6" s="144"/>
      <c r="F6" s="147"/>
      <c r="G6" s="147"/>
      <c r="H6" s="147"/>
      <c r="I6" s="147"/>
      <c r="J6" s="147"/>
      <c r="K6" s="1"/>
    </row>
    <row r="7" spans="1:11" ht="15.75" thickBot="1" x14ac:dyDescent="0.3">
      <c r="A7" s="1" t="s">
        <v>793</v>
      </c>
      <c r="B7" s="142"/>
      <c r="C7" s="144"/>
      <c r="D7" s="146"/>
      <c r="E7" s="144"/>
      <c r="F7" s="147"/>
      <c r="G7" s="147"/>
      <c r="H7" s="147"/>
      <c r="I7" s="147"/>
      <c r="J7" s="147"/>
      <c r="K7" s="1"/>
    </row>
    <row r="8" spans="1:11" x14ac:dyDescent="0.25">
      <c r="A8" s="1" t="s">
        <v>5</v>
      </c>
      <c r="B8" s="142"/>
      <c r="C8" s="144"/>
      <c r="D8" s="146"/>
      <c r="E8" s="144"/>
      <c r="F8" s="147"/>
      <c r="G8" s="147"/>
      <c r="H8" s="1"/>
      <c r="I8" s="426" t="s">
        <v>6</v>
      </c>
      <c r="J8" s="427"/>
      <c r="K8" s="373"/>
    </row>
    <row r="9" spans="1:11" x14ac:dyDescent="0.25">
      <c r="A9" s="1" t="s">
        <v>2</v>
      </c>
      <c r="B9" s="142"/>
      <c r="C9" s="144"/>
      <c r="D9" s="146"/>
      <c r="E9" s="144"/>
      <c r="F9" s="147"/>
      <c r="G9" s="147"/>
      <c r="H9" s="1"/>
      <c r="I9" s="428" t="s">
        <v>7</v>
      </c>
      <c r="J9" s="429"/>
      <c r="K9" s="148"/>
    </row>
    <row r="10" spans="1:11" x14ac:dyDescent="0.25">
      <c r="A10" s="1" t="s">
        <v>8</v>
      </c>
      <c r="B10" s="142"/>
      <c r="C10" s="144"/>
      <c r="D10" s="146"/>
      <c r="E10" s="144"/>
      <c r="F10" s="147"/>
      <c r="G10" s="147"/>
      <c r="H10" s="1"/>
      <c r="I10" s="428" t="s">
        <v>9</v>
      </c>
      <c r="J10" s="429"/>
      <c r="K10" s="148"/>
    </row>
    <row r="11" spans="1:11" x14ac:dyDescent="0.25">
      <c r="A11" s="1" t="s">
        <v>10</v>
      </c>
      <c r="B11" s="142"/>
      <c r="C11" s="144"/>
      <c r="D11" s="146"/>
      <c r="E11" s="144"/>
      <c r="F11" s="147"/>
      <c r="G11" s="147"/>
      <c r="H11" s="1"/>
      <c r="I11" s="428" t="s">
        <v>11</v>
      </c>
      <c r="J11" s="429"/>
      <c r="K11" s="148"/>
    </row>
    <row r="12" spans="1:11" ht="15.75" thickBot="1" x14ac:dyDescent="0.3">
      <c r="A12" s="1" t="s">
        <v>12</v>
      </c>
      <c r="B12" s="142"/>
      <c r="C12" s="144"/>
      <c r="D12" s="146"/>
      <c r="E12" s="144"/>
      <c r="F12" s="147"/>
      <c r="G12" s="147"/>
      <c r="H12" s="1"/>
      <c r="I12" s="430" t="s">
        <v>13</v>
      </c>
      <c r="J12" s="431"/>
      <c r="K12" s="149"/>
    </row>
    <row r="13" spans="1:11" x14ac:dyDescent="0.25">
      <c r="A13" s="1" t="s">
        <v>5</v>
      </c>
      <c r="B13" s="142"/>
      <c r="C13" s="144"/>
      <c r="D13" s="146"/>
      <c r="E13" s="144"/>
      <c r="F13" s="147"/>
      <c r="G13" s="147"/>
      <c r="H13" s="147"/>
      <c r="I13" s="147"/>
      <c r="J13" s="147"/>
      <c r="K13" s="1"/>
    </row>
    <row r="14" spans="1:11" ht="15.75" thickBot="1" x14ac:dyDescent="0.3">
      <c r="A14" s="1"/>
      <c r="B14" s="142"/>
      <c r="C14" s="150"/>
      <c r="D14" s="150"/>
      <c r="E14" s="150"/>
      <c r="F14" s="150"/>
      <c r="G14" s="147"/>
      <c r="H14" s="147"/>
      <c r="I14" s="432"/>
      <c r="J14" s="432"/>
      <c r="K14" s="1"/>
    </row>
    <row r="15" spans="1:11" ht="15.75" thickBot="1" x14ac:dyDescent="0.3">
      <c r="A15" s="151" t="s">
        <v>14</v>
      </c>
      <c r="B15" s="433">
        <v>2021</v>
      </c>
      <c r="C15" s="434"/>
      <c r="D15" s="434"/>
      <c r="E15" s="434"/>
      <c r="F15" s="434"/>
      <c r="G15" s="434"/>
      <c r="H15" s="435"/>
      <c r="I15" s="420" t="s">
        <v>15</v>
      </c>
      <c r="J15" s="421"/>
      <c r="K15" s="422"/>
    </row>
    <row r="16" spans="1:11" ht="15.75" thickBot="1" x14ac:dyDescent="0.3">
      <c r="A16" s="152" t="s">
        <v>16</v>
      </c>
      <c r="B16" s="420" t="s">
        <v>258</v>
      </c>
      <c r="C16" s="421"/>
      <c r="D16" s="421"/>
      <c r="E16" s="421"/>
      <c r="F16" s="421"/>
      <c r="G16" s="421"/>
      <c r="H16" s="422"/>
      <c r="I16" s="423" t="s">
        <v>17</v>
      </c>
      <c r="J16" s="424"/>
      <c r="K16" s="153">
        <v>42352786</v>
      </c>
    </row>
    <row r="17" spans="1:11" ht="15.75" thickBot="1" x14ac:dyDescent="0.3">
      <c r="A17" s="152" t="s">
        <v>18</v>
      </c>
      <c r="B17" s="420" t="s">
        <v>259</v>
      </c>
      <c r="C17" s="421"/>
      <c r="D17" s="421"/>
      <c r="E17" s="421"/>
      <c r="F17" s="421"/>
      <c r="G17" s="421"/>
      <c r="H17" s="422"/>
      <c r="I17" s="423" t="s">
        <v>19</v>
      </c>
      <c r="J17" s="424"/>
      <c r="K17" s="153">
        <v>150</v>
      </c>
    </row>
    <row r="18" spans="1:11" ht="15.75" thickBot="1" x14ac:dyDescent="0.3">
      <c r="A18" s="152" t="s">
        <v>20</v>
      </c>
      <c r="B18" s="420" t="s">
        <v>260</v>
      </c>
      <c r="C18" s="421"/>
      <c r="D18" s="421"/>
      <c r="E18" s="421"/>
      <c r="F18" s="421"/>
      <c r="G18" s="421"/>
      <c r="H18" s="422"/>
      <c r="I18" s="423" t="s">
        <v>21</v>
      </c>
      <c r="J18" s="424"/>
      <c r="K18" s="153">
        <v>2610100000</v>
      </c>
    </row>
    <row r="19" spans="1:11" ht="15.75" thickBot="1" x14ac:dyDescent="0.3">
      <c r="A19" s="152" t="s">
        <v>22</v>
      </c>
      <c r="B19" s="420"/>
      <c r="C19" s="421"/>
      <c r="D19" s="421"/>
      <c r="E19" s="421"/>
      <c r="F19" s="421"/>
      <c r="G19" s="421"/>
      <c r="H19" s="422"/>
      <c r="I19" s="423" t="s">
        <v>23</v>
      </c>
      <c r="J19" s="424"/>
      <c r="K19" s="153"/>
    </row>
    <row r="20" spans="1:11" ht="15.75" thickBot="1" x14ac:dyDescent="0.3">
      <c r="A20" s="152" t="s">
        <v>24</v>
      </c>
      <c r="B20" s="420" t="s">
        <v>261</v>
      </c>
      <c r="C20" s="421"/>
      <c r="D20" s="421"/>
      <c r="E20" s="421"/>
      <c r="F20" s="421"/>
      <c r="G20" s="421"/>
      <c r="H20" s="422"/>
      <c r="I20" s="423" t="s">
        <v>25</v>
      </c>
      <c r="J20" s="424"/>
      <c r="K20" s="153"/>
    </row>
    <row r="21" spans="1:11" ht="15.75" thickBot="1" x14ac:dyDescent="0.3">
      <c r="A21" s="152" t="s">
        <v>26</v>
      </c>
      <c r="B21" s="420" t="s">
        <v>262</v>
      </c>
      <c r="C21" s="421"/>
      <c r="D21" s="421"/>
      <c r="E21" s="421"/>
      <c r="F21" s="421"/>
      <c r="G21" s="421"/>
      <c r="H21" s="422"/>
      <c r="I21" s="423" t="s">
        <v>27</v>
      </c>
      <c r="J21" s="424"/>
      <c r="K21" s="153" t="s">
        <v>266</v>
      </c>
    </row>
    <row r="22" spans="1:11" ht="15.75" thickBot="1" x14ac:dyDescent="0.3">
      <c r="A22" s="152" t="s">
        <v>28</v>
      </c>
      <c r="B22" s="436" t="s">
        <v>29</v>
      </c>
      <c r="C22" s="437"/>
      <c r="D22" s="437"/>
      <c r="E22" s="437"/>
      <c r="F22" s="437"/>
      <c r="G22" s="437"/>
      <c r="H22" s="438"/>
      <c r="I22" s="154"/>
      <c r="J22" s="155"/>
      <c r="K22" s="153"/>
    </row>
    <row r="23" spans="1:11" ht="15.75" thickBot="1" x14ac:dyDescent="0.3">
      <c r="A23" s="152" t="s">
        <v>30</v>
      </c>
      <c r="B23" s="420" t="s">
        <v>263</v>
      </c>
      <c r="C23" s="421"/>
      <c r="D23" s="421"/>
      <c r="E23" s="421"/>
      <c r="F23" s="421"/>
      <c r="G23" s="421"/>
      <c r="H23" s="422"/>
      <c r="I23" s="154"/>
      <c r="J23" s="155"/>
      <c r="K23" s="153"/>
    </row>
    <row r="24" spans="1:11" ht="15.75" thickBot="1" x14ac:dyDescent="0.3">
      <c r="A24" s="401" t="s">
        <v>222</v>
      </c>
      <c r="B24" s="420">
        <v>1528.5</v>
      </c>
      <c r="C24" s="421"/>
      <c r="D24" s="421"/>
      <c r="E24" s="421"/>
      <c r="F24" s="421"/>
      <c r="G24" s="421"/>
      <c r="H24" s="422"/>
      <c r="I24" s="423" t="s">
        <v>31</v>
      </c>
      <c r="J24" s="424"/>
      <c r="K24" s="153"/>
    </row>
    <row r="25" spans="1:11" ht="15.75" thickBot="1" x14ac:dyDescent="0.3">
      <c r="A25" s="152" t="s">
        <v>32</v>
      </c>
      <c r="B25" s="420" t="s">
        <v>264</v>
      </c>
      <c r="C25" s="421"/>
      <c r="D25" s="421"/>
      <c r="E25" s="421"/>
      <c r="F25" s="421"/>
      <c r="G25" s="421"/>
      <c r="H25" s="422"/>
      <c r="I25" s="423" t="s">
        <v>33</v>
      </c>
      <c r="J25" s="424"/>
      <c r="K25" s="153"/>
    </row>
    <row r="26" spans="1:11" ht="15.75" thickBot="1" x14ac:dyDescent="0.3">
      <c r="A26" s="152" t="s">
        <v>34</v>
      </c>
      <c r="B26" s="420" t="s">
        <v>265</v>
      </c>
      <c r="C26" s="421"/>
      <c r="D26" s="421"/>
      <c r="E26" s="421"/>
      <c r="F26" s="421"/>
      <c r="G26" s="421"/>
      <c r="H26" s="422"/>
      <c r="I26" s="156"/>
      <c r="J26" s="156"/>
      <c r="K26" s="156"/>
    </row>
    <row r="27" spans="1:11" ht="15.75" thickBot="1" x14ac:dyDescent="0.3">
      <c r="A27" s="152" t="s">
        <v>35</v>
      </c>
      <c r="B27" s="420" t="s">
        <v>255</v>
      </c>
      <c r="C27" s="421"/>
      <c r="D27" s="421"/>
      <c r="E27" s="421"/>
      <c r="F27" s="421"/>
      <c r="G27" s="421"/>
      <c r="H27" s="422"/>
      <c r="I27" s="1"/>
      <c r="J27" s="1"/>
      <c r="K27" s="1"/>
    </row>
    <row r="28" spans="1:11" x14ac:dyDescent="0.25">
      <c r="A28" s="157"/>
      <c r="B28" s="158"/>
      <c r="C28" s="144"/>
      <c r="D28" s="144"/>
      <c r="E28" s="144"/>
      <c r="F28" s="1"/>
      <c r="G28" s="1"/>
      <c r="H28" s="1"/>
      <c r="I28" s="1"/>
      <c r="J28" s="1"/>
      <c r="K28" s="1"/>
    </row>
    <row r="29" spans="1:11" ht="60.75" customHeight="1" x14ac:dyDescent="0.25">
      <c r="A29" s="447" t="s">
        <v>794</v>
      </c>
      <c r="B29" s="447"/>
      <c r="C29" s="447"/>
      <c r="D29" s="447"/>
      <c r="E29" s="447"/>
      <c r="F29" s="447"/>
      <c r="G29" s="447"/>
      <c r="H29" s="447"/>
      <c r="I29" s="447"/>
      <c r="J29" s="447"/>
      <c r="K29" s="1"/>
    </row>
    <row r="30" spans="1:11" ht="15.75" thickBot="1" x14ac:dyDescent="0.3">
      <c r="A30" s="159"/>
      <c r="B30" s="160"/>
      <c r="C30" s="159"/>
      <c r="D30" s="159"/>
      <c r="E30" s="159"/>
      <c r="F30" s="159"/>
      <c r="G30" s="159"/>
      <c r="H30" s="159"/>
      <c r="I30" s="159"/>
      <c r="J30" s="161" t="s">
        <v>36</v>
      </c>
      <c r="K30" s="1"/>
    </row>
    <row r="31" spans="1:11" ht="15.75" customHeight="1" thickBot="1" x14ac:dyDescent="0.3">
      <c r="A31" s="439" t="s">
        <v>37</v>
      </c>
      <c r="B31" s="441" t="s">
        <v>121</v>
      </c>
      <c r="C31" s="443" t="s">
        <v>38</v>
      </c>
      <c r="D31" s="445" t="s">
        <v>795</v>
      </c>
      <c r="E31" s="443" t="s">
        <v>796</v>
      </c>
      <c r="F31" s="445" t="s">
        <v>797</v>
      </c>
      <c r="G31" s="451" t="s">
        <v>39</v>
      </c>
      <c r="H31" s="452"/>
      <c r="I31" s="452"/>
      <c r="J31" s="453"/>
      <c r="K31" s="443" t="s">
        <v>40</v>
      </c>
    </row>
    <row r="32" spans="1:11" ht="48" customHeight="1" thickBot="1" x14ac:dyDescent="0.3">
      <c r="A32" s="440"/>
      <c r="B32" s="442"/>
      <c r="C32" s="444"/>
      <c r="D32" s="446"/>
      <c r="E32" s="444"/>
      <c r="F32" s="446"/>
      <c r="G32" s="162" t="s">
        <v>41</v>
      </c>
      <c r="H32" s="163" t="s">
        <v>42</v>
      </c>
      <c r="I32" s="164" t="s">
        <v>43</v>
      </c>
      <c r="J32" s="163" t="s">
        <v>44</v>
      </c>
      <c r="K32" s="444"/>
    </row>
    <row r="33" spans="1:12" ht="15.75" thickBot="1" x14ac:dyDescent="0.3">
      <c r="A33" s="2">
        <v>1</v>
      </c>
      <c r="B33" s="6"/>
      <c r="C33" s="3">
        <v>2</v>
      </c>
      <c r="D33" s="3">
        <v>3</v>
      </c>
      <c r="E33" s="3"/>
      <c r="F33" s="3">
        <v>5</v>
      </c>
      <c r="G33" s="4">
        <v>6</v>
      </c>
      <c r="H33" s="5">
        <v>7</v>
      </c>
      <c r="I33" s="5">
        <v>8</v>
      </c>
      <c r="J33" s="3">
        <v>9</v>
      </c>
      <c r="K33" s="3">
        <v>10</v>
      </c>
    </row>
    <row r="34" spans="1:12" ht="15.75" thickBot="1" x14ac:dyDescent="0.3">
      <c r="A34" s="165" t="s">
        <v>45</v>
      </c>
      <c r="B34" s="166">
        <v>1</v>
      </c>
      <c r="C34" s="167">
        <v>1000</v>
      </c>
      <c r="D34" s="168"/>
      <c r="E34" s="168"/>
      <c r="F34" s="169"/>
      <c r="G34" s="170"/>
      <c r="H34" s="169"/>
      <c r="I34" s="169"/>
      <c r="J34" s="169"/>
      <c r="K34" s="169"/>
    </row>
    <row r="35" spans="1:12" ht="15.75" thickBot="1" x14ac:dyDescent="0.3">
      <c r="A35" s="171" t="s">
        <v>736</v>
      </c>
      <c r="B35" s="172">
        <f>B34+1</f>
        <v>2</v>
      </c>
      <c r="C35" s="173">
        <v>1010</v>
      </c>
      <c r="D35" s="175">
        <f>D36+D37+D38+D42+D43</f>
        <v>62860</v>
      </c>
      <c r="E35" s="381">
        <f>SUM(E36,E37,E38,E42,E43,E51,E52)</f>
        <v>194785.00000000003</v>
      </c>
      <c r="F35" s="174">
        <f>SUM(G35:J35)</f>
        <v>235590.9</v>
      </c>
      <c r="G35" s="175">
        <f>SUM(G36,G37:G38,G42:G43)</f>
        <v>61043.19999999999</v>
      </c>
      <c r="H35" s="175">
        <f t="shared" ref="H35:J35" si="0">SUM(H36,H37:H38,H42:H43)</f>
        <v>56048.2</v>
      </c>
      <c r="I35" s="175">
        <f t="shared" si="0"/>
        <v>57423.399999999994</v>
      </c>
      <c r="J35" s="175">
        <f t="shared" si="0"/>
        <v>61076.100000000006</v>
      </c>
      <c r="K35" s="176"/>
      <c r="L35" s="353"/>
    </row>
    <row r="36" spans="1:12" x14ac:dyDescent="0.25">
      <c r="A36" s="180" t="s">
        <v>223</v>
      </c>
      <c r="B36" s="177">
        <f t="shared" ref="B36:B99" si="1">B35+1</f>
        <v>3</v>
      </c>
      <c r="C36" s="178">
        <v>1020</v>
      </c>
      <c r="D36" s="194">
        <v>46495</v>
      </c>
      <c r="E36" s="382">
        <v>11813.1</v>
      </c>
      <c r="F36" s="388">
        <f>SUM(G36:J36)</f>
        <v>91.5</v>
      </c>
      <c r="G36" s="402">
        <v>22</v>
      </c>
      <c r="H36" s="402">
        <v>22</v>
      </c>
      <c r="I36" s="402">
        <v>23.7</v>
      </c>
      <c r="J36" s="402">
        <v>23.8</v>
      </c>
      <c r="K36" s="179"/>
    </row>
    <row r="37" spans="1:12" x14ac:dyDescent="0.25">
      <c r="A37" s="180" t="s">
        <v>95</v>
      </c>
      <c r="B37" s="181">
        <f t="shared" si="1"/>
        <v>4</v>
      </c>
      <c r="C37" s="178">
        <v>1030</v>
      </c>
      <c r="D37" s="194"/>
      <c r="E37" s="382">
        <v>149814.1</v>
      </c>
      <c r="F37" s="388">
        <f t="shared" ref="F37:F114" si="2">G37+H37+I37+J37</f>
        <v>205526.80000000002</v>
      </c>
      <c r="G37" s="402">
        <v>50790.2</v>
      </c>
      <c r="H37" s="402">
        <v>50443.4</v>
      </c>
      <c r="I37" s="402">
        <v>52046.6</v>
      </c>
      <c r="J37" s="402">
        <v>52246.6</v>
      </c>
      <c r="K37" s="179"/>
    </row>
    <row r="38" spans="1:12" x14ac:dyDescent="0.25">
      <c r="A38" s="180" t="s">
        <v>136</v>
      </c>
      <c r="B38" s="181">
        <f t="shared" si="1"/>
        <v>5</v>
      </c>
      <c r="C38" s="178">
        <v>1040</v>
      </c>
      <c r="D38" s="194">
        <v>16365</v>
      </c>
      <c r="E38" s="382">
        <f>SUM(E39:E41)</f>
        <v>23560.199999999997</v>
      </c>
      <c r="F38" s="388">
        <f>SUM(F39:F41)</f>
        <v>14187.2</v>
      </c>
      <c r="G38" s="402">
        <f>SUM(G39:G41)</f>
        <v>5784.7000000000007</v>
      </c>
      <c r="H38" s="402">
        <f t="shared" ref="H38:J38" si="3">SUM(H39:H41)</f>
        <v>1636.5</v>
      </c>
      <c r="I38" s="402">
        <f t="shared" si="3"/>
        <v>1406.7</v>
      </c>
      <c r="J38" s="402">
        <f t="shared" si="3"/>
        <v>5359.3</v>
      </c>
      <c r="K38" s="179"/>
    </row>
    <row r="39" spans="1:12" x14ac:dyDescent="0.25">
      <c r="A39" s="182" t="s">
        <v>137</v>
      </c>
      <c r="B39" s="181">
        <f t="shared" si="1"/>
        <v>6</v>
      </c>
      <c r="C39" s="183" t="s">
        <v>138</v>
      </c>
      <c r="D39" s="194"/>
      <c r="E39" s="382">
        <v>8771.7999999999993</v>
      </c>
      <c r="F39" s="388">
        <f t="shared" si="2"/>
        <v>12338.9</v>
      </c>
      <c r="G39" s="402">
        <v>5341.6</v>
      </c>
      <c r="H39" s="402">
        <v>1193.4000000000001</v>
      </c>
      <c r="I39" s="402">
        <v>925.7</v>
      </c>
      <c r="J39" s="402">
        <v>4878.2</v>
      </c>
      <c r="K39" s="179"/>
    </row>
    <row r="40" spans="1:12" x14ac:dyDescent="0.25">
      <c r="A40" s="182" t="s">
        <v>139</v>
      </c>
      <c r="B40" s="181">
        <f t="shared" si="1"/>
        <v>7</v>
      </c>
      <c r="C40" s="183" t="s">
        <v>140</v>
      </c>
      <c r="D40" s="194"/>
      <c r="E40" s="382">
        <v>1239.5999999999999</v>
      </c>
      <c r="F40" s="388">
        <f t="shared" si="2"/>
        <v>0</v>
      </c>
      <c r="G40" s="402"/>
      <c r="H40" s="402"/>
      <c r="I40" s="402"/>
      <c r="J40" s="402"/>
      <c r="K40" s="179"/>
    </row>
    <row r="41" spans="1:12" x14ac:dyDescent="0.25">
      <c r="A41" s="182" t="s">
        <v>141</v>
      </c>
      <c r="B41" s="181">
        <f t="shared" si="1"/>
        <v>8</v>
      </c>
      <c r="C41" s="183" t="s">
        <v>142</v>
      </c>
      <c r="D41" s="194"/>
      <c r="E41" s="382">
        <v>13548.8</v>
      </c>
      <c r="F41" s="388">
        <f>G41+H41+I41+J41</f>
        <v>1848.3000000000002</v>
      </c>
      <c r="G41" s="402">
        <v>443.1</v>
      </c>
      <c r="H41" s="402">
        <v>443.1</v>
      </c>
      <c r="I41" s="402">
        <v>481</v>
      </c>
      <c r="J41" s="402">
        <v>481.1</v>
      </c>
      <c r="K41" s="179"/>
    </row>
    <row r="42" spans="1:12" x14ac:dyDescent="0.25">
      <c r="A42" s="184" t="s">
        <v>143</v>
      </c>
      <c r="B42" s="181">
        <f t="shared" si="1"/>
        <v>9</v>
      </c>
      <c r="C42" s="417">
        <v>1050</v>
      </c>
      <c r="D42" s="186"/>
      <c r="E42" s="335">
        <v>7199.2</v>
      </c>
      <c r="F42" s="334">
        <f t="shared" si="2"/>
        <v>12143</v>
      </c>
      <c r="G42" s="403">
        <v>3535.7</v>
      </c>
      <c r="H42" s="403">
        <v>3035.7</v>
      </c>
      <c r="I42" s="403">
        <v>3035.8</v>
      </c>
      <c r="J42" s="403">
        <v>2535.8000000000002</v>
      </c>
      <c r="K42" s="185"/>
    </row>
    <row r="43" spans="1:12" x14ac:dyDescent="0.25">
      <c r="A43" s="184" t="s">
        <v>92</v>
      </c>
      <c r="B43" s="181">
        <f t="shared" si="1"/>
        <v>10</v>
      </c>
      <c r="C43" s="178">
        <v>1060</v>
      </c>
      <c r="D43" s="186">
        <f>D45+D46+D47+D44</f>
        <v>0</v>
      </c>
      <c r="E43" s="335">
        <f>SUM(E44:E50)</f>
        <v>2398.4</v>
      </c>
      <c r="F43" s="388">
        <f t="shared" si="2"/>
        <v>3642.4</v>
      </c>
      <c r="G43" s="335">
        <f>SUM(G44:G50)</f>
        <v>910.6</v>
      </c>
      <c r="H43" s="335">
        <f t="shared" ref="H43:J43" si="4">SUM(H44:H50)</f>
        <v>910.6</v>
      </c>
      <c r="I43" s="335">
        <f t="shared" si="4"/>
        <v>910.6</v>
      </c>
      <c r="J43" s="335">
        <f t="shared" si="4"/>
        <v>910.6</v>
      </c>
      <c r="K43" s="185"/>
    </row>
    <row r="44" spans="1:12" x14ac:dyDescent="0.25">
      <c r="A44" s="182" t="s">
        <v>46</v>
      </c>
      <c r="B44" s="181">
        <f t="shared" si="1"/>
        <v>11</v>
      </c>
      <c r="C44" s="183" t="s">
        <v>112</v>
      </c>
      <c r="D44" s="186"/>
      <c r="E44" s="335"/>
      <c r="F44" s="388">
        <f t="shared" si="2"/>
        <v>0</v>
      </c>
      <c r="G44" s="403"/>
      <c r="H44" s="403"/>
      <c r="I44" s="403"/>
      <c r="J44" s="403"/>
      <c r="K44" s="185"/>
    </row>
    <row r="45" spans="1:12" x14ac:dyDescent="0.25">
      <c r="A45" s="182" t="s">
        <v>47</v>
      </c>
      <c r="B45" s="181">
        <f t="shared" si="1"/>
        <v>12</v>
      </c>
      <c r="C45" s="183" t="s">
        <v>144</v>
      </c>
      <c r="D45" s="186"/>
      <c r="E45" s="335">
        <v>2.5</v>
      </c>
      <c r="F45" s="388">
        <f t="shared" si="2"/>
        <v>0</v>
      </c>
      <c r="G45" s="403"/>
      <c r="H45" s="403"/>
      <c r="I45" s="403"/>
      <c r="J45" s="403"/>
      <c r="K45" s="185"/>
    </row>
    <row r="46" spans="1:12" x14ac:dyDescent="0.25">
      <c r="A46" s="182" t="s">
        <v>737</v>
      </c>
      <c r="B46" s="181">
        <f t="shared" si="1"/>
        <v>13</v>
      </c>
      <c r="C46" s="183" t="s">
        <v>145</v>
      </c>
      <c r="D46" s="186"/>
      <c r="E46" s="335"/>
      <c r="F46" s="388">
        <f t="shared" si="2"/>
        <v>2000</v>
      </c>
      <c r="G46" s="403">
        <v>500</v>
      </c>
      <c r="H46" s="403">
        <v>500</v>
      </c>
      <c r="I46" s="403">
        <v>500</v>
      </c>
      <c r="J46" s="403">
        <v>500</v>
      </c>
      <c r="K46" s="185"/>
    </row>
    <row r="47" spans="1:12" x14ac:dyDescent="0.25">
      <c r="A47" s="187" t="s">
        <v>96</v>
      </c>
      <c r="B47" s="181">
        <f t="shared" si="1"/>
        <v>14</v>
      </c>
      <c r="C47" s="183" t="s">
        <v>146</v>
      </c>
      <c r="D47" s="186"/>
      <c r="E47" s="335">
        <v>2311</v>
      </c>
      <c r="F47" s="388">
        <f t="shared" si="2"/>
        <v>1542.4</v>
      </c>
      <c r="G47" s="403">
        <v>385.6</v>
      </c>
      <c r="H47" s="403">
        <v>385.6</v>
      </c>
      <c r="I47" s="403">
        <v>385.6</v>
      </c>
      <c r="J47" s="403">
        <v>385.6</v>
      </c>
      <c r="K47" s="185"/>
    </row>
    <row r="48" spans="1:12" x14ac:dyDescent="0.25">
      <c r="A48" s="188" t="s">
        <v>147</v>
      </c>
      <c r="B48" s="181">
        <f t="shared" si="1"/>
        <v>15</v>
      </c>
      <c r="C48" s="189" t="s">
        <v>148</v>
      </c>
      <c r="D48" s="209"/>
      <c r="E48" s="383">
        <v>84.9</v>
      </c>
      <c r="F48" s="388">
        <f t="shared" si="2"/>
        <v>100</v>
      </c>
      <c r="G48" s="404">
        <v>25</v>
      </c>
      <c r="H48" s="404">
        <v>25</v>
      </c>
      <c r="I48" s="404">
        <v>25</v>
      </c>
      <c r="J48" s="404">
        <v>25</v>
      </c>
      <c r="K48" s="191"/>
    </row>
    <row r="49" spans="1:11" ht="38.25" x14ac:dyDescent="0.25">
      <c r="A49" s="205" t="s">
        <v>738</v>
      </c>
      <c r="B49" s="181">
        <f t="shared" si="1"/>
        <v>16</v>
      </c>
      <c r="C49" s="192" t="s">
        <v>149</v>
      </c>
      <c r="D49" s="186"/>
      <c r="E49" s="335"/>
      <c r="F49" s="388">
        <f t="shared" si="2"/>
        <v>0</v>
      </c>
      <c r="G49" s="403"/>
      <c r="H49" s="403"/>
      <c r="I49" s="403"/>
      <c r="J49" s="403"/>
      <c r="K49" s="185"/>
    </row>
    <row r="50" spans="1:11" ht="27" x14ac:dyDescent="0.25">
      <c r="A50" s="182" t="s">
        <v>150</v>
      </c>
      <c r="B50" s="193">
        <f t="shared" si="1"/>
        <v>17</v>
      </c>
      <c r="C50" s="183" t="s">
        <v>151</v>
      </c>
      <c r="D50" s="186"/>
      <c r="E50" s="335"/>
      <c r="F50" s="388">
        <f t="shared" si="2"/>
        <v>0</v>
      </c>
      <c r="G50" s="403"/>
      <c r="H50" s="403"/>
      <c r="I50" s="403"/>
      <c r="J50" s="403"/>
      <c r="K50" s="185"/>
    </row>
    <row r="51" spans="1:11" x14ac:dyDescent="0.25">
      <c r="A51" s="184" t="s">
        <v>739</v>
      </c>
      <c r="B51" s="181">
        <v>18</v>
      </c>
      <c r="C51" s="178">
        <v>1070</v>
      </c>
      <c r="D51" s="194"/>
      <c r="E51" s="382"/>
      <c r="F51" s="326">
        <v>70000</v>
      </c>
      <c r="G51" s="194"/>
      <c r="H51" s="194"/>
      <c r="I51" s="194"/>
      <c r="J51" s="194"/>
      <c r="K51" s="179"/>
    </row>
    <row r="52" spans="1:11" ht="15.75" thickBot="1" x14ac:dyDescent="0.3">
      <c r="A52" s="180" t="s">
        <v>740</v>
      </c>
      <c r="B52" s="195">
        <v>19</v>
      </c>
      <c r="C52" s="235">
        <v>1080</v>
      </c>
      <c r="D52" s="196"/>
      <c r="E52" s="384"/>
      <c r="F52" s="333">
        <v>6070</v>
      </c>
      <c r="G52" s="196"/>
      <c r="H52" s="196"/>
      <c r="I52" s="196"/>
      <c r="J52" s="196"/>
      <c r="K52" s="197"/>
    </row>
    <row r="53" spans="1:11" ht="15.75" thickBot="1" x14ac:dyDescent="0.3">
      <c r="A53" s="198" t="s">
        <v>110</v>
      </c>
      <c r="B53" s="199">
        <v>20</v>
      </c>
      <c r="C53" s="167">
        <v>1100</v>
      </c>
      <c r="D53" s="169">
        <f>D54+D69+D107+D96</f>
        <v>16365</v>
      </c>
      <c r="E53" s="169">
        <f>E54+E69+E107+E96</f>
        <v>163563.37000000002</v>
      </c>
      <c r="F53" s="200">
        <f t="shared" si="2"/>
        <v>222551.1</v>
      </c>
      <c r="G53" s="169">
        <f>G54+G69+G107+G96</f>
        <v>56399.700000000004</v>
      </c>
      <c r="H53" s="169">
        <f>H54+H69+H107+H96</f>
        <v>52521.799999999996</v>
      </c>
      <c r="I53" s="169">
        <f>I54+I69+I107+I96</f>
        <v>53335.4</v>
      </c>
      <c r="J53" s="169">
        <f>J54+J69+J107+J96</f>
        <v>60294.200000000004</v>
      </c>
      <c r="K53" s="170"/>
    </row>
    <row r="54" spans="1:11" ht="15.75" thickBot="1" x14ac:dyDescent="0.3">
      <c r="A54" s="375" t="s">
        <v>223</v>
      </c>
      <c r="B54" s="199">
        <f t="shared" si="1"/>
        <v>21</v>
      </c>
      <c r="C54" s="167">
        <v>1110</v>
      </c>
      <c r="D54" s="169"/>
      <c r="E54" s="206">
        <f t="shared" ref="E54:J54" si="5">SUM(E55:E64)</f>
        <v>11813.1</v>
      </c>
      <c r="F54" s="200">
        <f t="shared" si="5"/>
        <v>91.5</v>
      </c>
      <c r="G54" s="170">
        <f t="shared" si="5"/>
        <v>22</v>
      </c>
      <c r="H54" s="169">
        <f t="shared" si="5"/>
        <v>22</v>
      </c>
      <c r="I54" s="169">
        <f t="shared" si="5"/>
        <v>23.7</v>
      </c>
      <c r="J54" s="169">
        <f t="shared" si="5"/>
        <v>23.8</v>
      </c>
      <c r="K54" s="169"/>
    </row>
    <row r="55" spans="1:11" x14ac:dyDescent="0.25">
      <c r="A55" s="180" t="s">
        <v>93</v>
      </c>
      <c r="B55" s="177">
        <f t="shared" si="1"/>
        <v>22</v>
      </c>
      <c r="C55" s="178" t="s">
        <v>113</v>
      </c>
      <c r="D55" s="194">
        <v>36539</v>
      </c>
      <c r="E55" s="385">
        <v>9496.9</v>
      </c>
      <c r="F55" s="343">
        <f t="shared" si="2"/>
        <v>75</v>
      </c>
      <c r="G55" s="382">
        <v>18</v>
      </c>
      <c r="H55" s="382">
        <v>18</v>
      </c>
      <c r="I55" s="382">
        <v>19.5</v>
      </c>
      <c r="J55" s="382">
        <v>19.5</v>
      </c>
      <c r="K55" s="194"/>
    </row>
    <row r="56" spans="1:11" x14ac:dyDescent="0.25">
      <c r="A56" s="184" t="s">
        <v>94</v>
      </c>
      <c r="B56" s="181">
        <f t="shared" si="1"/>
        <v>23</v>
      </c>
      <c r="C56" s="178" t="s">
        <v>114</v>
      </c>
      <c r="D56" s="186">
        <v>7841</v>
      </c>
      <c r="E56" s="386">
        <v>2204.5</v>
      </c>
      <c r="F56" s="334">
        <f>SUM(G56:J56)</f>
        <v>16.5</v>
      </c>
      <c r="G56" s="335">
        <v>4</v>
      </c>
      <c r="H56" s="335">
        <v>4</v>
      </c>
      <c r="I56" s="335">
        <v>4.2</v>
      </c>
      <c r="J56" s="335">
        <v>4.3</v>
      </c>
      <c r="K56" s="186"/>
    </row>
    <row r="57" spans="1:11" x14ac:dyDescent="0.25">
      <c r="A57" s="184" t="s">
        <v>152</v>
      </c>
      <c r="B57" s="181">
        <f t="shared" si="1"/>
        <v>24</v>
      </c>
      <c r="C57" s="178" t="s">
        <v>156</v>
      </c>
      <c r="D57" s="186">
        <v>218</v>
      </c>
      <c r="E57" s="386"/>
      <c r="F57" s="202">
        <f t="shared" si="2"/>
        <v>0</v>
      </c>
      <c r="G57" s="186"/>
      <c r="H57" s="186"/>
      <c r="I57" s="186"/>
      <c r="J57" s="186"/>
      <c r="K57" s="186"/>
    </row>
    <row r="58" spans="1:11" x14ac:dyDescent="0.25">
      <c r="A58" s="184" t="s">
        <v>48</v>
      </c>
      <c r="B58" s="181">
        <f t="shared" si="1"/>
        <v>25</v>
      </c>
      <c r="C58" s="178" t="s">
        <v>157</v>
      </c>
      <c r="D58" s="186">
        <v>1075</v>
      </c>
      <c r="E58" s="386">
        <v>75.7</v>
      </c>
      <c r="F58" s="202">
        <f t="shared" si="2"/>
        <v>0</v>
      </c>
      <c r="G58" s="186"/>
      <c r="H58" s="186"/>
      <c r="I58" s="186"/>
      <c r="J58" s="186"/>
      <c r="K58" s="186"/>
    </row>
    <row r="59" spans="1:11" x14ac:dyDescent="0.25">
      <c r="A59" s="184" t="s">
        <v>49</v>
      </c>
      <c r="B59" s="181">
        <f t="shared" si="1"/>
        <v>26</v>
      </c>
      <c r="C59" s="178" t="s">
        <v>158</v>
      </c>
      <c r="D59" s="325"/>
      <c r="E59" s="387"/>
      <c r="F59" s="202">
        <f t="shared" si="2"/>
        <v>0</v>
      </c>
      <c r="G59" s="186"/>
      <c r="H59" s="186"/>
      <c r="I59" s="186"/>
      <c r="J59" s="186"/>
      <c r="K59" s="186"/>
    </row>
    <row r="60" spans="1:11" x14ac:dyDescent="0.25">
      <c r="A60" s="184" t="s">
        <v>153</v>
      </c>
      <c r="B60" s="181">
        <f t="shared" si="1"/>
        <v>27</v>
      </c>
      <c r="C60" s="178" t="s">
        <v>159</v>
      </c>
      <c r="D60" s="325">
        <v>380</v>
      </c>
      <c r="E60" s="387"/>
      <c r="F60" s="202">
        <f t="shared" si="2"/>
        <v>0</v>
      </c>
      <c r="G60" s="186"/>
      <c r="H60" s="186"/>
      <c r="I60" s="186"/>
      <c r="J60" s="186"/>
      <c r="K60" s="186"/>
    </row>
    <row r="61" spans="1:11" x14ac:dyDescent="0.25">
      <c r="A61" s="184" t="s">
        <v>104</v>
      </c>
      <c r="B61" s="181">
        <f t="shared" si="1"/>
        <v>28</v>
      </c>
      <c r="C61" s="178" t="s">
        <v>160</v>
      </c>
      <c r="D61" s="325">
        <v>8</v>
      </c>
      <c r="E61" s="386"/>
      <c r="F61" s="202">
        <f t="shared" si="2"/>
        <v>0</v>
      </c>
      <c r="G61" s="186"/>
      <c r="H61" s="186"/>
      <c r="I61" s="186"/>
      <c r="J61" s="186"/>
      <c r="K61" s="186"/>
    </row>
    <row r="62" spans="1:11" x14ac:dyDescent="0.25">
      <c r="A62" s="184" t="s">
        <v>105</v>
      </c>
      <c r="B62" s="181">
        <f t="shared" si="1"/>
        <v>29</v>
      </c>
      <c r="C62" s="178" t="s">
        <v>161</v>
      </c>
      <c r="D62" s="325">
        <v>261</v>
      </c>
      <c r="E62" s="386">
        <v>36</v>
      </c>
      <c r="F62" s="202">
        <f t="shared" si="2"/>
        <v>0</v>
      </c>
      <c r="G62" s="186"/>
      <c r="H62" s="186"/>
      <c r="I62" s="186"/>
      <c r="J62" s="186"/>
      <c r="K62" s="186"/>
    </row>
    <row r="63" spans="1:11" x14ac:dyDescent="0.25">
      <c r="A63" s="184" t="s">
        <v>50</v>
      </c>
      <c r="B63" s="181">
        <f t="shared" si="1"/>
        <v>30</v>
      </c>
      <c r="C63" s="178" t="s">
        <v>162</v>
      </c>
      <c r="D63" s="325">
        <v>168</v>
      </c>
      <c r="E63" s="386"/>
      <c r="F63" s="202">
        <f t="shared" si="2"/>
        <v>0</v>
      </c>
      <c r="G63" s="186"/>
      <c r="H63" s="186"/>
      <c r="I63" s="186"/>
      <c r="J63" s="186"/>
      <c r="K63" s="186"/>
    </row>
    <row r="64" spans="1:11" x14ac:dyDescent="0.25">
      <c r="A64" s="184" t="s">
        <v>154</v>
      </c>
      <c r="B64" s="181">
        <f t="shared" si="1"/>
        <v>31</v>
      </c>
      <c r="C64" s="178" t="s">
        <v>163</v>
      </c>
      <c r="D64" s="325">
        <v>6</v>
      </c>
      <c r="E64" s="386"/>
      <c r="F64" s="202">
        <f t="shared" si="2"/>
        <v>0</v>
      </c>
      <c r="G64" s="186"/>
      <c r="H64" s="186"/>
      <c r="I64" s="186"/>
      <c r="J64" s="186"/>
      <c r="K64" s="186"/>
    </row>
    <row r="65" spans="1:11" x14ac:dyDescent="0.25">
      <c r="A65" s="184" t="s">
        <v>741</v>
      </c>
      <c r="B65" s="181">
        <v>32</v>
      </c>
      <c r="C65" s="178" t="s">
        <v>742</v>
      </c>
      <c r="D65" s="325"/>
      <c r="E65" s="386"/>
      <c r="F65" s="202"/>
      <c r="G65" s="186"/>
      <c r="H65" s="186"/>
      <c r="I65" s="186"/>
      <c r="J65" s="186"/>
      <c r="K65" s="186"/>
    </row>
    <row r="66" spans="1:11" x14ac:dyDescent="0.25">
      <c r="A66" s="210" t="s">
        <v>106</v>
      </c>
      <c r="B66" s="181">
        <v>33</v>
      </c>
      <c r="C66" s="203" t="s">
        <v>743</v>
      </c>
      <c r="D66" s="326"/>
      <c r="E66" s="382"/>
      <c r="F66" s="332">
        <f t="shared" ref="F66:F68" si="6">G66+H66+I66+J66</f>
        <v>0</v>
      </c>
      <c r="G66" s="179"/>
      <c r="H66" s="194"/>
      <c r="I66" s="194"/>
      <c r="J66" s="194"/>
      <c r="K66" s="194"/>
    </row>
    <row r="67" spans="1:11" x14ac:dyDescent="0.25">
      <c r="A67" s="205" t="s">
        <v>107</v>
      </c>
      <c r="B67" s="181">
        <v>34</v>
      </c>
      <c r="C67" s="204" t="s">
        <v>744</v>
      </c>
      <c r="D67" s="325"/>
      <c r="E67" s="335"/>
      <c r="F67" s="202">
        <f t="shared" si="6"/>
        <v>0</v>
      </c>
      <c r="G67" s="185"/>
      <c r="H67" s="186"/>
      <c r="I67" s="186"/>
      <c r="J67" s="186"/>
      <c r="K67" s="186"/>
    </row>
    <row r="68" spans="1:11" ht="15.75" thickBot="1" x14ac:dyDescent="0.3">
      <c r="A68" s="205" t="s">
        <v>108</v>
      </c>
      <c r="B68" s="195">
        <v>35</v>
      </c>
      <c r="C68" s="204" t="s">
        <v>745</v>
      </c>
      <c r="D68" s="325"/>
      <c r="E68" s="335"/>
      <c r="F68" s="202">
        <f t="shared" si="6"/>
        <v>0</v>
      </c>
      <c r="G68" s="185"/>
      <c r="H68" s="186"/>
      <c r="I68" s="186"/>
      <c r="J68" s="186"/>
      <c r="K68" s="186"/>
    </row>
    <row r="69" spans="1:11" ht="15.75" thickBot="1" x14ac:dyDescent="0.3">
      <c r="A69" s="198" t="s">
        <v>746</v>
      </c>
      <c r="B69" s="199">
        <v>36</v>
      </c>
      <c r="C69" s="167">
        <v>1120</v>
      </c>
      <c r="D69" s="169"/>
      <c r="E69" s="206">
        <f>SUM(E70:E72,E78:E80,E91:E95)</f>
        <v>116199.87000000001</v>
      </c>
      <c r="F69" s="200">
        <f t="shared" si="2"/>
        <v>194587.00000000003</v>
      </c>
      <c r="G69" s="170">
        <f>SUM(G70:G72,G78:G80,G91:G95)</f>
        <v>46671.700000000004</v>
      </c>
      <c r="H69" s="169">
        <f>SUM(H70:H72,H78:H80,H91:H95)</f>
        <v>47442</v>
      </c>
      <c r="I69" s="169">
        <f>SUM(I70:I72,I78:I80,I91:I95)</f>
        <v>48483.600000000006</v>
      </c>
      <c r="J69" s="169">
        <f>SUM(J70:J71,J72,J78:J80,J91:J95)</f>
        <v>51989.700000000004</v>
      </c>
      <c r="K69" s="169"/>
    </row>
    <row r="70" spans="1:11" x14ac:dyDescent="0.25">
      <c r="A70" s="180" t="s">
        <v>93</v>
      </c>
      <c r="B70" s="177">
        <f t="shared" si="1"/>
        <v>37</v>
      </c>
      <c r="C70" s="178" t="s">
        <v>747</v>
      </c>
      <c r="D70" s="194"/>
      <c r="E70" s="385">
        <v>89291.7</v>
      </c>
      <c r="F70" s="343">
        <f t="shared" si="2"/>
        <v>144093.6</v>
      </c>
      <c r="G70" s="382">
        <v>34484.6</v>
      </c>
      <c r="H70" s="382">
        <v>34642</v>
      </c>
      <c r="I70" s="382">
        <v>36732.300000000003</v>
      </c>
      <c r="J70" s="382">
        <v>38234.699999999997</v>
      </c>
      <c r="K70" s="194"/>
    </row>
    <row r="71" spans="1:11" x14ac:dyDescent="0.25">
      <c r="A71" s="184" t="s">
        <v>94</v>
      </c>
      <c r="B71" s="181">
        <f t="shared" si="1"/>
        <v>38</v>
      </c>
      <c r="C71" s="178" t="s">
        <v>748</v>
      </c>
      <c r="D71" s="186"/>
      <c r="E71" s="386">
        <v>17276.400000000001</v>
      </c>
      <c r="F71" s="334">
        <f t="shared" si="2"/>
        <v>30325.600000000002</v>
      </c>
      <c r="G71" s="335">
        <v>7242.8</v>
      </c>
      <c r="H71" s="335">
        <v>7315.6</v>
      </c>
      <c r="I71" s="335">
        <v>7536.7</v>
      </c>
      <c r="J71" s="335">
        <v>8230.5</v>
      </c>
      <c r="K71" s="186"/>
    </row>
    <row r="72" spans="1:11" x14ac:dyDescent="0.25">
      <c r="A72" s="184" t="s">
        <v>152</v>
      </c>
      <c r="B72" s="181">
        <f t="shared" si="1"/>
        <v>39</v>
      </c>
      <c r="C72" s="178" t="s">
        <v>749</v>
      </c>
      <c r="D72" s="186"/>
      <c r="E72" s="386">
        <f>SUM(E73:E77)</f>
        <v>1958.1</v>
      </c>
      <c r="F72" s="334">
        <f t="shared" si="2"/>
        <v>1604.5</v>
      </c>
      <c r="G72" s="335">
        <v>400.9</v>
      </c>
      <c r="H72" s="335">
        <v>401</v>
      </c>
      <c r="I72" s="335">
        <v>401.3</v>
      </c>
      <c r="J72" s="335">
        <v>401.3</v>
      </c>
      <c r="K72" s="186"/>
    </row>
    <row r="73" spans="1:11" x14ac:dyDescent="0.25">
      <c r="A73" s="205" t="s">
        <v>122</v>
      </c>
      <c r="B73" s="181">
        <f t="shared" si="1"/>
        <v>40</v>
      </c>
      <c r="C73" s="203" t="s">
        <v>750</v>
      </c>
      <c r="D73" s="186"/>
      <c r="E73" s="386">
        <v>17.899999999999999</v>
      </c>
      <c r="F73" s="334">
        <f t="shared" si="2"/>
        <v>384.5</v>
      </c>
      <c r="G73" s="335">
        <v>96.1</v>
      </c>
      <c r="H73" s="335">
        <v>96.2</v>
      </c>
      <c r="I73" s="335">
        <v>96.1</v>
      </c>
      <c r="J73" s="335">
        <v>96.1</v>
      </c>
      <c r="K73" s="186"/>
    </row>
    <row r="74" spans="1:11" x14ac:dyDescent="0.25">
      <c r="A74" s="205" t="s">
        <v>102</v>
      </c>
      <c r="B74" s="181">
        <f t="shared" si="1"/>
        <v>41</v>
      </c>
      <c r="C74" s="203" t="s">
        <v>751</v>
      </c>
      <c r="D74" s="186"/>
      <c r="E74" s="386">
        <v>122.1</v>
      </c>
      <c r="F74" s="334">
        <f t="shared" si="2"/>
        <v>222.8</v>
      </c>
      <c r="G74" s="335">
        <v>55.6</v>
      </c>
      <c r="H74" s="335">
        <v>55.6</v>
      </c>
      <c r="I74" s="335">
        <v>55.8</v>
      </c>
      <c r="J74" s="335">
        <v>55.8</v>
      </c>
      <c r="K74" s="186"/>
    </row>
    <row r="75" spans="1:11" x14ac:dyDescent="0.25">
      <c r="A75" s="205" t="s">
        <v>97</v>
      </c>
      <c r="B75" s="181">
        <f t="shared" si="1"/>
        <v>42</v>
      </c>
      <c r="C75" s="203" t="s">
        <v>752</v>
      </c>
      <c r="D75" s="186"/>
      <c r="E75" s="386">
        <v>65.099999999999994</v>
      </c>
      <c r="F75" s="334">
        <f t="shared" si="2"/>
        <v>100</v>
      </c>
      <c r="G75" s="335">
        <v>25</v>
      </c>
      <c r="H75" s="335">
        <v>25</v>
      </c>
      <c r="I75" s="335">
        <v>25</v>
      </c>
      <c r="J75" s="335">
        <v>25</v>
      </c>
      <c r="K75" s="186"/>
    </row>
    <row r="76" spans="1:11" x14ac:dyDescent="0.25">
      <c r="A76" s="205" t="s">
        <v>119</v>
      </c>
      <c r="B76" s="181">
        <f t="shared" si="1"/>
        <v>43</v>
      </c>
      <c r="C76" s="203" t="s">
        <v>753</v>
      </c>
      <c r="D76" s="186"/>
      <c r="E76" s="386">
        <v>544.9</v>
      </c>
      <c r="F76" s="334">
        <f t="shared" si="2"/>
        <v>897.19999999999993</v>
      </c>
      <c r="G76" s="335">
        <v>224.2</v>
      </c>
      <c r="H76" s="335">
        <v>224.2</v>
      </c>
      <c r="I76" s="335">
        <v>224.4</v>
      </c>
      <c r="J76" s="335">
        <v>224.4</v>
      </c>
      <c r="K76" s="186"/>
    </row>
    <row r="77" spans="1:11" x14ac:dyDescent="0.25">
      <c r="A77" s="205" t="s">
        <v>120</v>
      </c>
      <c r="B77" s="181">
        <f t="shared" si="1"/>
        <v>44</v>
      </c>
      <c r="C77" s="203" t="s">
        <v>754</v>
      </c>
      <c r="D77" s="186"/>
      <c r="E77" s="386">
        <v>1208.0999999999999</v>
      </c>
      <c r="F77" s="334">
        <f t="shared" si="2"/>
        <v>0</v>
      </c>
      <c r="G77" s="335"/>
      <c r="H77" s="335"/>
      <c r="I77" s="335"/>
      <c r="J77" s="335"/>
      <c r="K77" s="186"/>
    </row>
    <row r="78" spans="1:11" x14ac:dyDescent="0.25">
      <c r="A78" s="184" t="s">
        <v>48</v>
      </c>
      <c r="B78" s="181">
        <f t="shared" si="1"/>
        <v>45</v>
      </c>
      <c r="C78" s="178" t="s">
        <v>755</v>
      </c>
      <c r="D78" s="186"/>
      <c r="E78" s="386">
        <v>902.9</v>
      </c>
      <c r="F78" s="334">
        <f t="shared" si="2"/>
        <v>3399.5</v>
      </c>
      <c r="G78" s="335">
        <v>849.9</v>
      </c>
      <c r="H78" s="335">
        <v>849.9</v>
      </c>
      <c r="I78" s="335">
        <v>849.9</v>
      </c>
      <c r="J78" s="335">
        <v>849.8</v>
      </c>
      <c r="K78" s="186"/>
    </row>
    <row r="79" spans="1:11" x14ac:dyDescent="0.25">
      <c r="A79" s="184" t="s">
        <v>49</v>
      </c>
      <c r="B79" s="181">
        <f t="shared" si="1"/>
        <v>46</v>
      </c>
      <c r="C79" s="178" t="s">
        <v>756</v>
      </c>
      <c r="D79" s="325"/>
      <c r="E79" s="387"/>
      <c r="F79" s="334">
        <f t="shared" si="2"/>
        <v>0</v>
      </c>
      <c r="G79" s="335"/>
      <c r="H79" s="335"/>
      <c r="I79" s="335"/>
      <c r="J79" s="335"/>
      <c r="K79" s="186"/>
    </row>
    <row r="80" spans="1:11" x14ac:dyDescent="0.25">
      <c r="A80" s="184" t="s">
        <v>153</v>
      </c>
      <c r="B80" s="181">
        <f t="shared" si="1"/>
        <v>47</v>
      </c>
      <c r="C80" s="178" t="s">
        <v>757</v>
      </c>
      <c r="D80" s="325"/>
      <c r="E80" s="387">
        <f>SUM(E81:E90)</f>
        <v>356.57000000000005</v>
      </c>
      <c r="F80" s="334">
        <f t="shared" si="2"/>
        <v>3308.7999999999997</v>
      </c>
      <c r="G80" s="335">
        <f>SUM(G81:G90)</f>
        <v>792.3</v>
      </c>
      <c r="H80" s="335">
        <f>SUM(H81:H90)</f>
        <v>782.3</v>
      </c>
      <c r="I80" s="335">
        <f>SUM(I81:I90)</f>
        <v>812.1</v>
      </c>
      <c r="J80" s="335">
        <f>SUM(J81:J90)</f>
        <v>922.1</v>
      </c>
      <c r="K80" s="186"/>
    </row>
    <row r="81" spans="1:11" x14ac:dyDescent="0.25">
      <c r="A81" s="205" t="s">
        <v>123</v>
      </c>
      <c r="B81" s="181">
        <f t="shared" si="1"/>
        <v>48</v>
      </c>
      <c r="C81" s="203" t="s">
        <v>758</v>
      </c>
      <c r="D81" s="325"/>
      <c r="E81" s="387">
        <v>5</v>
      </c>
      <c r="F81" s="334">
        <f t="shared" si="2"/>
        <v>100</v>
      </c>
      <c r="G81" s="335">
        <v>25</v>
      </c>
      <c r="H81" s="335">
        <v>25</v>
      </c>
      <c r="I81" s="335">
        <v>25</v>
      </c>
      <c r="J81" s="335">
        <v>25</v>
      </c>
      <c r="K81" s="186"/>
    </row>
    <row r="82" spans="1:11" x14ac:dyDescent="0.25">
      <c r="A82" s="205" t="s">
        <v>125</v>
      </c>
      <c r="B82" s="181">
        <f t="shared" si="1"/>
        <v>49</v>
      </c>
      <c r="C82" s="203" t="s">
        <v>759</v>
      </c>
      <c r="D82" s="325"/>
      <c r="E82" s="387"/>
      <c r="F82" s="334">
        <f t="shared" si="2"/>
        <v>150</v>
      </c>
      <c r="G82" s="335">
        <v>37.5</v>
      </c>
      <c r="H82" s="335">
        <v>37.5</v>
      </c>
      <c r="I82" s="335">
        <v>37.5</v>
      </c>
      <c r="J82" s="335">
        <v>37.5</v>
      </c>
      <c r="K82" s="186"/>
    </row>
    <row r="83" spans="1:11" x14ac:dyDescent="0.25">
      <c r="A83" s="205" t="s">
        <v>124</v>
      </c>
      <c r="B83" s="181">
        <f t="shared" si="1"/>
        <v>50</v>
      </c>
      <c r="C83" s="203" t="s">
        <v>760</v>
      </c>
      <c r="D83" s="325"/>
      <c r="E83" s="387">
        <v>35</v>
      </c>
      <c r="F83" s="334">
        <f t="shared" si="2"/>
        <v>200</v>
      </c>
      <c r="G83" s="335">
        <v>50</v>
      </c>
      <c r="H83" s="335">
        <v>50</v>
      </c>
      <c r="I83" s="335">
        <v>50</v>
      </c>
      <c r="J83" s="335">
        <v>50</v>
      </c>
      <c r="K83" s="186"/>
    </row>
    <row r="84" spans="1:11" x14ac:dyDescent="0.25">
      <c r="A84" s="205" t="s">
        <v>98</v>
      </c>
      <c r="B84" s="181">
        <f t="shared" si="1"/>
        <v>51</v>
      </c>
      <c r="C84" s="203" t="s">
        <v>761</v>
      </c>
      <c r="D84" s="325"/>
      <c r="E84" s="387">
        <v>110</v>
      </c>
      <c r="F84" s="334">
        <f t="shared" si="2"/>
        <v>2140</v>
      </c>
      <c r="G84" s="335">
        <v>500</v>
      </c>
      <c r="H84" s="335">
        <v>490</v>
      </c>
      <c r="I84" s="335">
        <v>520</v>
      </c>
      <c r="J84" s="335">
        <v>630</v>
      </c>
      <c r="K84" s="186"/>
    </row>
    <row r="85" spans="1:11" x14ac:dyDescent="0.25">
      <c r="A85" s="205" t="s">
        <v>99</v>
      </c>
      <c r="B85" s="181">
        <f t="shared" si="1"/>
        <v>52</v>
      </c>
      <c r="C85" s="203" t="s">
        <v>762</v>
      </c>
      <c r="D85" s="325"/>
      <c r="E85" s="387">
        <v>4.3</v>
      </c>
      <c r="F85" s="334">
        <f t="shared" si="2"/>
        <v>23.799999999999997</v>
      </c>
      <c r="G85" s="335">
        <v>6</v>
      </c>
      <c r="H85" s="335">
        <v>6</v>
      </c>
      <c r="I85" s="335">
        <v>5.9</v>
      </c>
      <c r="J85" s="335">
        <v>5.9</v>
      </c>
      <c r="K85" s="186"/>
    </row>
    <row r="86" spans="1:11" x14ac:dyDescent="0.25">
      <c r="A86" s="205" t="s">
        <v>111</v>
      </c>
      <c r="B86" s="376">
        <f t="shared" si="1"/>
        <v>53</v>
      </c>
      <c r="C86" s="377" t="s">
        <v>763</v>
      </c>
      <c r="D86" s="325"/>
      <c r="E86" s="387">
        <v>72.400000000000006</v>
      </c>
      <c r="F86" s="334">
        <f t="shared" si="2"/>
        <v>305</v>
      </c>
      <c r="G86" s="335">
        <v>76.3</v>
      </c>
      <c r="H86" s="335">
        <v>76.3</v>
      </c>
      <c r="I86" s="335">
        <v>76.2</v>
      </c>
      <c r="J86" s="335">
        <v>76.2</v>
      </c>
      <c r="K86" s="186"/>
    </row>
    <row r="87" spans="1:11" x14ac:dyDescent="0.25">
      <c r="A87" s="205" t="s">
        <v>100</v>
      </c>
      <c r="B87" s="181">
        <f t="shared" si="1"/>
        <v>54</v>
      </c>
      <c r="C87" s="181" t="s">
        <v>764</v>
      </c>
      <c r="D87" s="325"/>
      <c r="E87" s="387">
        <v>4</v>
      </c>
      <c r="F87" s="334">
        <f t="shared" si="2"/>
        <v>50</v>
      </c>
      <c r="G87" s="335">
        <v>12.5</v>
      </c>
      <c r="H87" s="335">
        <v>12.5</v>
      </c>
      <c r="I87" s="335">
        <v>12.5</v>
      </c>
      <c r="J87" s="335">
        <v>12.5</v>
      </c>
      <c r="K87" s="186"/>
    </row>
    <row r="88" spans="1:11" x14ac:dyDescent="0.25">
      <c r="A88" s="205" t="s">
        <v>101</v>
      </c>
      <c r="B88" s="181">
        <f t="shared" si="1"/>
        <v>55</v>
      </c>
      <c r="C88" s="203" t="s">
        <v>765</v>
      </c>
      <c r="D88" s="325"/>
      <c r="E88" s="387">
        <v>9</v>
      </c>
      <c r="F88" s="334">
        <f t="shared" si="2"/>
        <v>5</v>
      </c>
      <c r="G88" s="335">
        <v>1.2</v>
      </c>
      <c r="H88" s="335">
        <v>1.2</v>
      </c>
      <c r="I88" s="335">
        <v>1.3</v>
      </c>
      <c r="J88" s="335">
        <v>1.3</v>
      </c>
      <c r="K88" s="186"/>
    </row>
    <row r="89" spans="1:11" x14ac:dyDescent="0.25">
      <c r="A89" s="205" t="s">
        <v>103</v>
      </c>
      <c r="B89" s="181">
        <f t="shared" si="1"/>
        <v>56</v>
      </c>
      <c r="C89" s="203" t="s">
        <v>766</v>
      </c>
      <c r="D89" s="325"/>
      <c r="E89" s="387">
        <v>27.5</v>
      </c>
      <c r="F89" s="334">
        <f t="shared" si="2"/>
        <v>140</v>
      </c>
      <c r="G89" s="335">
        <v>35</v>
      </c>
      <c r="H89" s="335">
        <v>35</v>
      </c>
      <c r="I89" s="335">
        <v>35</v>
      </c>
      <c r="J89" s="335">
        <v>35</v>
      </c>
      <c r="K89" s="186"/>
    </row>
    <row r="90" spans="1:11" x14ac:dyDescent="0.25">
      <c r="A90" s="205" t="s">
        <v>120</v>
      </c>
      <c r="B90" s="181">
        <f t="shared" si="1"/>
        <v>57</v>
      </c>
      <c r="C90" s="203" t="s">
        <v>767</v>
      </c>
      <c r="D90" s="325"/>
      <c r="E90" s="387">
        <v>89.37</v>
      </c>
      <c r="F90" s="334">
        <f t="shared" si="2"/>
        <v>195</v>
      </c>
      <c r="G90" s="335">
        <v>48.8</v>
      </c>
      <c r="H90" s="335">
        <v>48.8</v>
      </c>
      <c r="I90" s="335">
        <v>48.7</v>
      </c>
      <c r="J90" s="335">
        <v>48.7</v>
      </c>
      <c r="K90" s="186"/>
    </row>
    <row r="91" spans="1:11" x14ac:dyDescent="0.25">
      <c r="A91" s="184" t="s">
        <v>104</v>
      </c>
      <c r="B91" s="181">
        <f t="shared" si="1"/>
        <v>58</v>
      </c>
      <c r="C91" s="178" t="s">
        <v>768</v>
      </c>
      <c r="D91" s="325"/>
      <c r="E91" s="386">
        <v>2.5</v>
      </c>
      <c r="F91" s="334">
        <f t="shared" si="2"/>
        <v>5</v>
      </c>
      <c r="G91" s="335">
        <v>1.2</v>
      </c>
      <c r="H91" s="335">
        <v>1.2</v>
      </c>
      <c r="I91" s="335">
        <v>1.3</v>
      </c>
      <c r="J91" s="335">
        <v>1.3</v>
      </c>
      <c r="K91" s="186"/>
    </row>
    <row r="92" spans="1:11" x14ac:dyDescent="0.25">
      <c r="A92" s="184" t="s">
        <v>105</v>
      </c>
      <c r="B92" s="181">
        <f t="shared" si="1"/>
        <v>59</v>
      </c>
      <c r="C92" s="178" t="s">
        <v>769</v>
      </c>
      <c r="D92" s="325"/>
      <c r="E92" s="386"/>
      <c r="F92" s="334">
        <f t="shared" si="2"/>
        <v>0</v>
      </c>
      <c r="G92" s="335"/>
      <c r="H92" s="335"/>
      <c r="I92" s="335"/>
      <c r="J92" s="335"/>
      <c r="K92" s="186"/>
    </row>
    <row r="93" spans="1:11" x14ac:dyDescent="0.25">
      <c r="A93" s="184" t="s">
        <v>50</v>
      </c>
      <c r="B93" s="181">
        <f t="shared" si="1"/>
        <v>60</v>
      </c>
      <c r="C93" s="178" t="s">
        <v>770</v>
      </c>
      <c r="D93" s="325"/>
      <c r="E93" s="386"/>
      <c r="F93" s="334">
        <f t="shared" si="2"/>
        <v>0</v>
      </c>
      <c r="G93" s="335"/>
      <c r="H93" s="335"/>
      <c r="I93" s="335"/>
      <c r="J93" s="335"/>
      <c r="K93" s="186"/>
    </row>
    <row r="94" spans="1:11" x14ac:dyDescent="0.25">
      <c r="A94" s="184" t="s">
        <v>154</v>
      </c>
      <c r="B94" s="181">
        <f t="shared" si="1"/>
        <v>61</v>
      </c>
      <c r="C94" s="178" t="s">
        <v>771</v>
      </c>
      <c r="D94" s="325"/>
      <c r="E94" s="386">
        <v>5</v>
      </c>
      <c r="F94" s="334">
        <f t="shared" si="2"/>
        <v>0</v>
      </c>
      <c r="G94" s="335"/>
      <c r="H94" s="335"/>
      <c r="I94" s="335"/>
      <c r="J94" s="335"/>
      <c r="K94" s="186"/>
    </row>
    <row r="95" spans="1:11" ht="15.75" thickBot="1" x14ac:dyDescent="0.3">
      <c r="A95" s="184" t="s">
        <v>155</v>
      </c>
      <c r="B95" s="181">
        <f t="shared" si="1"/>
        <v>62</v>
      </c>
      <c r="C95" s="178" t="s">
        <v>772</v>
      </c>
      <c r="D95" s="325"/>
      <c r="E95" s="386">
        <v>6406.7</v>
      </c>
      <c r="F95" s="334">
        <f>G95+H95+I95+J95</f>
        <v>11850</v>
      </c>
      <c r="G95" s="335">
        <v>2900</v>
      </c>
      <c r="H95" s="335">
        <v>3450</v>
      </c>
      <c r="I95" s="335">
        <v>2150</v>
      </c>
      <c r="J95" s="335">
        <v>3350</v>
      </c>
      <c r="K95" s="186"/>
    </row>
    <row r="96" spans="1:11" ht="15.75" thickBot="1" x14ac:dyDescent="0.3">
      <c r="A96" s="198" t="s">
        <v>109</v>
      </c>
      <c r="B96" s="199">
        <f>B95+1</f>
        <v>63</v>
      </c>
      <c r="C96" s="167">
        <v>1130</v>
      </c>
      <c r="D96" s="169"/>
      <c r="E96" s="206">
        <f>SUM(E97:E106)</f>
        <v>4791</v>
      </c>
      <c r="F96" s="200">
        <f t="shared" si="2"/>
        <v>1542.4</v>
      </c>
      <c r="G96" s="170">
        <f>SUM(G97:G106)</f>
        <v>385.6</v>
      </c>
      <c r="H96" s="169">
        <f>SUM(H97:H106)</f>
        <v>385.6</v>
      </c>
      <c r="I96" s="169">
        <f>SUM(I97:I106)</f>
        <v>385.6</v>
      </c>
      <c r="J96" s="169">
        <f>SUM(J97:J106)</f>
        <v>385.6</v>
      </c>
      <c r="K96" s="169"/>
    </row>
    <row r="97" spans="1:11" x14ac:dyDescent="0.25">
      <c r="A97" s="180" t="s">
        <v>93</v>
      </c>
      <c r="B97" s="177">
        <f t="shared" si="1"/>
        <v>64</v>
      </c>
      <c r="C97" s="178" t="s">
        <v>166</v>
      </c>
      <c r="D97" s="194"/>
      <c r="E97" s="385">
        <v>1202.5999999999999</v>
      </c>
      <c r="F97" s="343">
        <f t="shared" si="2"/>
        <v>496.1</v>
      </c>
      <c r="G97" s="382">
        <v>120.5</v>
      </c>
      <c r="H97" s="382">
        <v>127.7</v>
      </c>
      <c r="I97" s="382">
        <v>125.5</v>
      </c>
      <c r="J97" s="382">
        <v>122.4</v>
      </c>
      <c r="K97" s="194"/>
    </row>
    <row r="98" spans="1:11" x14ac:dyDescent="0.25">
      <c r="A98" s="184" t="s">
        <v>94</v>
      </c>
      <c r="B98" s="181">
        <f t="shared" si="1"/>
        <v>65</v>
      </c>
      <c r="C98" s="178" t="s">
        <v>167</v>
      </c>
      <c r="D98" s="186"/>
      <c r="E98" s="386">
        <v>521</v>
      </c>
      <c r="F98" s="334">
        <f t="shared" si="2"/>
        <v>109.1</v>
      </c>
      <c r="G98" s="335">
        <v>26.5</v>
      </c>
      <c r="H98" s="335">
        <v>28.1</v>
      </c>
      <c r="I98" s="335">
        <v>27.6</v>
      </c>
      <c r="J98" s="335">
        <v>26.9</v>
      </c>
      <c r="K98" s="186"/>
    </row>
    <row r="99" spans="1:11" x14ac:dyDescent="0.25">
      <c r="A99" s="184" t="s">
        <v>152</v>
      </c>
      <c r="B99" s="181">
        <f t="shared" si="1"/>
        <v>66</v>
      </c>
      <c r="C99" s="178" t="s">
        <v>168</v>
      </c>
      <c r="D99" s="186"/>
      <c r="E99" s="386">
        <v>792.7</v>
      </c>
      <c r="F99" s="334">
        <f t="shared" si="2"/>
        <v>43.1</v>
      </c>
      <c r="G99" s="335">
        <v>10</v>
      </c>
      <c r="H99" s="335">
        <v>12</v>
      </c>
      <c r="I99" s="335">
        <v>9.8000000000000007</v>
      </c>
      <c r="J99" s="335">
        <v>11.3</v>
      </c>
      <c r="K99" s="186"/>
    </row>
    <row r="100" spans="1:11" x14ac:dyDescent="0.25">
      <c r="A100" s="184" t="s">
        <v>48</v>
      </c>
      <c r="B100" s="181">
        <f t="shared" ref="B100:B106" si="7">B99+1</f>
        <v>67</v>
      </c>
      <c r="C100" s="178" t="s">
        <v>169</v>
      </c>
      <c r="D100" s="186"/>
      <c r="E100" s="386">
        <v>775.4</v>
      </c>
      <c r="F100" s="334">
        <f t="shared" si="2"/>
        <v>56.1</v>
      </c>
      <c r="G100" s="335">
        <v>15.5</v>
      </c>
      <c r="H100" s="335">
        <v>13</v>
      </c>
      <c r="I100" s="335">
        <v>12.2</v>
      </c>
      <c r="J100" s="335">
        <v>15.4</v>
      </c>
      <c r="K100" s="186"/>
    </row>
    <row r="101" spans="1:11" x14ac:dyDescent="0.25">
      <c r="A101" s="184" t="s">
        <v>49</v>
      </c>
      <c r="B101" s="181">
        <f t="shared" si="7"/>
        <v>68</v>
      </c>
      <c r="C101" s="178" t="s">
        <v>170</v>
      </c>
      <c r="D101" s="325"/>
      <c r="E101" s="387"/>
      <c r="F101" s="334">
        <f t="shared" si="2"/>
        <v>0</v>
      </c>
      <c r="G101" s="335"/>
      <c r="H101" s="335"/>
      <c r="I101" s="335"/>
      <c r="J101" s="335"/>
      <c r="K101" s="186"/>
    </row>
    <row r="102" spans="1:11" x14ac:dyDescent="0.25">
      <c r="A102" s="184" t="s">
        <v>153</v>
      </c>
      <c r="B102" s="181">
        <f t="shared" si="7"/>
        <v>69</v>
      </c>
      <c r="C102" s="178" t="s">
        <v>171</v>
      </c>
      <c r="D102" s="325"/>
      <c r="E102" s="387">
        <v>1193.3</v>
      </c>
      <c r="F102" s="334">
        <f t="shared" si="2"/>
        <v>508.2</v>
      </c>
      <c r="G102" s="335">
        <v>127.7</v>
      </c>
      <c r="H102" s="335">
        <v>120.5</v>
      </c>
      <c r="I102" s="335">
        <v>132</v>
      </c>
      <c r="J102" s="335">
        <v>128</v>
      </c>
      <c r="K102" s="186"/>
    </row>
    <row r="103" spans="1:11" x14ac:dyDescent="0.25">
      <c r="A103" s="184" t="s">
        <v>104</v>
      </c>
      <c r="B103" s="181">
        <f t="shared" si="7"/>
        <v>70</v>
      </c>
      <c r="C103" s="178" t="s">
        <v>172</v>
      </c>
      <c r="D103" s="325"/>
      <c r="E103" s="386"/>
      <c r="F103" s="334">
        <f t="shared" si="2"/>
        <v>0</v>
      </c>
      <c r="G103" s="335"/>
      <c r="H103" s="335"/>
      <c r="I103" s="335"/>
      <c r="J103" s="335"/>
      <c r="K103" s="186"/>
    </row>
    <row r="104" spans="1:11" x14ac:dyDescent="0.25">
      <c r="A104" s="184" t="s">
        <v>105</v>
      </c>
      <c r="B104" s="181">
        <f t="shared" si="7"/>
        <v>71</v>
      </c>
      <c r="C104" s="178" t="s">
        <v>173</v>
      </c>
      <c r="D104" s="325"/>
      <c r="E104" s="386">
        <v>165.4</v>
      </c>
      <c r="F104" s="334">
        <f t="shared" si="2"/>
        <v>207.2</v>
      </c>
      <c r="G104" s="335">
        <v>51.8</v>
      </c>
      <c r="H104" s="335">
        <v>51.8</v>
      </c>
      <c r="I104" s="335">
        <v>51.8</v>
      </c>
      <c r="J104" s="335">
        <v>51.8</v>
      </c>
      <c r="K104" s="186"/>
    </row>
    <row r="105" spans="1:11" x14ac:dyDescent="0.25">
      <c r="A105" s="184" t="s">
        <v>50</v>
      </c>
      <c r="B105" s="181">
        <f t="shared" si="7"/>
        <v>72</v>
      </c>
      <c r="C105" s="178" t="s">
        <v>174</v>
      </c>
      <c r="D105" s="325"/>
      <c r="E105" s="386"/>
      <c r="F105" s="334">
        <f t="shared" si="2"/>
        <v>0</v>
      </c>
      <c r="G105" s="335"/>
      <c r="H105" s="335"/>
      <c r="I105" s="335"/>
      <c r="J105" s="335"/>
      <c r="K105" s="186"/>
    </row>
    <row r="106" spans="1:11" ht="15.75" thickBot="1" x14ac:dyDescent="0.3">
      <c r="A106" s="184" t="s">
        <v>154</v>
      </c>
      <c r="B106" s="195">
        <f t="shared" si="7"/>
        <v>73</v>
      </c>
      <c r="C106" s="178" t="s">
        <v>175</v>
      </c>
      <c r="D106" s="325"/>
      <c r="E106" s="386">
        <v>140.6</v>
      </c>
      <c r="F106" s="334">
        <f t="shared" si="2"/>
        <v>122.6</v>
      </c>
      <c r="G106" s="335">
        <v>33.6</v>
      </c>
      <c r="H106" s="335">
        <v>32.5</v>
      </c>
      <c r="I106" s="335">
        <v>26.7</v>
      </c>
      <c r="J106" s="335">
        <v>29.8</v>
      </c>
      <c r="K106" s="186"/>
    </row>
    <row r="107" spans="1:11" ht="15.75" thickBot="1" x14ac:dyDescent="0.3">
      <c r="A107" s="198" t="s">
        <v>164</v>
      </c>
      <c r="B107" s="199">
        <f>B106+1</f>
        <v>74</v>
      </c>
      <c r="C107" s="167">
        <v>1140</v>
      </c>
      <c r="D107" s="206">
        <f>D108+D119+D125</f>
        <v>16365</v>
      </c>
      <c r="E107" s="206">
        <f>SUM(E108,E119,E125)</f>
        <v>30759.399999999998</v>
      </c>
      <c r="F107" s="200">
        <f t="shared" si="2"/>
        <v>26330.199999999997</v>
      </c>
      <c r="G107" s="206">
        <f t="shared" ref="G107:J107" si="8">G108+G119+G125</f>
        <v>9320.4</v>
      </c>
      <c r="H107" s="206">
        <f t="shared" si="8"/>
        <v>4672.2</v>
      </c>
      <c r="I107" s="206">
        <f t="shared" si="8"/>
        <v>4442.5</v>
      </c>
      <c r="J107" s="206">
        <f t="shared" si="8"/>
        <v>7895.1</v>
      </c>
      <c r="K107" s="206"/>
    </row>
    <row r="108" spans="1:11" ht="15.75" thickBot="1" x14ac:dyDescent="0.3">
      <c r="A108" s="198" t="s">
        <v>165</v>
      </c>
      <c r="B108" s="199">
        <f>B107+1</f>
        <v>75</v>
      </c>
      <c r="C108" s="167">
        <v>1150</v>
      </c>
      <c r="D108" s="206">
        <f>SUM(D109:D118)</f>
        <v>7863</v>
      </c>
      <c r="E108" s="206">
        <v>20748</v>
      </c>
      <c r="F108" s="200">
        <f>SUM(G108:J108)</f>
        <v>13991.300000000001</v>
      </c>
      <c r="G108" s="206">
        <f>SUM(G109:G118)</f>
        <v>3978.8</v>
      </c>
      <c r="H108" s="206">
        <f>SUM(H109:H118)</f>
        <v>3478.8</v>
      </c>
      <c r="I108" s="206">
        <f>SUM(I109:I118)</f>
        <v>3516.8</v>
      </c>
      <c r="J108" s="206">
        <f>SUM(J109:J118)</f>
        <v>3016.9</v>
      </c>
      <c r="K108" s="206"/>
    </row>
    <row r="109" spans="1:11" x14ac:dyDescent="0.25">
      <c r="A109" s="180" t="s">
        <v>93</v>
      </c>
      <c r="B109" s="177">
        <f>B108+1</f>
        <v>76</v>
      </c>
      <c r="C109" s="178" t="s">
        <v>115</v>
      </c>
      <c r="D109" s="326">
        <v>2911</v>
      </c>
      <c r="E109" s="388">
        <v>6144.7</v>
      </c>
      <c r="F109" s="405">
        <f t="shared" si="2"/>
        <v>1515</v>
      </c>
      <c r="G109" s="382">
        <v>363.6</v>
      </c>
      <c r="H109" s="382">
        <v>363.6</v>
      </c>
      <c r="I109" s="382">
        <v>393.9</v>
      </c>
      <c r="J109" s="382">
        <v>393.9</v>
      </c>
      <c r="K109" s="194"/>
    </row>
    <row r="110" spans="1:11" x14ac:dyDescent="0.25">
      <c r="A110" s="184" t="s">
        <v>94</v>
      </c>
      <c r="B110" s="181">
        <f t="shared" ref="B110:B173" si="9">B109+1</f>
        <v>77</v>
      </c>
      <c r="C110" s="178" t="s">
        <v>178</v>
      </c>
      <c r="D110" s="325">
        <v>1102</v>
      </c>
      <c r="E110" s="389">
        <v>6940.3</v>
      </c>
      <c r="F110" s="334">
        <f t="shared" si="2"/>
        <v>333.3</v>
      </c>
      <c r="G110" s="335">
        <v>80</v>
      </c>
      <c r="H110" s="335">
        <v>80</v>
      </c>
      <c r="I110" s="335">
        <v>86.6</v>
      </c>
      <c r="J110" s="335">
        <v>86.7</v>
      </c>
      <c r="K110" s="186"/>
    </row>
    <row r="111" spans="1:11" x14ac:dyDescent="0.25">
      <c r="A111" s="184" t="s">
        <v>152</v>
      </c>
      <c r="B111" s="181">
        <f t="shared" si="9"/>
        <v>78</v>
      </c>
      <c r="C111" s="178" t="s">
        <v>179</v>
      </c>
      <c r="D111" s="325"/>
      <c r="E111" s="389">
        <v>250.8</v>
      </c>
      <c r="F111" s="334">
        <f t="shared" si="2"/>
        <v>43</v>
      </c>
      <c r="G111" s="335">
        <v>10.7</v>
      </c>
      <c r="H111" s="335">
        <v>10.7</v>
      </c>
      <c r="I111" s="335">
        <v>10.8</v>
      </c>
      <c r="J111" s="335">
        <v>10.8</v>
      </c>
      <c r="K111" s="186"/>
    </row>
    <row r="112" spans="1:11" x14ac:dyDescent="0.25">
      <c r="A112" s="184" t="s">
        <v>48</v>
      </c>
      <c r="B112" s="181">
        <f t="shared" si="9"/>
        <v>79</v>
      </c>
      <c r="C112" s="178" t="s">
        <v>773</v>
      </c>
      <c r="D112" s="325">
        <v>50</v>
      </c>
      <c r="E112" s="389">
        <v>2018.2</v>
      </c>
      <c r="F112" s="334">
        <f t="shared" si="2"/>
        <v>1450</v>
      </c>
      <c r="G112" s="335">
        <v>362</v>
      </c>
      <c r="H112" s="335">
        <v>362</v>
      </c>
      <c r="I112" s="335">
        <v>363</v>
      </c>
      <c r="J112" s="335">
        <v>363</v>
      </c>
      <c r="K112" s="186"/>
    </row>
    <row r="113" spans="1:11" x14ac:dyDescent="0.25">
      <c r="A113" s="184" t="s">
        <v>49</v>
      </c>
      <c r="B113" s="181">
        <f t="shared" si="9"/>
        <v>80</v>
      </c>
      <c r="C113" s="178" t="s">
        <v>774</v>
      </c>
      <c r="D113" s="325"/>
      <c r="E113" s="389"/>
      <c r="F113" s="334">
        <f t="shared" si="2"/>
        <v>0</v>
      </c>
      <c r="G113" s="335"/>
      <c r="H113" s="335"/>
      <c r="I113" s="335"/>
      <c r="J113" s="335"/>
      <c r="K113" s="186"/>
    </row>
    <row r="114" spans="1:11" x14ac:dyDescent="0.25">
      <c r="A114" s="184" t="s">
        <v>153</v>
      </c>
      <c r="B114" s="181">
        <f t="shared" si="9"/>
        <v>81</v>
      </c>
      <c r="C114" s="178" t="s">
        <v>775</v>
      </c>
      <c r="D114" s="325">
        <v>300</v>
      </c>
      <c r="E114" s="389">
        <v>212.9</v>
      </c>
      <c r="F114" s="334">
        <f t="shared" si="2"/>
        <v>650</v>
      </c>
      <c r="G114" s="335">
        <v>162.5</v>
      </c>
      <c r="H114" s="335">
        <v>162.5</v>
      </c>
      <c r="I114" s="335">
        <v>162.5</v>
      </c>
      <c r="J114" s="335">
        <v>162.5</v>
      </c>
      <c r="K114" s="186"/>
    </row>
    <row r="115" spans="1:11" x14ac:dyDescent="0.25">
      <c r="A115" s="184" t="s">
        <v>104</v>
      </c>
      <c r="B115" s="181">
        <f t="shared" si="9"/>
        <v>82</v>
      </c>
      <c r="C115" s="178" t="s">
        <v>776</v>
      </c>
      <c r="D115" s="325"/>
      <c r="E115" s="389"/>
      <c r="F115" s="334">
        <f t="shared" ref="F115:F174" si="10">G115+H115+I115+J115</f>
        <v>0</v>
      </c>
      <c r="G115" s="335"/>
      <c r="H115" s="335"/>
      <c r="I115" s="335"/>
      <c r="J115" s="335"/>
      <c r="K115" s="186"/>
    </row>
    <row r="116" spans="1:11" x14ac:dyDescent="0.25">
      <c r="A116" s="184" t="s">
        <v>105</v>
      </c>
      <c r="B116" s="181">
        <f t="shared" si="9"/>
        <v>83</v>
      </c>
      <c r="C116" s="178" t="s">
        <v>777</v>
      </c>
      <c r="D116" s="325"/>
      <c r="E116" s="386">
        <v>5181</v>
      </c>
      <c r="F116" s="334">
        <f t="shared" si="10"/>
        <v>0</v>
      </c>
      <c r="G116" s="335"/>
      <c r="H116" s="335"/>
      <c r="I116" s="335"/>
      <c r="J116" s="335"/>
      <c r="K116" s="186"/>
    </row>
    <row r="117" spans="1:11" x14ac:dyDescent="0.25">
      <c r="A117" s="184" t="s">
        <v>50</v>
      </c>
      <c r="B117" s="181">
        <f t="shared" si="9"/>
        <v>84</v>
      </c>
      <c r="C117" s="178" t="s">
        <v>778</v>
      </c>
      <c r="D117" s="325">
        <v>3500</v>
      </c>
      <c r="E117" s="386"/>
      <c r="F117" s="334">
        <f t="shared" si="10"/>
        <v>10000</v>
      </c>
      <c r="G117" s="335">
        <v>3000</v>
      </c>
      <c r="H117" s="335">
        <v>2500</v>
      </c>
      <c r="I117" s="335">
        <v>2500</v>
      </c>
      <c r="J117" s="335">
        <v>2000</v>
      </c>
      <c r="K117" s="186"/>
    </row>
    <row r="118" spans="1:11" ht="15.75" thickBot="1" x14ac:dyDescent="0.3">
      <c r="A118" s="207" t="s">
        <v>154</v>
      </c>
      <c r="B118" s="193">
        <f t="shared" si="9"/>
        <v>85</v>
      </c>
      <c r="C118" s="208" t="s">
        <v>779</v>
      </c>
      <c r="D118" s="327"/>
      <c r="E118" s="383"/>
      <c r="F118" s="406">
        <f t="shared" si="10"/>
        <v>0</v>
      </c>
      <c r="G118" s="404"/>
      <c r="H118" s="383"/>
      <c r="I118" s="383"/>
      <c r="J118" s="383"/>
      <c r="K118" s="209"/>
    </row>
    <row r="119" spans="1:11" ht="15.75" thickBot="1" x14ac:dyDescent="0.3">
      <c r="A119" s="198" t="s">
        <v>780</v>
      </c>
      <c r="B119" s="199">
        <f t="shared" si="9"/>
        <v>86</v>
      </c>
      <c r="C119" s="167">
        <v>1160</v>
      </c>
      <c r="D119" s="206">
        <f>D120+D121+D122+D123+D124</f>
        <v>5497</v>
      </c>
      <c r="E119" s="206">
        <f>E120+E121+E122+E123+E124</f>
        <v>8771.7999999999993</v>
      </c>
      <c r="F119" s="200">
        <f t="shared" si="10"/>
        <v>12338.9</v>
      </c>
      <c r="G119" s="206">
        <f t="shared" ref="G119:J119" si="11">G120+G121+G122+G123+G124</f>
        <v>5341.5999999999995</v>
      </c>
      <c r="H119" s="206">
        <f t="shared" si="11"/>
        <v>1193.3999999999999</v>
      </c>
      <c r="I119" s="206">
        <f t="shared" si="11"/>
        <v>925.69999999999993</v>
      </c>
      <c r="J119" s="206">
        <f t="shared" si="11"/>
        <v>4878.2000000000007</v>
      </c>
      <c r="K119" s="206"/>
    </row>
    <row r="120" spans="1:11" x14ac:dyDescent="0.25">
      <c r="A120" s="210" t="s">
        <v>126</v>
      </c>
      <c r="B120" s="211">
        <f t="shared" si="9"/>
        <v>87</v>
      </c>
      <c r="C120" s="203" t="s">
        <v>781</v>
      </c>
      <c r="D120" s="328">
        <v>3317</v>
      </c>
      <c r="E120" s="390">
        <v>6255</v>
      </c>
      <c r="F120" s="405">
        <f t="shared" si="10"/>
        <v>8869.1</v>
      </c>
      <c r="G120" s="407">
        <v>4414.8</v>
      </c>
      <c r="H120" s="408">
        <v>303</v>
      </c>
      <c r="I120" s="408">
        <v>147.5</v>
      </c>
      <c r="J120" s="408">
        <v>4003.8</v>
      </c>
      <c r="K120" s="194"/>
    </row>
    <row r="121" spans="1:11" x14ac:dyDescent="0.25">
      <c r="A121" s="205" t="s">
        <v>127</v>
      </c>
      <c r="B121" s="181">
        <f t="shared" si="9"/>
        <v>88</v>
      </c>
      <c r="C121" s="203" t="s">
        <v>782</v>
      </c>
      <c r="D121" s="329">
        <v>270</v>
      </c>
      <c r="E121" s="391">
        <v>270</v>
      </c>
      <c r="F121" s="334">
        <f t="shared" si="10"/>
        <v>479.3</v>
      </c>
      <c r="G121" s="409">
        <v>134.69999999999999</v>
      </c>
      <c r="H121" s="410">
        <v>131.80000000000001</v>
      </c>
      <c r="I121" s="410">
        <v>128.80000000000001</v>
      </c>
      <c r="J121" s="410">
        <v>84</v>
      </c>
      <c r="K121" s="186"/>
    </row>
    <row r="122" spans="1:11" x14ac:dyDescent="0.25">
      <c r="A122" s="205" t="s">
        <v>128</v>
      </c>
      <c r="B122" s="181">
        <f t="shared" si="9"/>
        <v>89</v>
      </c>
      <c r="C122" s="203" t="s">
        <v>783</v>
      </c>
      <c r="D122" s="329">
        <v>1450</v>
      </c>
      <c r="E122" s="391">
        <v>1764.8</v>
      </c>
      <c r="F122" s="334">
        <f t="shared" si="10"/>
        <v>2350</v>
      </c>
      <c r="G122" s="409">
        <v>638.70000000000005</v>
      </c>
      <c r="H122" s="410">
        <v>585.29999999999995</v>
      </c>
      <c r="I122" s="410">
        <v>484.5</v>
      </c>
      <c r="J122" s="410">
        <v>641.5</v>
      </c>
      <c r="K122" s="186"/>
    </row>
    <row r="123" spans="1:11" x14ac:dyDescent="0.25">
      <c r="A123" s="205" t="s">
        <v>129</v>
      </c>
      <c r="B123" s="181">
        <f t="shared" si="9"/>
        <v>90</v>
      </c>
      <c r="C123" s="203" t="s">
        <v>784</v>
      </c>
      <c r="D123" s="329">
        <v>260</v>
      </c>
      <c r="E123" s="391">
        <v>304</v>
      </c>
      <c r="F123" s="334">
        <f t="shared" si="10"/>
        <v>500.5</v>
      </c>
      <c r="G123" s="409">
        <v>118.4</v>
      </c>
      <c r="H123" s="410">
        <v>138.19999999999999</v>
      </c>
      <c r="I123" s="410">
        <v>129.80000000000001</v>
      </c>
      <c r="J123" s="410">
        <v>114.1</v>
      </c>
      <c r="K123" s="186"/>
    </row>
    <row r="124" spans="1:11" ht="15.75" thickBot="1" x14ac:dyDescent="0.3">
      <c r="A124" s="212" t="s">
        <v>176</v>
      </c>
      <c r="B124" s="193">
        <f t="shared" si="9"/>
        <v>91</v>
      </c>
      <c r="C124" s="213" t="s">
        <v>785</v>
      </c>
      <c r="D124" s="327">
        <v>200</v>
      </c>
      <c r="E124" s="392">
        <v>178</v>
      </c>
      <c r="F124" s="406">
        <f t="shared" si="10"/>
        <v>140</v>
      </c>
      <c r="G124" s="404">
        <v>35</v>
      </c>
      <c r="H124" s="383">
        <v>35.1</v>
      </c>
      <c r="I124" s="383">
        <v>35.1</v>
      </c>
      <c r="J124" s="383">
        <v>34.799999999999997</v>
      </c>
      <c r="K124" s="209"/>
    </row>
    <row r="125" spans="1:11" ht="15.75" thickBot="1" x14ac:dyDescent="0.3">
      <c r="A125" s="198" t="s">
        <v>177</v>
      </c>
      <c r="B125" s="199">
        <f t="shared" si="9"/>
        <v>92</v>
      </c>
      <c r="C125" s="167">
        <v>1170</v>
      </c>
      <c r="D125" s="206">
        <f>D126+D127+D128</f>
        <v>3005</v>
      </c>
      <c r="E125" s="206">
        <f>E126+E127+E128</f>
        <v>1239.5999999999999</v>
      </c>
      <c r="F125" s="200">
        <f t="shared" si="10"/>
        <v>0</v>
      </c>
      <c r="G125" s="206">
        <f t="shared" ref="G125:J125" si="12">G126+G127+G128</f>
        <v>0</v>
      </c>
      <c r="H125" s="206">
        <f t="shared" si="12"/>
        <v>0</v>
      </c>
      <c r="I125" s="206">
        <f t="shared" si="12"/>
        <v>0</v>
      </c>
      <c r="J125" s="206">
        <f t="shared" si="12"/>
        <v>0</v>
      </c>
      <c r="K125" s="206"/>
    </row>
    <row r="126" spans="1:11" x14ac:dyDescent="0.25">
      <c r="A126" s="210" t="s">
        <v>106</v>
      </c>
      <c r="B126" s="177">
        <f t="shared" si="9"/>
        <v>93</v>
      </c>
      <c r="C126" s="203" t="s">
        <v>786</v>
      </c>
      <c r="D126" s="326">
        <v>382</v>
      </c>
      <c r="E126" s="382">
        <v>350.4</v>
      </c>
      <c r="F126" s="332">
        <f t="shared" si="10"/>
        <v>0</v>
      </c>
      <c r="G126" s="179"/>
      <c r="H126" s="194"/>
      <c r="I126" s="194"/>
      <c r="J126" s="194"/>
      <c r="K126" s="194"/>
    </row>
    <row r="127" spans="1:11" x14ac:dyDescent="0.25">
      <c r="A127" s="205" t="s">
        <v>107</v>
      </c>
      <c r="B127" s="181">
        <f t="shared" si="9"/>
        <v>94</v>
      </c>
      <c r="C127" s="204" t="s">
        <v>787</v>
      </c>
      <c r="D127" s="325">
        <v>2623</v>
      </c>
      <c r="E127" s="335">
        <v>889.2</v>
      </c>
      <c r="F127" s="202">
        <f t="shared" si="10"/>
        <v>0</v>
      </c>
      <c r="G127" s="185"/>
      <c r="H127" s="186"/>
      <c r="I127" s="186"/>
      <c r="J127" s="186"/>
      <c r="K127" s="186"/>
    </row>
    <row r="128" spans="1:11" ht="15.75" thickBot="1" x14ac:dyDescent="0.3">
      <c r="A128" s="212" t="s">
        <v>108</v>
      </c>
      <c r="B128" s="193">
        <f t="shared" si="9"/>
        <v>95</v>
      </c>
      <c r="C128" s="378" t="s">
        <v>788</v>
      </c>
      <c r="D128" s="325"/>
      <c r="E128" s="335"/>
      <c r="F128" s="202">
        <f t="shared" si="10"/>
        <v>0</v>
      </c>
      <c r="G128" s="185"/>
      <c r="H128" s="186"/>
      <c r="I128" s="186"/>
      <c r="J128" s="186"/>
      <c r="K128" s="186"/>
    </row>
    <row r="129" spans="1:12" ht="15.75" thickBot="1" x14ac:dyDescent="0.3">
      <c r="A129" s="171" t="s">
        <v>789</v>
      </c>
      <c r="B129" s="172">
        <f t="shared" si="9"/>
        <v>96</v>
      </c>
      <c r="C129" s="173">
        <v>1180</v>
      </c>
      <c r="D129" s="186"/>
      <c r="E129" s="335"/>
      <c r="F129" s="202">
        <v>82939.899999999994</v>
      </c>
      <c r="G129" s="186"/>
      <c r="H129" s="186"/>
      <c r="I129" s="186"/>
      <c r="J129" s="186"/>
      <c r="K129" s="185"/>
    </row>
    <row r="130" spans="1:12" ht="15.75" thickBot="1" x14ac:dyDescent="0.3">
      <c r="A130" s="180" t="s">
        <v>790</v>
      </c>
      <c r="B130" s="379">
        <f t="shared" si="9"/>
        <v>97</v>
      </c>
      <c r="C130" s="380">
        <v>1190</v>
      </c>
      <c r="D130" s="196"/>
      <c r="E130" s="384"/>
      <c r="F130" s="202">
        <v>6169.99</v>
      </c>
      <c r="G130" s="196"/>
      <c r="H130" s="196"/>
      <c r="I130" s="196"/>
      <c r="J130" s="196"/>
      <c r="K130" s="197"/>
    </row>
    <row r="131" spans="1:12" ht="15.75" thickBot="1" x14ac:dyDescent="0.3">
      <c r="A131" s="198" t="s">
        <v>180</v>
      </c>
      <c r="B131" s="199">
        <f t="shared" si="9"/>
        <v>98</v>
      </c>
      <c r="C131" s="167">
        <v>1200</v>
      </c>
      <c r="D131" s="206"/>
      <c r="E131" s="169">
        <v>34805.599999999999</v>
      </c>
      <c r="F131" s="200">
        <f t="shared" si="10"/>
        <v>13039.8</v>
      </c>
      <c r="G131" s="170">
        <v>4643.5</v>
      </c>
      <c r="H131" s="169">
        <v>3526.4</v>
      </c>
      <c r="I131" s="169">
        <v>4088</v>
      </c>
      <c r="J131" s="169">
        <v>781.9</v>
      </c>
      <c r="K131" s="169"/>
    </row>
    <row r="132" spans="1:12" ht="15.75" thickBot="1" x14ac:dyDescent="0.3">
      <c r="A132" s="198" t="s">
        <v>51</v>
      </c>
      <c r="B132" s="199">
        <f t="shared" si="9"/>
        <v>99</v>
      </c>
      <c r="C132" s="167">
        <v>1210</v>
      </c>
      <c r="D132" s="206"/>
      <c r="E132" s="169">
        <v>198369</v>
      </c>
      <c r="F132" s="200">
        <f>F35</f>
        <v>235590.9</v>
      </c>
      <c r="G132" s="170">
        <f>G35</f>
        <v>61043.19999999999</v>
      </c>
      <c r="H132" s="169">
        <f>H35</f>
        <v>56048.2</v>
      </c>
      <c r="I132" s="169">
        <f>I35</f>
        <v>57423.399999999994</v>
      </c>
      <c r="J132" s="169">
        <f>J35</f>
        <v>61076.100000000006</v>
      </c>
      <c r="K132" s="169"/>
      <c r="L132" s="353"/>
    </row>
    <row r="133" spans="1:12" ht="15.75" thickBot="1" x14ac:dyDescent="0.3">
      <c r="A133" s="214" t="s">
        <v>52</v>
      </c>
      <c r="B133" s="199">
        <f t="shared" si="9"/>
        <v>100</v>
      </c>
      <c r="C133" s="215">
        <v>1220</v>
      </c>
      <c r="D133" s="217"/>
      <c r="E133" s="216">
        <v>198369</v>
      </c>
      <c r="F133" s="200">
        <f>SUM(F53,F131)</f>
        <v>235590.9</v>
      </c>
      <c r="G133" s="336">
        <f>G53+G131</f>
        <v>61043.200000000004</v>
      </c>
      <c r="H133" s="216">
        <f>H53+H131</f>
        <v>56048.2</v>
      </c>
      <c r="I133" s="216">
        <f>I53+I131</f>
        <v>57423.4</v>
      </c>
      <c r="J133" s="216">
        <f>J53+J131</f>
        <v>61076.100000000006</v>
      </c>
      <c r="K133" s="216"/>
    </row>
    <row r="134" spans="1:12" ht="15.75" thickBot="1" x14ac:dyDescent="0.3">
      <c r="A134" s="214" t="s">
        <v>53</v>
      </c>
      <c r="B134" s="199">
        <f t="shared" si="9"/>
        <v>101</v>
      </c>
      <c r="C134" s="215">
        <v>1230</v>
      </c>
      <c r="D134" s="217">
        <f>SUM(D132-D133)</f>
        <v>0</v>
      </c>
      <c r="E134" s="217">
        <f t="shared" ref="E134:J134" si="13">SUM(E132-E133)</f>
        <v>0</v>
      </c>
      <c r="F134" s="217">
        <f t="shared" si="13"/>
        <v>0</v>
      </c>
      <c r="G134" s="217">
        <f t="shared" si="13"/>
        <v>-1.4551915228366852E-11</v>
      </c>
      <c r="H134" s="217">
        <f t="shared" si="13"/>
        <v>0</v>
      </c>
      <c r="I134" s="217">
        <f t="shared" si="13"/>
        <v>-7.2759576141834259E-12</v>
      </c>
      <c r="J134" s="217">
        <f t="shared" si="13"/>
        <v>0</v>
      </c>
      <c r="K134" s="217"/>
    </row>
    <row r="135" spans="1:12" ht="15.75" thickBot="1" x14ac:dyDescent="0.3">
      <c r="A135" s="198" t="s">
        <v>54</v>
      </c>
      <c r="B135" s="199">
        <f t="shared" si="9"/>
        <v>102</v>
      </c>
      <c r="C135" s="167">
        <v>2000</v>
      </c>
      <c r="D135" s="206"/>
      <c r="E135" s="169"/>
      <c r="F135" s="200">
        <f t="shared" si="10"/>
        <v>59289.549299999999</v>
      </c>
      <c r="G135" s="170">
        <f>SUM(G136:G138)</f>
        <v>14175.7065</v>
      </c>
      <c r="H135" s="169">
        <f>SUM(H136:H138)</f>
        <v>14282.211299999999</v>
      </c>
      <c r="I135" s="169">
        <f>SUM(I136:I138)</f>
        <v>14922.984</v>
      </c>
      <c r="J135" s="169">
        <f>SUM(J136:J138)</f>
        <v>15908.647499999999</v>
      </c>
      <c r="K135" s="169"/>
    </row>
    <row r="136" spans="1:12" x14ac:dyDescent="0.25">
      <c r="A136" s="184" t="s">
        <v>55</v>
      </c>
      <c r="B136" s="177">
        <f t="shared" si="9"/>
        <v>103</v>
      </c>
      <c r="C136" s="218">
        <v>2010</v>
      </c>
      <c r="D136" s="325"/>
      <c r="E136" s="335"/>
      <c r="F136" s="201">
        <f t="shared" si="10"/>
        <v>30784.5</v>
      </c>
      <c r="G136" s="185">
        <f>SUM(G56,G71,G98,G110)</f>
        <v>7353.3</v>
      </c>
      <c r="H136" s="186">
        <f>SUM(H56,H71,H98,H110)</f>
        <v>7427.7000000000007</v>
      </c>
      <c r="I136" s="186">
        <f>SUM(I56,I71,I98,I110)</f>
        <v>7655.1</v>
      </c>
      <c r="J136" s="186">
        <f>SUM(J56,J71,J98,J110)</f>
        <v>8348.4</v>
      </c>
      <c r="K136" s="186"/>
    </row>
    <row r="137" spans="1:12" x14ac:dyDescent="0.25">
      <c r="A137" s="184" t="s">
        <v>56</v>
      </c>
      <c r="B137" s="181">
        <f t="shared" si="9"/>
        <v>104</v>
      </c>
      <c r="C137" s="218">
        <v>2020</v>
      </c>
      <c r="D137" s="325"/>
      <c r="E137" s="335"/>
      <c r="F137" s="202">
        <f t="shared" si="10"/>
        <v>28505.049300000002</v>
      </c>
      <c r="G137" s="185">
        <f>G183*19.5%</f>
        <v>6822.4065000000001</v>
      </c>
      <c r="H137" s="186">
        <f>H183*19.5%</f>
        <v>6854.5112999999992</v>
      </c>
      <c r="I137" s="186">
        <f>I183*19.5%</f>
        <v>7267.884</v>
      </c>
      <c r="J137" s="186">
        <f>J183*19.5%</f>
        <v>7560.2475000000004</v>
      </c>
      <c r="K137" s="186"/>
    </row>
    <row r="138" spans="1:12" x14ac:dyDescent="0.25">
      <c r="A138" s="184" t="s">
        <v>57</v>
      </c>
      <c r="B138" s="181">
        <f t="shared" si="9"/>
        <v>105</v>
      </c>
      <c r="C138" s="218">
        <v>2030</v>
      </c>
      <c r="D138" s="325"/>
      <c r="E138" s="335"/>
      <c r="F138" s="202">
        <f t="shared" si="10"/>
        <v>0</v>
      </c>
      <c r="G138" s="185"/>
      <c r="H138" s="186"/>
      <c r="I138" s="186"/>
      <c r="J138" s="186"/>
      <c r="K138" s="186"/>
    </row>
    <row r="139" spans="1:12" ht="15.75" thickBot="1" x14ac:dyDescent="0.3">
      <c r="A139" s="207" t="s">
        <v>58</v>
      </c>
      <c r="B139" s="195">
        <f t="shared" si="9"/>
        <v>106</v>
      </c>
      <c r="C139" s="219">
        <v>2040</v>
      </c>
      <c r="D139" s="327"/>
      <c r="E139" s="383"/>
      <c r="F139" s="220">
        <f t="shared" si="10"/>
        <v>0</v>
      </c>
      <c r="G139" s="190">
        <v>0</v>
      </c>
      <c r="H139" s="209">
        <v>0</v>
      </c>
      <c r="I139" s="209">
        <v>0</v>
      </c>
      <c r="J139" s="209">
        <v>0</v>
      </c>
      <c r="K139" s="209"/>
    </row>
    <row r="140" spans="1:12" ht="15.75" thickBot="1" x14ac:dyDescent="0.3">
      <c r="A140" s="171" t="s">
        <v>59</v>
      </c>
      <c r="B140" s="172">
        <f t="shared" si="9"/>
        <v>107</v>
      </c>
      <c r="C140" s="173">
        <v>3000</v>
      </c>
      <c r="D140" s="330"/>
      <c r="E140" s="381">
        <f>SUM(E141:E143,E150)</f>
        <v>78970.5</v>
      </c>
      <c r="F140" s="174">
        <f t="shared" si="10"/>
        <v>11850</v>
      </c>
      <c r="G140" s="176">
        <f>SUM(G143)</f>
        <v>2900</v>
      </c>
      <c r="H140" s="175">
        <f>SUM(H143)</f>
        <v>3450</v>
      </c>
      <c r="I140" s="175">
        <f>SUM(I143)</f>
        <v>2150</v>
      </c>
      <c r="J140" s="175">
        <f>SUM(J143)</f>
        <v>3350</v>
      </c>
      <c r="K140" s="175"/>
    </row>
    <row r="141" spans="1:12" x14ac:dyDescent="0.25">
      <c r="A141" s="180" t="s">
        <v>60</v>
      </c>
      <c r="B141" s="177">
        <f t="shared" si="9"/>
        <v>108</v>
      </c>
      <c r="C141" s="178">
        <v>3010</v>
      </c>
      <c r="D141" s="326"/>
      <c r="E141" s="382"/>
      <c r="F141" s="201">
        <f t="shared" si="10"/>
        <v>0</v>
      </c>
      <c r="G141" s="179"/>
      <c r="H141" s="194"/>
      <c r="I141" s="194"/>
      <c r="J141" s="194"/>
      <c r="K141" s="194"/>
    </row>
    <row r="142" spans="1:12" x14ac:dyDescent="0.25">
      <c r="A142" s="184" t="s">
        <v>61</v>
      </c>
      <c r="B142" s="181">
        <f t="shared" si="9"/>
        <v>109</v>
      </c>
      <c r="C142" s="218">
        <v>3020</v>
      </c>
      <c r="D142" s="325"/>
      <c r="E142" s="335"/>
      <c r="F142" s="202">
        <f t="shared" si="10"/>
        <v>0</v>
      </c>
      <c r="G142" s="185"/>
      <c r="H142" s="186"/>
      <c r="I142" s="186"/>
      <c r="J142" s="186"/>
      <c r="K142" s="186"/>
    </row>
    <row r="143" spans="1:12" x14ac:dyDescent="0.25">
      <c r="A143" s="184" t="s">
        <v>62</v>
      </c>
      <c r="B143" s="181">
        <f t="shared" si="9"/>
        <v>110</v>
      </c>
      <c r="C143" s="218">
        <v>3030</v>
      </c>
      <c r="D143" s="325"/>
      <c r="E143" s="335">
        <f>E145+E146+E147+E148+E149+E151</f>
        <v>78970.5</v>
      </c>
      <c r="F143" s="202">
        <f t="shared" si="10"/>
        <v>11850</v>
      </c>
      <c r="G143" s="185">
        <f>G145+G149</f>
        <v>2900</v>
      </c>
      <c r="H143" s="185">
        <f>H145+H149</f>
        <v>3450</v>
      </c>
      <c r="I143" s="185">
        <f>I145+I149</f>
        <v>2150</v>
      </c>
      <c r="J143" s="185">
        <f>J145+J149</f>
        <v>3350</v>
      </c>
      <c r="K143" s="186"/>
    </row>
    <row r="144" spans="1:12" x14ac:dyDescent="0.25">
      <c r="A144" s="184" t="s">
        <v>63</v>
      </c>
      <c r="B144" s="181">
        <f t="shared" si="9"/>
        <v>111</v>
      </c>
      <c r="C144" s="218" t="s">
        <v>181</v>
      </c>
      <c r="D144" s="325"/>
      <c r="E144" s="335"/>
      <c r="F144" s="202">
        <f t="shared" si="10"/>
        <v>0</v>
      </c>
      <c r="G144" s="185"/>
      <c r="H144" s="186"/>
      <c r="I144" s="186"/>
      <c r="J144" s="186"/>
      <c r="K144" s="186"/>
    </row>
    <row r="145" spans="1:11" x14ac:dyDescent="0.25">
      <c r="A145" s="184" t="s">
        <v>64</v>
      </c>
      <c r="B145" s="181">
        <f t="shared" si="9"/>
        <v>112</v>
      </c>
      <c r="C145" s="218" t="s">
        <v>182</v>
      </c>
      <c r="D145" s="325"/>
      <c r="E145" s="335">
        <v>5795.7</v>
      </c>
      <c r="F145" s="202">
        <f t="shared" si="10"/>
        <v>8350</v>
      </c>
      <c r="G145" s="185">
        <v>1700</v>
      </c>
      <c r="H145" s="186">
        <v>3150</v>
      </c>
      <c r="I145" s="186">
        <v>1350</v>
      </c>
      <c r="J145" s="186">
        <v>2150</v>
      </c>
      <c r="K145" s="186"/>
    </row>
    <row r="146" spans="1:11" x14ac:dyDescent="0.25">
      <c r="A146" s="184" t="s">
        <v>65</v>
      </c>
      <c r="B146" s="181">
        <f t="shared" si="9"/>
        <v>113</v>
      </c>
      <c r="C146" s="218" t="s">
        <v>183</v>
      </c>
      <c r="D146" s="325"/>
      <c r="E146" s="335">
        <v>611</v>
      </c>
      <c r="F146" s="202">
        <f t="shared" si="10"/>
        <v>0</v>
      </c>
      <c r="G146" s="185"/>
      <c r="H146" s="186"/>
      <c r="I146" s="186"/>
      <c r="J146" s="186"/>
      <c r="K146" s="186"/>
    </row>
    <row r="147" spans="1:11" x14ac:dyDescent="0.25">
      <c r="A147" s="184" t="s">
        <v>66</v>
      </c>
      <c r="B147" s="181">
        <f t="shared" si="9"/>
        <v>114</v>
      </c>
      <c r="C147" s="218" t="s">
        <v>184</v>
      </c>
      <c r="D147" s="325"/>
      <c r="E147" s="335"/>
      <c r="F147" s="202">
        <f t="shared" si="10"/>
        <v>0</v>
      </c>
      <c r="G147" s="185"/>
      <c r="H147" s="186"/>
      <c r="I147" s="186"/>
      <c r="J147" s="186"/>
      <c r="K147" s="186"/>
    </row>
    <row r="148" spans="1:11" ht="25.5" x14ac:dyDescent="0.25">
      <c r="A148" s="184" t="s">
        <v>67</v>
      </c>
      <c r="B148" s="181">
        <f t="shared" si="9"/>
        <v>115</v>
      </c>
      <c r="C148" s="218" t="s">
        <v>185</v>
      </c>
      <c r="D148" s="325"/>
      <c r="E148" s="335"/>
      <c r="F148" s="202">
        <f t="shared" si="10"/>
        <v>0</v>
      </c>
      <c r="G148" s="185"/>
      <c r="H148" s="186"/>
      <c r="I148" s="186"/>
      <c r="J148" s="186"/>
      <c r="K148" s="186"/>
    </row>
    <row r="149" spans="1:11" x14ac:dyDescent="0.25">
      <c r="A149" s="184" t="s">
        <v>68</v>
      </c>
      <c r="B149" s="181">
        <f t="shared" si="9"/>
        <v>116</v>
      </c>
      <c r="C149" s="218" t="s">
        <v>186</v>
      </c>
      <c r="D149" s="325"/>
      <c r="E149" s="335"/>
      <c r="F149" s="202">
        <f t="shared" si="10"/>
        <v>3500</v>
      </c>
      <c r="G149" s="185">
        <v>1200</v>
      </c>
      <c r="H149" s="186">
        <v>300</v>
      </c>
      <c r="I149" s="186">
        <v>800</v>
      </c>
      <c r="J149" s="186">
        <v>1200</v>
      </c>
      <c r="K149" s="186"/>
    </row>
    <row r="150" spans="1:11" ht="15.75" thickBot="1" x14ac:dyDescent="0.3">
      <c r="A150" s="207" t="s">
        <v>116</v>
      </c>
      <c r="B150" s="195">
        <f t="shared" si="9"/>
        <v>117</v>
      </c>
      <c r="C150" s="219">
        <v>3040</v>
      </c>
      <c r="D150" s="331"/>
      <c r="E150" s="393"/>
      <c r="F150" s="220">
        <f t="shared" si="10"/>
        <v>0</v>
      </c>
      <c r="G150" s="337"/>
      <c r="H150" s="221"/>
      <c r="I150" s="221"/>
      <c r="J150" s="221"/>
      <c r="K150" s="221"/>
    </row>
    <row r="151" spans="1:11" ht="15.75" thickBot="1" x14ac:dyDescent="0.3">
      <c r="A151" s="198" t="s">
        <v>130</v>
      </c>
      <c r="B151" s="199">
        <f t="shared" si="9"/>
        <v>118</v>
      </c>
      <c r="C151" s="167">
        <v>4000</v>
      </c>
      <c r="D151" s="206"/>
      <c r="E151" s="169">
        <v>72563.8</v>
      </c>
      <c r="F151" s="200">
        <f>E151+F145</f>
        <v>80913.8</v>
      </c>
      <c r="G151" s="170"/>
      <c r="H151" s="169"/>
      <c r="I151" s="169"/>
      <c r="J151" s="169"/>
      <c r="K151" s="169"/>
    </row>
    <row r="152" spans="1:11" ht="15.75" thickBot="1" x14ac:dyDescent="0.3">
      <c r="A152" s="198" t="s">
        <v>131</v>
      </c>
      <c r="B152" s="199">
        <f t="shared" si="9"/>
        <v>119</v>
      </c>
      <c r="C152" s="167">
        <v>5000</v>
      </c>
      <c r="D152" s="206"/>
      <c r="E152" s="169">
        <f>E153</f>
        <v>3584</v>
      </c>
      <c r="F152" s="200">
        <f t="shared" si="10"/>
        <v>2000</v>
      </c>
      <c r="G152" s="170">
        <f>G153</f>
        <v>500</v>
      </c>
      <c r="H152" s="169">
        <f>H153</f>
        <v>500</v>
      </c>
      <c r="I152" s="169">
        <f>I153</f>
        <v>500</v>
      </c>
      <c r="J152" s="169">
        <f>J153</f>
        <v>500</v>
      </c>
      <c r="K152" s="169"/>
    </row>
    <row r="153" spans="1:11" x14ac:dyDescent="0.25">
      <c r="A153" s="184" t="s">
        <v>69</v>
      </c>
      <c r="B153" s="177">
        <f t="shared" si="9"/>
        <v>120</v>
      </c>
      <c r="C153" s="218">
        <v>5010</v>
      </c>
      <c r="D153" s="325"/>
      <c r="E153" s="335">
        <f>E156+E155+E154</f>
        <v>3584</v>
      </c>
      <c r="F153" s="338">
        <f t="shared" si="10"/>
        <v>2000</v>
      </c>
      <c r="G153" s="185">
        <f>SUM(G154:G156)</f>
        <v>500</v>
      </c>
      <c r="H153" s="186">
        <f>SUM(H154:H156)</f>
        <v>500</v>
      </c>
      <c r="I153" s="186">
        <f>SUM(I154:I156)</f>
        <v>500</v>
      </c>
      <c r="J153" s="186">
        <f>SUM(J154:J156)</f>
        <v>500</v>
      </c>
      <c r="K153" s="186"/>
    </row>
    <row r="154" spans="1:11" x14ac:dyDescent="0.25">
      <c r="A154" s="184" t="s">
        <v>70</v>
      </c>
      <c r="B154" s="181">
        <f t="shared" si="9"/>
        <v>121</v>
      </c>
      <c r="C154" s="218" t="s">
        <v>187</v>
      </c>
      <c r="D154" s="325"/>
      <c r="E154" s="335"/>
      <c r="F154" s="202">
        <f t="shared" si="10"/>
        <v>0</v>
      </c>
      <c r="G154" s="185"/>
      <c r="H154" s="186"/>
      <c r="I154" s="186"/>
      <c r="J154" s="186"/>
      <c r="K154" s="186"/>
    </row>
    <row r="155" spans="1:11" x14ac:dyDescent="0.25">
      <c r="A155" s="184" t="s">
        <v>71</v>
      </c>
      <c r="B155" s="181">
        <f t="shared" si="9"/>
        <v>122</v>
      </c>
      <c r="C155" s="218" t="s">
        <v>188</v>
      </c>
      <c r="D155" s="325"/>
      <c r="E155" s="335"/>
      <c r="F155" s="202">
        <f t="shared" si="10"/>
        <v>0</v>
      </c>
      <c r="G155" s="185"/>
      <c r="H155" s="186"/>
      <c r="I155" s="186"/>
      <c r="J155" s="186"/>
      <c r="K155" s="186"/>
    </row>
    <row r="156" spans="1:11" x14ac:dyDescent="0.25">
      <c r="A156" s="184" t="s">
        <v>72</v>
      </c>
      <c r="B156" s="181">
        <f t="shared" si="9"/>
        <v>123</v>
      </c>
      <c r="C156" s="218" t="s">
        <v>189</v>
      </c>
      <c r="D156" s="325"/>
      <c r="E156" s="335">
        <v>3584</v>
      </c>
      <c r="F156" s="202">
        <f t="shared" si="10"/>
        <v>2000</v>
      </c>
      <c r="G156" s="185">
        <v>500</v>
      </c>
      <c r="H156" s="186">
        <v>500</v>
      </c>
      <c r="I156" s="186">
        <v>500</v>
      </c>
      <c r="J156" s="186">
        <v>500</v>
      </c>
      <c r="K156" s="186"/>
    </row>
    <row r="157" spans="1:11" x14ac:dyDescent="0.25">
      <c r="A157" s="184" t="s">
        <v>73</v>
      </c>
      <c r="B157" s="181">
        <f t="shared" si="9"/>
        <v>124</v>
      </c>
      <c r="C157" s="218">
        <v>5020</v>
      </c>
      <c r="D157" s="325"/>
      <c r="E157" s="335"/>
      <c r="F157" s="202">
        <f t="shared" si="10"/>
        <v>0</v>
      </c>
      <c r="G157" s="185"/>
      <c r="H157" s="186"/>
      <c r="I157" s="186"/>
      <c r="J157" s="186"/>
      <c r="K157" s="186"/>
    </row>
    <row r="158" spans="1:11" x14ac:dyDescent="0.25">
      <c r="A158" s="184" t="s">
        <v>74</v>
      </c>
      <c r="B158" s="181">
        <f t="shared" si="9"/>
        <v>125</v>
      </c>
      <c r="C158" s="218">
        <v>5030</v>
      </c>
      <c r="D158" s="325"/>
      <c r="E158" s="335"/>
      <c r="F158" s="202">
        <f t="shared" si="10"/>
        <v>0</v>
      </c>
      <c r="G158" s="185"/>
      <c r="H158" s="186"/>
      <c r="I158" s="186"/>
      <c r="J158" s="186"/>
      <c r="K158" s="186"/>
    </row>
    <row r="159" spans="1:11" x14ac:dyDescent="0.25">
      <c r="A159" s="184" t="s">
        <v>70</v>
      </c>
      <c r="B159" s="181">
        <f t="shared" si="9"/>
        <v>126</v>
      </c>
      <c r="C159" s="218" t="s">
        <v>190</v>
      </c>
      <c r="D159" s="325"/>
      <c r="E159" s="335"/>
      <c r="F159" s="202">
        <f t="shared" si="10"/>
        <v>0</v>
      </c>
      <c r="G159" s="185"/>
      <c r="H159" s="186"/>
      <c r="I159" s="186"/>
      <c r="J159" s="186"/>
      <c r="K159" s="186"/>
    </row>
    <row r="160" spans="1:11" x14ac:dyDescent="0.25">
      <c r="A160" s="184" t="s">
        <v>71</v>
      </c>
      <c r="B160" s="181">
        <f t="shared" si="9"/>
        <v>127</v>
      </c>
      <c r="C160" s="218" t="s">
        <v>191</v>
      </c>
      <c r="D160" s="325"/>
      <c r="E160" s="335"/>
      <c r="F160" s="202">
        <f t="shared" si="10"/>
        <v>0</v>
      </c>
      <c r="G160" s="185"/>
      <c r="H160" s="186"/>
      <c r="I160" s="186"/>
      <c r="J160" s="186"/>
      <c r="K160" s="186"/>
    </row>
    <row r="161" spans="1:11" x14ac:dyDescent="0.25">
      <c r="A161" s="184" t="s">
        <v>72</v>
      </c>
      <c r="B161" s="181">
        <f t="shared" si="9"/>
        <v>128</v>
      </c>
      <c r="C161" s="218" t="s">
        <v>192</v>
      </c>
      <c r="D161" s="325"/>
      <c r="E161" s="335"/>
      <c r="F161" s="202">
        <f t="shared" si="10"/>
        <v>0</v>
      </c>
      <c r="G161" s="185"/>
      <c r="H161" s="186"/>
      <c r="I161" s="186"/>
      <c r="J161" s="186"/>
      <c r="K161" s="186"/>
    </row>
    <row r="162" spans="1:11" ht="15.75" thickBot="1" x14ac:dyDescent="0.3">
      <c r="A162" s="184" t="s">
        <v>193</v>
      </c>
      <c r="B162" s="195">
        <f t="shared" si="9"/>
        <v>129</v>
      </c>
      <c r="C162" s="218">
        <v>5040</v>
      </c>
      <c r="D162" s="325"/>
      <c r="E162" s="335"/>
      <c r="F162" s="220">
        <f t="shared" si="10"/>
        <v>0</v>
      </c>
      <c r="G162" s="185"/>
      <c r="H162" s="186"/>
      <c r="I162" s="186"/>
      <c r="J162" s="186"/>
      <c r="K162" s="186"/>
    </row>
    <row r="163" spans="1:11" ht="15.75" thickBot="1" x14ac:dyDescent="0.3">
      <c r="A163" s="198" t="s">
        <v>132</v>
      </c>
      <c r="B163" s="199">
        <f t="shared" si="9"/>
        <v>130</v>
      </c>
      <c r="C163" s="167">
        <v>6000</v>
      </c>
      <c r="D163" s="206"/>
      <c r="E163" s="169"/>
      <c r="F163" s="200">
        <f t="shared" si="10"/>
        <v>0</v>
      </c>
      <c r="G163" s="170"/>
      <c r="H163" s="169"/>
      <c r="I163" s="169"/>
      <c r="J163" s="169"/>
      <c r="K163" s="169"/>
    </row>
    <row r="164" spans="1:11" x14ac:dyDescent="0.25">
      <c r="A164" s="184" t="s">
        <v>75</v>
      </c>
      <c r="B164" s="177">
        <f t="shared" si="9"/>
        <v>131</v>
      </c>
      <c r="C164" s="218">
        <v>6010</v>
      </c>
      <c r="D164" s="325"/>
      <c r="E164" s="335"/>
      <c r="F164" s="201">
        <f t="shared" si="10"/>
        <v>0</v>
      </c>
      <c r="G164" s="185"/>
      <c r="H164" s="186"/>
      <c r="I164" s="186"/>
      <c r="J164" s="186"/>
      <c r="K164" s="186"/>
    </row>
    <row r="165" spans="1:11" x14ac:dyDescent="0.25">
      <c r="A165" s="184" t="s">
        <v>76</v>
      </c>
      <c r="B165" s="181">
        <f t="shared" si="9"/>
        <v>132</v>
      </c>
      <c r="C165" s="218">
        <v>6020</v>
      </c>
      <c r="D165" s="325"/>
      <c r="E165" s="335"/>
      <c r="F165" s="202">
        <f t="shared" si="10"/>
        <v>0</v>
      </c>
      <c r="G165" s="185"/>
      <c r="H165" s="186"/>
      <c r="I165" s="186"/>
      <c r="J165" s="186"/>
      <c r="K165" s="186"/>
    </row>
    <row r="166" spans="1:11" ht="25.5" x14ac:dyDescent="0.25">
      <c r="A166" s="184" t="s">
        <v>133</v>
      </c>
      <c r="B166" s="181">
        <f t="shared" si="9"/>
        <v>133</v>
      </c>
      <c r="C166" s="218">
        <v>6030</v>
      </c>
      <c r="D166" s="325"/>
      <c r="E166" s="335"/>
      <c r="F166" s="202">
        <f t="shared" si="10"/>
        <v>0</v>
      </c>
      <c r="G166" s="185"/>
      <c r="H166" s="186"/>
      <c r="I166" s="186"/>
      <c r="J166" s="186"/>
      <c r="K166" s="186"/>
    </row>
    <row r="167" spans="1:11" ht="15.75" thickBot="1" x14ac:dyDescent="0.3">
      <c r="A167" s="207" t="s">
        <v>77</v>
      </c>
      <c r="B167" s="195">
        <f t="shared" si="9"/>
        <v>134</v>
      </c>
      <c r="C167" s="219">
        <v>6040</v>
      </c>
      <c r="D167" s="327"/>
      <c r="E167" s="383"/>
      <c r="F167" s="220">
        <f t="shared" si="10"/>
        <v>0</v>
      </c>
      <c r="G167" s="190"/>
      <c r="H167" s="209"/>
      <c r="I167" s="209"/>
      <c r="J167" s="209"/>
      <c r="K167" s="209"/>
    </row>
    <row r="168" spans="1:11" ht="15.75" thickBot="1" x14ac:dyDescent="0.3">
      <c r="A168" s="198" t="s">
        <v>134</v>
      </c>
      <c r="B168" s="199">
        <f t="shared" si="9"/>
        <v>135</v>
      </c>
      <c r="C168" s="167">
        <v>7000</v>
      </c>
      <c r="D168" s="206"/>
      <c r="E168" s="169"/>
      <c r="F168" s="200">
        <f t="shared" si="10"/>
        <v>0</v>
      </c>
      <c r="G168" s="170"/>
      <c r="H168" s="169"/>
      <c r="I168" s="169"/>
      <c r="J168" s="169"/>
      <c r="K168" s="169"/>
    </row>
    <row r="169" spans="1:11" x14ac:dyDescent="0.25">
      <c r="A169" s="180" t="s">
        <v>78</v>
      </c>
      <c r="B169" s="177">
        <f t="shared" si="9"/>
        <v>136</v>
      </c>
      <c r="C169" s="178">
        <v>7010</v>
      </c>
      <c r="D169" s="326"/>
      <c r="E169" s="382">
        <v>95650.1</v>
      </c>
      <c r="F169" s="201">
        <f>E169+F145</f>
        <v>104000.1</v>
      </c>
      <c r="G169" s="179"/>
      <c r="H169" s="194"/>
      <c r="I169" s="194"/>
      <c r="J169" s="194"/>
      <c r="K169" s="194"/>
    </row>
    <row r="170" spans="1:11" x14ac:dyDescent="0.25">
      <c r="A170" s="184" t="s">
        <v>79</v>
      </c>
      <c r="B170" s="181">
        <f t="shared" si="9"/>
        <v>137</v>
      </c>
      <c r="C170" s="218">
        <v>7020</v>
      </c>
      <c r="D170" s="325"/>
      <c r="E170" s="335">
        <v>6299.4</v>
      </c>
      <c r="F170" s="202">
        <v>6299.4</v>
      </c>
      <c r="G170" s="185"/>
      <c r="H170" s="186"/>
      <c r="I170" s="186"/>
      <c r="J170" s="186"/>
      <c r="K170" s="186"/>
    </row>
    <row r="171" spans="1:11" x14ac:dyDescent="0.25">
      <c r="A171" s="184" t="s">
        <v>80</v>
      </c>
      <c r="B171" s="181">
        <f t="shared" si="9"/>
        <v>138</v>
      </c>
      <c r="C171" s="218">
        <v>7030</v>
      </c>
      <c r="D171" s="325"/>
      <c r="E171" s="335">
        <f>E169+E170</f>
        <v>101949.5</v>
      </c>
      <c r="F171" s="202">
        <f>F169+F170</f>
        <v>110299.5</v>
      </c>
      <c r="G171" s="185"/>
      <c r="H171" s="186"/>
      <c r="I171" s="186"/>
      <c r="J171" s="186"/>
      <c r="K171" s="186"/>
    </row>
    <row r="172" spans="1:11" x14ac:dyDescent="0.25">
      <c r="A172" s="184" t="s">
        <v>81</v>
      </c>
      <c r="B172" s="181">
        <f t="shared" si="9"/>
        <v>139</v>
      </c>
      <c r="C172" s="218">
        <v>7040</v>
      </c>
      <c r="D172" s="325"/>
      <c r="E172" s="335"/>
      <c r="F172" s="202">
        <f t="shared" si="10"/>
        <v>0</v>
      </c>
      <c r="G172" s="185">
        <v>0</v>
      </c>
      <c r="H172" s="186">
        <v>0</v>
      </c>
      <c r="I172" s="186">
        <v>0</v>
      </c>
      <c r="J172" s="186">
        <v>0</v>
      </c>
      <c r="K172" s="186"/>
    </row>
    <row r="173" spans="1:11" ht="15.75" thickBot="1" x14ac:dyDescent="0.3">
      <c r="A173" s="207" t="s">
        <v>82</v>
      </c>
      <c r="B173" s="195">
        <f t="shared" si="9"/>
        <v>140</v>
      </c>
      <c r="C173" s="219">
        <v>7050</v>
      </c>
      <c r="D173" s="327"/>
      <c r="E173" s="383"/>
      <c r="F173" s="220">
        <f t="shared" si="10"/>
        <v>0</v>
      </c>
      <c r="G173" s="190">
        <v>0</v>
      </c>
      <c r="H173" s="209">
        <v>0</v>
      </c>
      <c r="I173" s="209">
        <v>0</v>
      </c>
      <c r="J173" s="209">
        <v>0</v>
      </c>
      <c r="K173" s="209"/>
    </row>
    <row r="174" spans="1:11" ht="15.75" thickBot="1" x14ac:dyDescent="0.3">
      <c r="A174" s="198" t="s">
        <v>135</v>
      </c>
      <c r="B174" s="199">
        <f t="shared" ref="B174:B206" si="14">B173+1</f>
        <v>141</v>
      </c>
      <c r="C174" s="222">
        <v>8000</v>
      </c>
      <c r="D174" s="200"/>
      <c r="E174" s="223"/>
      <c r="F174" s="200">
        <f t="shared" si="10"/>
        <v>0</v>
      </c>
      <c r="G174" s="170"/>
      <c r="H174" s="223"/>
      <c r="I174" s="223"/>
      <c r="J174" s="223"/>
      <c r="K174" s="169"/>
    </row>
    <row r="175" spans="1:11" x14ac:dyDescent="0.25">
      <c r="A175" s="180" t="s">
        <v>224</v>
      </c>
      <c r="B175" s="177">
        <f t="shared" si="14"/>
        <v>142</v>
      </c>
      <c r="C175" s="224">
        <v>8010</v>
      </c>
      <c r="D175" s="332"/>
      <c r="E175" s="395">
        <f t="shared" ref="E175:J175" si="15">SUM(E176:E182)</f>
        <v>1528.5</v>
      </c>
      <c r="F175" s="344">
        <f t="shared" si="15"/>
        <v>1528.5</v>
      </c>
      <c r="G175" s="345">
        <f t="shared" si="15"/>
        <v>1528.5</v>
      </c>
      <c r="H175" s="346">
        <f t="shared" si="15"/>
        <v>1528.5</v>
      </c>
      <c r="I175" s="346">
        <f t="shared" si="15"/>
        <v>1528.5</v>
      </c>
      <c r="J175" s="346">
        <f t="shared" si="15"/>
        <v>1528.5</v>
      </c>
      <c r="K175" s="194"/>
    </row>
    <row r="176" spans="1:11" x14ac:dyDescent="0.25">
      <c r="A176" s="184" t="s">
        <v>83</v>
      </c>
      <c r="B176" s="181">
        <f t="shared" si="14"/>
        <v>143</v>
      </c>
      <c r="C176" s="225" t="s">
        <v>194</v>
      </c>
      <c r="D176" s="202"/>
      <c r="E176" s="396">
        <v>1</v>
      </c>
      <c r="F176" s="347">
        <f t="shared" ref="F176:F182" si="16">G176</f>
        <v>1</v>
      </c>
      <c r="G176" s="348">
        <v>1</v>
      </c>
      <c r="H176" s="349">
        <v>1</v>
      </c>
      <c r="I176" s="349">
        <v>1</v>
      </c>
      <c r="J176" s="349">
        <v>1</v>
      </c>
      <c r="K176" s="186"/>
    </row>
    <row r="177" spans="1:12" x14ac:dyDescent="0.25">
      <c r="A177" s="184" t="s">
        <v>117</v>
      </c>
      <c r="B177" s="181">
        <f t="shared" si="14"/>
        <v>144</v>
      </c>
      <c r="C177" s="225" t="s">
        <v>195</v>
      </c>
      <c r="D177" s="202"/>
      <c r="E177" s="396">
        <v>2</v>
      </c>
      <c r="F177" s="347">
        <f t="shared" si="16"/>
        <v>4</v>
      </c>
      <c r="G177" s="348">
        <v>4</v>
      </c>
      <c r="H177" s="349">
        <v>4</v>
      </c>
      <c r="I177" s="349">
        <v>4</v>
      </c>
      <c r="J177" s="349">
        <v>4</v>
      </c>
      <c r="K177" s="186"/>
    </row>
    <row r="178" spans="1:12" x14ac:dyDescent="0.25">
      <c r="A178" s="184" t="s">
        <v>84</v>
      </c>
      <c r="B178" s="181">
        <f t="shared" si="14"/>
        <v>145</v>
      </c>
      <c r="C178" s="225" t="s">
        <v>196</v>
      </c>
      <c r="D178" s="202"/>
      <c r="E178" s="396">
        <v>479.5</v>
      </c>
      <c r="F178" s="347">
        <f t="shared" si="16"/>
        <v>460</v>
      </c>
      <c r="G178" s="348">
        <v>460</v>
      </c>
      <c r="H178" s="349">
        <v>460</v>
      </c>
      <c r="I178" s="349">
        <v>460</v>
      </c>
      <c r="J178" s="349">
        <v>460</v>
      </c>
      <c r="K178" s="186"/>
    </row>
    <row r="179" spans="1:12" x14ac:dyDescent="0.25">
      <c r="A179" s="184" t="s">
        <v>85</v>
      </c>
      <c r="B179" s="181">
        <f t="shared" si="14"/>
        <v>146</v>
      </c>
      <c r="C179" s="225" t="s">
        <v>197</v>
      </c>
      <c r="D179" s="202"/>
      <c r="E179" s="396">
        <v>24.25</v>
      </c>
      <c r="F179" s="347">
        <f t="shared" si="16"/>
        <v>28.25</v>
      </c>
      <c r="G179" s="348">
        <v>28.25</v>
      </c>
      <c r="H179" s="349">
        <v>28.25</v>
      </c>
      <c r="I179" s="349">
        <v>28.25</v>
      </c>
      <c r="J179" s="349">
        <v>28.25</v>
      </c>
      <c r="K179" s="186"/>
    </row>
    <row r="180" spans="1:12" x14ac:dyDescent="0.25">
      <c r="A180" s="184" t="s">
        <v>86</v>
      </c>
      <c r="B180" s="181">
        <f t="shared" si="14"/>
        <v>147</v>
      </c>
      <c r="C180" s="225" t="s">
        <v>198</v>
      </c>
      <c r="D180" s="202"/>
      <c r="E180" s="396">
        <v>679.5</v>
      </c>
      <c r="F180" s="347">
        <f t="shared" si="16"/>
        <v>667.75</v>
      </c>
      <c r="G180" s="348">
        <v>667.75</v>
      </c>
      <c r="H180" s="349">
        <v>667.75</v>
      </c>
      <c r="I180" s="349">
        <v>667.75</v>
      </c>
      <c r="J180" s="349">
        <v>667.75</v>
      </c>
      <c r="K180" s="186"/>
    </row>
    <row r="181" spans="1:12" x14ac:dyDescent="0.25">
      <c r="A181" s="184" t="s">
        <v>87</v>
      </c>
      <c r="B181" s="181">
        <f t="shared" si="14"/>
        <v>148</v>
      </c>
      <c r="C181" s="226" t="s">
        <v>199</v>
      </c>
      <c r="D181" s="202"/>
      <c r="E181" s="396">
        <v>154.75</v>
      </c>
      <c r="F181" s="347">
        <f t="shared" si="16"/>
        <v>181</v>
      </c>
      <c r="G181" s="348">
        <v>181</v>
      </c>
      <c r="H181" s="349">
        <v>181</v>
      </c>
      <c r="I181" s="349">
        <v>181</v>
      </c>
      <c r="J181" s="349">
        <v>181</v>
      </c>
      <c r="K181" s="186"/>
    </row>
    <row r="182" spans="1:12" ht="15.75" thickBot="1" x14ac:dyDescent="0.3">
      <c r="A182" s="207" t="s">
        <v>88</v>
      </c>
      <c r="B182" s="195">
        <f t="shared" si="14"/>
        <v>149</v>
      </c>
      <c r="C182" s="226" t="s">
        <v>200</v>
      </c>
      <c r="D182" s="220"/>
      <c r="E182" s="397">
        <v>187.5</v>
      </c>
      <c r="F182" s="350">
        <f t="shared" si="16"/>
        <v>186.5</v>
      </c>
      <c r="G182" s="351">
        <v>186.5</v>
      </c>
      <c r="H182" s="352">
        <v>186.5</v>
      </c>
      <c r="I182" s="352">
        <v>186.5</v>
      </c>
      <c r="J182" s="352">
        <v>186.5</v>
      </c>
      <c r="K182" s="209"/>
    </row>
    <row r="183" spans="1:12" ht="15.75" thickBot="1" x14ac:dyDescent="0.3">
      <c r="A183" s="171" t="s">
        <v>89</v>
      </c>
      <c r="B183" s="172">
        <f t="shared" si="14"/>
        <v>150</v>
      </c>
      <c r="C183" s="227">
        <v>8020</v>
      </c>
      <c r="D183" s="176"/>
      <c r="E183" s="394">
        <f>SUM(E184:E190)</f>
        <v>106135.89999999998</v>
      </c>
      <c r="F183" s="174">
        <f t="shared" ref="F183:F206" si="17">G183+H183+I183+J183</f>
        <v>146179.74</v>
      </c>
      <c r="G183" s="339">
        <f>SUM(G184:G190)</f>
        <v>34986.699999999997</v>
      </c>
      <c r="H183" s="176">
        <f>SUM(H184:H190)</f>
        <v>35151.339999999997</v>
      </c>
      <c r="I183" s="175">
        <f>SUM(I184:I190)</f>
        <v>37271.199999999997</v>
      </c>
      <c r="J183" s="228">
        <f>SUM(J184:J190)</f>
        <v>38770.5</v>
      </c>
      <c r="K183" s="176"/>
    </row>
    <row r="184" spans="1:12" x14ac:dyDescent="0.25">
      <c r="A184" s="180" t="s">
        <v>83</v>
      </c>
      <c r="B184" s="177">
        <f t="shared" si="14"/>
        <v>151</v>
      </c>
      <c r="C184" s="225" t="s">
        <v>201</v>
      </c>
      <c r="D184" s="179"/>
      <c r="E184" s="382">
        <v>333.55</v>
      </c>
      <c r="F184" s="343">
        <f>SUM(G184:J184)</f>
        <v>674.8</v>
      </c>
      <c r="G184" s="411">
        <v>162</v>
      </c>
      <c r="H184" s="402">
        <v>162</v>
      </c>
      <c r="I184" s="398">
        <v>175.4</v>
      </c>
      <c r="J184" s="412">
        <v>175.4</v>
      </c>
      <c r="K184" s="231"/>
      <c r="L184" s="353"/>
    </row>
    <row r="185" spans="1:12" x14ac:dyDescent="0.25">
      <c r="A185" s="180" t="s">
        <v>118</v>
      </c>
      <c r="B185" s="181">
        <f t="shared" si="14"/>
        <v>152</v>
      </c>
      <c r="C185" s="225" t="s">
        <v>202</v>
      </c>
      <c r="D185" s="179"/>
      <c r="E185" s="382">
        <v>262.85000000000002</v>
      </c>
      <c r="F185" s="334">
        <f t="shared" si="17"/>
        <v>1207.44</v>
      </c>
      <c r="G185" s="411">
        <v>289.8</v>
      </c>
      <c r="H185" s="402">
        <v>289.83999999999997</v>
      </c>
      <c r="I185" s="398">
        <v>313.89999999999998</v>
      </c>
      <c r="J185" s="411">
        <v>313.89999999999998</v>
      </c>
      <c r="K185" s="179"/>
    </row>
    <row r="186" spans="1:12" x14ac:dyDescent="0.25">
      <c r="A186" s="184" t="s">
        <v>84</v>
      </c>
      <c r="B186" s="181">
        <f t="shared" si="14"/>
        <v>153</v>
      </c>
      <c r="C186" s="225" t="s">
        <v>203</v>
      </c>
      <c r="D186" s="185"/>
      <c r="E186" s="335">
        <v>46791.6</v>
      </c>
      <c r="F186" s="334">
        <f t="shared" si="17"/>
        <v>55917.5</v>
      </c>
      <c r="G186" s="413">
        <v>13365.2</v>
      </c>
      <c r="H186" s="413">
        <v>13554.3</v>
      </c>
      <c r="I186" s="413">
        <v>13876</v>
      </c>
      <c r="J186" s="413">
        <v>15122</v>
      </c>
      <c r="K186" s="185"/>
      <c r="L186" s="353"/>
    </row>
    <row r="187" spans="1:12" x14ac:dyDescent="0.25">
      <c r="A187" s="184" t="s">
        <v>85</v>
      </c>
      <c r="B187" s="181">
        <f t="shared" si="14"/>
        <v>154</v>
      </c>
      <c r="C187" s="225" t="s">
        <v>204</v>
      </c>
      <c r="D187" s="185"/>
      <c r="E187" s="335">
        <v>3610.35</v>
      </c>
      <c r="F187" s="334">
        <f t="shared" si="17"/>
        <v>4407.2000000000007</v>
      </c>
      <c r="G187" s="413">
        <v>1014.7</v>
      </c>
      <c r="H187" s="403">
        <v>1014.7</v>
      </c>
      <c r="I187" s="387">
        <v>1188.9000000000001</v>
      </c>
      <c r="J187" s="413">
        <v>1188.9000000000001</v>
      </c>
      <c r="K187" s="185"/>
      <c r="L187" s="353"/>
    </row>
    <row r="188" spans="1:12" x14ac:dyDescent="0.25">
      <c r="A188" s="184" t="s">
        <v>86</v>
      </c>
      <c r="B188" s="181">
        <f t="shared" si="14"/>
        <v>155</v>
      </c>
      <c r="C188" s="225" t="s">
        <v>205</v>
      </c>
      <c r="D188" s="185"/>
      <c r="E188" s="335">
        <v>36633.699999999997</v>
      </c>
      <c r="F188" s="334">
        <f t="shared" si="17"/>
        <v>55601.3</v>
      </c>
      <c r="G188" s="413">
        <v>13396.7</v>
      </c>
      <c r="H188" s="413">
        <v>13372.2</v>
      </c>
      <c r="I188" s="413">
        <v>14350.1</v>
      </c>
      <c r="J188" s="413">
        <v>14482.3</v>
      </c>
      <c r="K188" s="185"/>
    </row>
    <row r="189" spans="1:12" x14ac:dyDescent="0.25">
      <c r="A189" s="184" t="s">
        <v>87</v>
      </c>
      <c r="B189" s="181">
        <f t="shared" si="14"/>
        <v>156</v>
      </c>
      <c r="C189" s="226" t="s">
        <v>206</v>
      </c>
      <c r="D189" s="185"/>
      <c r="E189" s="335">
        <v>8231.9500000000007</v>
      </c>
      <c r="F189" s="334">
        <f t="shared" si="17"/>
        <v>14294.699999999999</v>
      </c>
      <c r="G189" s="413">
        <v>3417.3</v>
      </c>
      <c r="H189" s="413">
        <v>3417.3</v>
      </c>
      <c r="I189" s="413">
        <v>3648.7</v>
      </c>
      <c r="J189" s="413">
        <v>3811.4</v>
      </c>
      <c r="K189" s="185"/>
    </row>
    <row r="190" spans="1:12" ht="15.75" thickBot="1" x14ac:dyDescent="0.3">
      <c r="A190" s="207" t="s">
        <v>88</v>
      </c>
      <c r="B190" s="195">
        <f t="shared" si="14"/>
        <v>157</v>
      </c>
      <c r="C190" s="226" t="s">
        <v>207</v>
      </c>
      <c r="D190" s="190"/>
      <c r="E190" s="383">
        <v>10271.9</v>
      </c>
      <c r="F190" s="414">
        <f t="shared" si="17"/>
        <v>14076.800000000001</v>
      </c>
      <c r="G190" s="415">
        <v>3341</v>
      </c>
      <c r="H190" s="404">
        <v>3341</v>
      </c>
      <c r="I190" s="404">
        <v>3718.2</v>
      </c>
      <c r="J190" s="415">
        <v>3676.6</v>
      </c>
      <c r="K190" s="197"/>
    </row>
    <row r="191" spans="1:12" ht="26.25" thickBot="1" x14ac:dyDescent="0.3">
      <c r="A191" s="171" t="s">
        <v>791</v>
      </c>
      <c r="B191" s="172">
        <f t="shared" si="14"/>
        <v>158</v>
      </c>
      <c r="C191" s="227">
        <v>8030</v>
      </c>
      <c r="D191" s="176"/>
      <c r="E191" s="394">
        <v>10.4</v>
      </c>
      <c r="F191" s="174">
        <f t="shared" ref="F191:F198" si="18">F183/F175/12</f>
        <v>7.9696728819103697</v>
      </c>
      <c r="G191" s="175">
        <f t="shared" ref="G191:J198" si="19">G183/G175/3</f>
        <v>7.6298549776469295</v>
      </c>
      <c r="H191" s="340">
        <f t="shared" si="19"/>
        <v>7.6657594591647573</v>
      </c>
      <c r="I191" s="341">
        <f t="shared" si="19"/>
        <v>8.128055828153963</v>
      </c>
      <c r="J191" s="340">
        <f t="shared" si="19"/>
        <v>8.4550212626758263</v>
      </c>
      <c r="K191" s="175"/>
    </row>
    <row r="192" spans="1:12" x14ac:dyDescent="0.25">
      <c r="A192" s="180" t="s">
        <v>83</v>
      </c>
      <c r="B192" s="177">
        <f t="shared" si="14"/>
        <v>159</v>
      </c>
      <c r="C192" s="225" t="s">
        <v>208</v>
      </c>
      <c r="D192" s="179"/>
      <c r="E192" s="398">
        <v>27.8</v>
      </c>
      <c r="F192" s="201">
        <f t="shared" si="18"/>
        <v>56.233333333333327</v>
      </c>
      <c r="G192" s="230">
        <f t="shared" si="19"/>
        <v>54</v>
      </c>
      <c r="H192" s="231">
        <f t="shared" si="19"/>
        <v>54</v>
      </c>
      <c r="I192" s="231">
        <f t="shared" si="19"/>
        <v>58.466666666666669</v>
      </c>
      <c r="J192" s="231">
        <f t="shared" si="19"/>
        <v>58.466666666666669</v>
      </c>
      <c r="K192" s="231"/>
    </row>
    <row r="193" spans="1:11" x14ac:dyDescent="0.25">
      <c r="A193" s="180" t="s">
        <v>118</v>
      </c>
      <c r="B193" s="181">
        <f t="shared" si="14"/>
        <v>160</v>
      </c>
      <c r="C193" s="225" t="s">
        <v>209</v>
      </c>
      <c r="D193" s="179"/>
      <c r="E193" s="398">
        <v>11</v>
      </c>
      <c r="F193" s="202">
        <f t="shared" si="18"/>
        <v>25.155000000000001</v>
      </c>
      <c r="G193" s="230">
        <f t="shared" si="19"/>
        <v>24.150000000000002</v>
      </c>
      <c r="H193" s="185">
        <f t="shared" si="19"/>
        <v>24.153333333333332</v>
      </c>
      <c r="I193" s="185">
        <f t="shared" si="19"/>
        <v>26.158333333333331</v>
      </c>
      <c r="J193" s="185">
        <f t="shared" si="19"/>
        <v>26.158333333333331</v>
      </c>
      <c r="K193" s="179"/>
    </row>
    <row r="194" spans="1:11" x14ac:dyDescent="0.25">
      <c r="A194" s="184" t="s">
        <v>84</v>
      </c>
      <c r="B194" s="181">
        <f t="shared" si="14"/>
        <v>161</v>
      </c>
      <c r="C194" s="225" t="s">
        <v>210</v>
      </c>
      <c r="D194" s="185"/>
      <c r="E194" s="387">
        <v>8.1</v>
      </c>
      <c r="F194" s="202">
        <f t="shared" si="18"/>
        <v>10.129981884057971</v>
      </c>
      <c r="G194" s="233">
        <f t="shared" si="19"/>
        <v>9.6849275362318838</v>
      </c>
      <c r="H194" s="185">
        <f t="shared" si="19"/>
        <v>9.8219565217391303</v>
      </c>
      <c r="I194" s="185">
        <f t="shared" si="19"/>
        <v>10.055072463768116</v>
      </c>
      <c r="J194" s="185">
        <f t="shared" si="19"/>
        <v>10.957971014492754</v>
      </c>
      <c r="K194" s="185"/>
    </row>
    <row r="195" spans="1:11" x14ac:dyDescent="0.25">
      <c r="A195" s="184" t="s">
        <v>85</v>
      </c>
      <c r="B195" s="181">
        <f t="shared" si="14"/>
        <v>162</v>
      </c>
      <c r="C195" s="225" t="s">
        <v>211</v>
      </c>
      <c r="D195" s="185"/>
      <c r="E195" s="387">
        <v>12.4</v>
      </c>
      <c r="F195" s="202">
        <f t="shared" si="18"/>
        <v>13.000589970501478</v>
      </c>
      <c r="G195" s="233">
        <f t="shared" si="19"/>
        <v>11.972861356932155</v>
      </c>
      <c r="H195" s="185">
        <f t="shared" si="19"/>
        <v>11.972861356932155</v>
      </c>
      <c r="I195" s="185">
        <f t="shared" si="19"/>
        <v>14.028318584070798</v>
      </c>
      <c r="J195" s="185">
        <f t="shared" si="19"/>
        <v>14.028318584070798</v>
      </c>
      <c r="K195" s="185"/>
    </row>
    <row r="196" spans="1:11" x14ac:dyDescent="0.25">
      <c r="A196" s="184" t="s">
        <v>86</v>
      </c>
      <c r="B196" s="181">
        <f t="shared" si="14"/>
        <v>163</v>
      </c>
      <c r="C196" s="225" t="s">
        <v>212</v>
      </c>
      <c r="D196" s="185"/>
      <c r="E196" s="387">
        <v>4.5</v>
      </c>
      <c r="F196" s="202">
        <f t="shared" si="18"/>
        <v>6.9388868089354796</v>
      </c>
      <c r="G196" s="233">
        <f t="shared" si="19"/>
        <v>6.6874828403843756</v>
      </c>
      <c r="H196" s="185">
        <f t="shared" si="19"/>
        <v>6.6752527143391989</v>
      </c>
      <c r="I196" s="185">
        <f t="shared" si="19"/>
        <v>7.163409459628105</v>
      </c>
      <c r="J196" s="185">
        <f t="shared" si="19"/>
        <v>7.2294022213902407</v>
      </c>
      <c r="K196" s="185"/>
    </row>
    <row r="197" spans="1:11" x14ac:dyDescent="0.25">
      <c r="A197" s="184" t="s">
        <v>87</v>
      </c>
      <c r="B197" s="181">
        <f t="shared" si="14"/>
        <v>164</v>
      </c>
      <c r="C197" s="226" t="s">
        <v>213</v>
      </c>
      <c r="D197" s="185"/>
      <c r="E197" s="387">
        <v>4.4000000000000004</v>
      </c>
      <c r="F197" s="202">
        <f t="shared" si="18"/>
        <v>6.5813535911602203</v>
      </c>
      <c r="G197" s="233">
        <f t="shared" si="19"/>
        <v>6.2933701657458565</v>
      </c>
      <c r="H197" s="185">
        <f t="shared" si="19"/>
        <v>6.2933701657458565</v>
      </c>
      <c r="I197" s="185">
        <f t="shared" si="19"/>
        <v>6.7195211786372004</v>
      </c>
      <c r="J197" s="185">
        <f t="shared" si="19"/>
        <v>7.0191528545119715</v>
      </c>
      <c r="K197" s="185"/>
    </row>
    <row r="198" spans="1:11" ht="15.75" thickBot="1" x14ac:dyDescent="0.3">
      <c r="A198" s="207" t="s">
        <v>88</v>
      </c>
      <c r="B198" s="195">
        <f t="shared" si="14"/>
        <v>165</v>
      </c>
      <c r="C198" s="226" t="s">
        <v>214</v>
      </c>
      <c r="D198" s="190"/>
      <c r="E198" s="399">
        <v>4.5999999999999996</v>
      </c>
      <c r="F198" s="220">
        <f t="shared" si="18"/>
        <v>6.2899016979445941</v>
      </c>
      <c r="G198" s="342">
        <f t="shared" si="19"/>
        <v>5.9714030384271668</v>
      </c>
      <c r="H198" s="197">
        <f t="shared" si="19"/>
        <v>5.9714030384271668</v>
      </c>
      <c r="I198" s="197">
        <f t="shared" si="19"/>
        <v>6.6455764075067023</v>
      </c>
      <c r="J198" s="197">
        <f t="shared" si="19"/>
        <v>6.571224307417336</v>
      </c>
      <c r="K198" s="197"/>
    </row>
    <row r="199" spans="1:11" ht="15.75" thickBot="1" x14ac:dyDescent="0.3">
      <c r="A199" s="171" t="s">
        <v>90</v>
      </c>
      <c r="B199" s="172">
        <f t="shared" si="14"/>
        <v>166</v>
      </c>
      <c r="C199" s="227">
        <v>8040</v>
      </c>
      <c r="D199" s="176"/>
      <c r="E199" s="394"/>
      <c r="F199" s="174">
        <f t="shared" si="17"/>
        <v>0</v>
      </c>
      <c r="G199" s="228"/>
      <c r="H199" s="323"/>
      <c r="I199" s="324"/>
      <c r="J199" s="323"/>
      <c r="K199" s="175"/>
    </row>
    <row r="200" spans="1:11" x14ac:dyDescent="0.25">
      <c r="A200" s="180" t="s">
        <v>83</v>
      </c>
      <c r="B200" s="177">
        <f t="shared" si="14"/>
        <v>167</v>
      </c>
      <c r="C200" s="225" t="s">
        <v>215</v>
      </c>
      <c r="D200" s="179"/>
      <c r="E200" s="382"/>
      <c r="F200" s="201">
        <f t="shared" si="17"/>
        <v>0</v>
      </c>
      <c r="G200" s="229"/>
      <c r="H200" s="179"/>
      <c r="I200" s="230"/>
      <c r="J200" s="179"/>
      <c r="K200" s="194"/>
    </row>
    <row r="201" spans="1:11" x14ac:dyDescent="0.25">
      <c r="A201" s="184" t="s">
        <v>118</v>
      </c>
      <c r="B201" s="181">
        <f t="shared" si="14"/>
        <v>168</v>
      </c>
      <c r="C201" s="225" t="s">
        <v>216</v>
      </c>
      <c r="D201" s="185"/>
      <c r="E201" s="335"/>
      <c r="F201" s="202">
        <f t="shared" si="17"/>
        <v>0</v>
      </c>
      <c r="G201" s="232"/>
      <c r="H201" s="185"/>
      <c r="I201" s="233"/>
      <c r="J201" s="185"/>
      <c r="K201" s="186"/>
    </row>
    <row r="202" spans="1:11" x14ac:dyDescent="0.25">
      <c r="A202" s="184" t="s">
        <v>84</v>
      </c>
      <c r="B202" s="181">
        <f t="shared" si="14"/>
        <v>169</v>
      </c>
      <c r="C202" s="225" t="s">
        <v>217</v>
      </c>
      <c r="D202" s="185"/>
      <c r="E202" s="335"/>
      <c r="F202" s="202">
        <f t="shared" si="17"/>
        <v>0</v>
      </c>
      <c r="G202" s="232"/>
      <c r="H202" s="185"/>
      <c r="I202" s="233"/>
      <c r="J202" s="185"/>
      <c r="K202" s="186"/>
    </row>
    <row r="203" spans="1:11" x14ac:dyDescent="0.25">
      <c r="A203" s="184" t="s">
        <v>85</v>
      </c>
      <c r="B203" s="181">
        <f t="shared" si="14"/>
        <v>170</v>
      </c>
      <c r="C203" s="225" t="s">
        <v>218</v>
      </c>
      <c r="D203" s="185"/>
      <c r="E203" s="335"/>
      <c r="F203" s="202">
        <f t="shared" si="17"/>
        <v>0</v>
      </c>
      <c r="G203" s="232"/>
      <c r="H203" s="185"/>
      <c r="I203" s="233"/>
      <c r="J203" s="185"/>
      <c r="K203" s="186"/>
    </row>
    <row r="204" spans="1:11" x14ac:dyDescent="0.25">
      <c r="A204" s="184" t="s">
        <v>86</v>
      </c>
      <c r="B204" s="181">
        <f t="shared" si="14"/>
        <v>171</v>
      </c>
      <c r="C204" s="225" t="s">
        <v>219</v>
      </c>
      <c r="D204" s="185"/>
      <c r="E204" s="335"/>
      <c r="F204" s="202">
        <f t="shared" si="17"/>
        <v>0</v>
      </c>
      <c r="G204" s="232"/>
      <c r="H204" s="185"/>
      <c r="I204" s="233"/>
      <c r="J204" s="185"/>
      <c r="K204" s="186"/>
    </row>
    <row r="205" spans="1:11" x14ac:dyDescent="0.25">
      <c r="A205" s="184" t="s">
        <v>87</v>
      </c>
      <c r="B205" s="181">
        <f t="shared" si="14"/>
        <v>172</v>
      </c>
      <c r="C205" s="226" t="s">
        <v>220</v>
      </c>
      <c r="D205" s="185"/>
      <c r="E205" s="335"/>
      <c r="F205" s="202">
        <f t="shared" si="17"/>
        <v>0</v>
      </c>
      <c r="G205" s="232"/>
      <c r="H205" s="185"/>
      <c r="I205" s="233"/>
      <c r="J205" s="185"/>
      <c r="K205" s="186"/>
    </row>
    <row r="206" spans="1:11" ht="15.75" thickBot="1" x14ac:dyDescent="0.3">
      <c r="A206" s="234" t="s">
        <v>88</v>
      </c>
      <c r="B206" s="195">
        <f t="shared" si="14"/>
        <v>173</v>
      </c>
      <c r="C206" s="235" t="s">
        <v>221</v>
      </c>
      <c r="D206" s="197"/>
      <c r="E206" s="384"/>
      <c r="F206" s="220">
        <f t="shared" si="17"/>
        <v>0</v>
      </c>
      <c r="G206" s="236"/>
      <c r="H206" s="197"/>
      <c r="I206" s="237"/>
      <c r="J206" s="197"/>
      <c r="K206" s="196"/>
    </row>
    <row r="207" spans="1:11" x14ac:dyDescent="0.25">
      <c r="A207" s="145"/>
      <c r="B207" s="160"/>
      <c r="C207" s="238"/>
      <c r="D207" s="448"/>
      <c r="E207" s="448"/>
      <c r="F207" s="448"/>
      <c r="G207" s="239"/>
      <c r="K207" s="1"/>
    </row>
    <row r="208" spans="1:11" x14ac:dyDescent="0.25">
      <c r="B208" s="160"/>
      <c r="C208" s="144"/>
      <c r="D208" s="449"/>
      <c r="E208" s="449"/>
      <c r="F208" s="449"/>
      <c r="G208" s="240"/>
      <c r="K208" s="241"/>
    </row>
    <row r="209" spans="1:10" x14ac:dyDescent="0.25">
      <c r="A209" s="145" t="s">
        <v>254</v>
      </c>
      <c r="H209" s="418" t="s">
        <v>679</v>
      </c>
      <c r="I209" s="418"/>
      <c r="J209" s="418"/>
    </row>
    <row r="210" spans="1:10" x14ac:dyDescent="0.25">
      <c r="A210" s="374"/>
      <c r="H210" s="450" t="s">
        <v>91</v>
      </c>
      <c r="I210" s="450"/>
      <c r="J210" s="450"/>
    </row>
    <row r="211" spans="1:10" x14ac:dyDescent="0.25">
      <c r="A211" s="374"/>
    </row>
    <row r="212" spans="1:10" x14ac:dyDescent="0.25">
      <c r="A212" s="374" t="s">
        <v>256</v>
      </c>
      <c r="H212" s="418" t="s">
        <v>680</v>
      </c>
      <c r="I212" s="418"/>
      <c r="J212" s="418"/>
    </row>
    <row r="213" spans="1:10" x14ac:dyDescent="0.25">
      <c r="H213" s="419" t="s">
        <v>91</v>
      </c>
      <c r="I213" s="419"/>
      <c r="J213" s="419"/>
    </row>
  </sheetData>
  <mergeCells count="44">
    <mergeCell ref="K31:K32"/>
    <mergeCell ref="D207:F207"/>
    <mergeCell ref="H209:J209"/>
    <mergeCell ref="D208:F208"/>
    <mergeCell ref="H210:J210"/>
    <mergeCell ref="F31:F32"/>
    <mergeCell ref="G31:J31"/>
    <mergeCell ref="B25:H25"/>
    <mergeCell ref="I25:J25"/>
    <mergeCell ref="B26:H26"/>
    <mergeCell ref="B27:H27"/>
    <mergeCell ref="A29:J29"/>
    <mergeCell ref="A31:A32"/>
    <mergeCell ref="B31:B32"/>
    <mergeCell ref="C31:C32"/>
    <mergeCell ref="D31:D32"/>
    <mergeCell ref="E31:E32"/>
    <mergeCell ref="B21:H21"/>
    <mergeCell ref="I21:J21"/>
    <mergeCell ref="B22:H22"/>
    <mergeCell ref="B23:H23"/>
    <mergeCell ref="B24:H24"/>
    <mergeCell ref="I24:J24"/>
    <mergeCell ref="I18:J18"/>
    <mergeCell ref="B19:H19"/>
    <mergeCell ref="I19:J19"/>
    <mergeCell ref="B20:H20"/>
    <mergeCell ref="I20:J20"/>
    <mergeCell ref="H212:J212"/>
    <mergeCell ref="H213:J213"/>
    <mergeCell ref="B17:H17"/>
    <mergeCell ref="I17:J17"/>
    <mergeCell ref="G1:K1"/>
    <mergeCell ref="I8:J8"/>
    <mergeCell ref="I9:J9"/>
    <mergeCell ref="I10:J10"/>
    <mergeCell ref="I11:J11"/>
    <mergeCell ref="I12:J12"/>
    <mergeCell ref="I14:J14"/>
    <mergeCell ref="B15:H15"/>
    <mergeCell ref="I15:K15"/>
    <mergeCell ref="B16:H16"/>
    <mergeCell ref="I16:J16"/>
    <mergeCell ref="B18:H18"/>
  </mergeCells>
  <pageMargins left="0.7" right="0.7" top="0.75" bottom="0.75" header="0.3" footer="0.3"/>
  <pageSetup paperSize="9" scale="70" orientation="landscape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5"/>
  <sheetViews>
    <sheetView topLeftCell="A94" workbookViewId="0">
      <selection activeCell="A103" sqref="A103"/>
    </sheetView>
  </sheetViews>
  <sheetFormatPr defaultRowHeight="15" x14ac:dyDescent="0.25"/>
  <cols>
    <col min="1" max="1" width="107.140625" customWidth="1"/>
    <col min="2" max="2" width="27.5703125" customWidth="1"/>
  </cols>
  <sheetData>
    <row r="1" spans="1:2" x14ac:dyDescent="0.25">
      <c r="B1" t="s">
        <v>660</v>
      </c>
    </row>
    <row r="2" spans="1:2" ht="18.75" x14ac:dyDescent="0.3">
      <c r="A2" s="109" t="s">
        <v>48</v>
      </c>
    </row>
    <row r="3" spans="1:2" ht="15.75" thickBot="1" x14ac:dyDescent="0.3"/>
    <row r="4" spans="1:2" ht="20.25" x14ac:dyDescent="0.25">
      <c r="A4" s="110" t="s">
        <v>408</v>
      </c>
      <c r="B4" s="484" t="s">
        <v>473</v>
      </c>
    </row>
    <row r="5" spans="1:2" ht="18" x14ac:dyDescent="0.25">
      <c r="A5" s="111" t="s">
        <v>461</v>
      </c>
      <c r="B5" s="485"/>
    </row>
    <row r="6" spans="1:2" ht="18" x14ac:dyDescent="0.25">
      <c r="A6" s="111" t="s">
        <v>462</v>
      </c>
      <c r="B6" s="485"/>
    </row>
    <row r="7" spans="1:2" ht="18" x14ac:dyDescent="0.25">
      <c r="A7" s="111" t="s">
        <v>463</v>
      </c>
      <c r="B7" s="485"/>
    </row>
    <row r="8" spans="1:2" ht="18" x14ac:dyDescent="0.25">
      <c r="A8" s="111" t="s">
        <v>464</v>
      </c>
      <c r="B8" s="485"/>
    </row>
    <row r="9" spans="1:2" ht="18" x14ac:dyDescent="0.25">
      <c r="A9" s="111" t="s">
        <v>465</v>
      </c>
      <c r="B9" s="485"/>
    </row>
    <row r="10" spans="1:2" ht="18" x14ac:dyDescent="0.25">
      <c r="A10" s="111" t="s">
        <v>466</v>
      </c>
      <c r="B10" s="485"/>
    </row>
    <row r="11" spans="1:2" ht="18" x14ac:dyDescent="0.25">
      <c r="A11" s="111" t="s">
        <v>467</v>
      </c>
      <c r="B11" s="485"/>
    </row>
    <row r="12" spans="1:2" ht="18" x14ac:dyDescent="0.25">
      <c r="A12" s="111" t="s">
        <v>468</v>
      </c>
      <c r="B12" s="485"/>
    </row>
    <row r="13" spans="1:2" ht="18" x14ac:dyDescent="0.25">
      <c r="A13" s="111" t="s">
        <v>469</v>
      </c>
      <c r="B13" s="485"/>
    </row>
    <row r="14" spans="1:2" ht="18" x14ac:dyDescent="0.25">
      <c r="A14" s="111" t="s">
        <v>470</v>
      </c>
      <c r="B14" s="485"/>
    </row>
    <row r="15" spans="1:2" ht="18" x14ac:dyDescent="0.25">
      <c r="A15" s="111" t="s">
        <v>471</v>
      </c>
      <c r="B15" s="485"/>
    </row>
    <row r="16" spans="1:2" ht="18" x14ac:dyDescent="0.25">
      <c r="A16" s="111" t="s">
        <v>472</v>
      </c>
      <c r="B16" s="485"/>
    </row>
    <row r="17" spans="1:2" ht="18" x14ac:dyDescent="0.25">
      <c r="A17" s="111" t="s">
        <v>439</v>
      </c>
      <c r="B17" s="485"/>
    </row>
    <row r="18" spans="1:2" ht="18" x14ac:dyDescent="0.25">
      <c r="A18" s="111" t="s">
        <v>440</v>
      </c>
      <c r="B18" s="485"/>
    </row>
    <row r="19" spans="1:2" ht="18" x14ac:dyDescent="0.25">
      <c r="A19" s="111" t="s">
        <v>441</v>
      </c>
      <c r="B19" s="485"/>
    </row>
    <row r="20" spans="1:2" ht="18" x14ac:dyDescent="0.25">
      <c r="A20" s="111" t="s">
        <v>442</v>
      </c>
      <c r="B20" s="485"/>
    </row>
    <row r="21" spans="1:2" ht="18" x14ac:dyDescent="0.25">
      <c r="A21" s="111" t="s">
        <v>443</v>
      </c>
      <c r="B21" s="485"/>
    </row>
    <row r="22" spans="1:2" ht="18" x14ac:dyDescent="0.25">
      <c r="A22" s="111" t="s">
        <v>444</v>
      </c>
      <c r="B22" s="485"/>
    </row>
    <row r="23" spans="1:2" ht="18" x14ac:dyDescent="0.25">
      <c r="A23" s="111" t="s">
        <v>409</v>
      </c>
      <c r="B23" s="485"/>
    </row>
    <row r="24" spans="1:2" ht="18" x14ac:dyDescent="0.25">
      <c r="A24" s="111" t="s">
        <v>445</v>
      </c>
      <c r="B24" s="485"/>
    </row>
    <row r="25" spans="1:2" ht="18" x14ac:dyDescent="0.25">
      <c r="A25" s="111" t="s">
        <v>446</v>
      </c>
      <c r="B25" s="485"/>
    </row>
    <row r="26" spans="1:2" ht="18" x14ac:dyDescent="0.25">
      <c r="A26" s="111" t="s">
        <v>447</v>
      </c>
      <c r="B26" s="485"/>
    </row>
    <row r="27" spans="1:2" ht="18" x14ac:dyDescent="0.25">
      <c r="A27" s="111" t="s">
        <v>410</v>
      </c>
      <c r="B27" s="485"/>
    </row>
    <row r="28" spans="1:2" ht="18" x14ac:dyDescent="0.25">
      <c r="A28" s="111" t="s">
        <v>448</v>
      </c>
      <c r="B28" s="485"/>
    </row>
    <row r="29" spans="1:2" ht="18" x14ac:dyDescent="0.25">
      <c r="A29" s="111" t="s">
        <v>449</v>
      </c>
      <c r="B29" s="485"/>
    </row>
    <row r="30" spans="1:2" ht="18" x14ac:dyDescent="0.25">
      <c r="A30" s="111" t="s">
        <v>450</v>
      </c>
      <c r="B30" s="485"/>
    </row>
    <row r="31" spans="1:2" ht="18" x14ac:dyDescent="0.25">
      <c r="A31" s="111" t="s">
        <v>451</v>
      </c>
      <c r="B31" s="485"/>
    </row>
    <row r="32" spans="1:2" ht="18" x14ac:dyDescent="0.25">
      <c r="A32" s="111" t="s">
        <v>452</v>
      </c>
      <c r="B32" s="485"/>
    </row>
    <row r="33" spans="1:2" ht="18" x14ac:dyDescent="0.25">
      <c r="A33" s="111" t="s">
        <v>453</v>
      </c>
      <c r="B33" s="485"/>
    </row>
    <row r="34" spans="1:2" ht="23.25" thickBot="1" x14ac:dyDescent="0.3">
      <c r="A34" s="112"/>
      <c r="B34" s="485"/>
    </row>
    <row r="35" spans="1:2" x14ac:dyDescent="0.25">
      <c r="A35" s="486" t="s">
        <v>411</v>
      </c>
      <c r="B35" s="489" t="s">
        <v>460</v>
      </c>
    </row>
    <row r="36" spans="1:2" x14ac:dyDescent="0.25">
      <c r="A36" s="487"/>
      <c r="B36" s="490"/>
    </row>
    <row r="37" spans="1:2" x14ac:dyDescent="0.25">
      <c r="A37" s="487"/>
      <c r="B37" s="490"/>
    </row>
    <row r="38" spans="1:2" ht="15.75" thickBot="1" x14ac:dyDescent="0.3">
      <c r="A38" s="488"/>
      <c r="B38" s="491"/>
    </row>
    <row r="39" spans="1:2" ht="22.5" x14ac:dyDescent="0.25">
      <c r="A39" s="113"/>
      <c r="B39" s="114"/>
    </row>
    <row r="40" spans="1:2" ht="23.25" thickBot="1" x14ac:dyDescent="0.3">
      <c r="A40" s="115" t="s">
        <v>412</v>
      </c>
      <c r="B40" s="114"/>
    </row>
    <row r="41" spans="1:2" ht="22.5" x14ac:dyDescent="0.25">
      <c r="A41" s="116" t="s">
        <v>413</v>
      </c>
      <c r="B41" s="114"/>
    </row>
    <row r="42" spans="1:2" ht="22.5" x14ac:dyDescent="0.25">
      <c r="A42" s="117" t="s">
        <v>414</v>
      </c>
      <c r="B42" s="114"/>
    </row>
    <row r="43" spans="1:2" ht="22.5" x14ac:dyDescent="0.25">
      <c r="A43" s="117" t="s">
        <v>415</v>
      </c>
      <c r="B43" s="114"/>
    </row>
    <row r="44" spans="1:2" ht="22.5" x14ac:dyDescent="0.25">
      <c r="A44" s="117" t="s">
        <v>416</v>
      </c>
      <c r="B44" s="114"/>
    </row>
    <row r="45" spans="1:2" ht="22.5" x14ac:dyDescent="0.25">
      <c r="A45" s="117" t="s">
        <v>417</v>
      </c>
      <c r="B45" s="114"/>
    </row>
    <row r="46" spans="1:2" ht="22.5" x14ac:dyDescent="0.25">
      <c r="A46" s="117" t="s">
        <v>418</v>
      </c>
      <c r="B46" s="114" t="s">
        <v>474</v>
      </c>
    </row>
    <row r="47" spans="1:2" ht="18" x14ac:dyDescent="0.25">
      <c r="A47" s="117" t="s">
        <v>419</v>
      </c>
      <c r="B47" s="118"/>
    </row>
    <row r="48" spans="1:2" ht="18" x14ac:dyDescent="0.25">
      <c r="A48" s="117" t="s">
        <v>420</v>
      </c>
      <c r="B48" s="118"/>
    </row>
    <row r="49" spans="1:2" ht="18" x14ac:dyDescent="0.25">
      <c r="A49" s="117" t="s">
        <v>421</v>
      </c>
      <c r="B49" s="118"/>
    </row>
    <row r="50" spans="1:2" ht="18" x14ac:dyDescent="0.25">
      <c r="A50" s="117" t="s">
        <v>422</v>
      </c>
      <c r="B50" s="118"/>
    </row>
    <row r="51" spans="1:2" ht="18" x14ac:dyDescent="0.25">
      <c r="A51" s="117" t="s">
        <v>423</v>
      </c>
      <c r="B51" s="118"/>
    </row>
    <row r="52" spans="1:2" ht="18" x14ac:dyDescent="0.25">
      <c r="A52" s="117" t="s">
        <v>424</v>
      </c>
      <c r="B52" s="118"/>
    </row>
    <row r="53" spans="1:2" ht="18" x14ac:dyDescent="0.25">
      <c r="A53" s="117" t="s">
        <v>425</v>
      </c>
      <c r="B53" s="118"/>
    </row>
    <row r="54" spans="1:2" ht="18" x14ac:dyDescent="0.25">
      <c r="A54" s="117" t="s">
        <v>426</v>
      </c>
      <c r="B54" s="118"/>
    </row>
    <row r="55" spans="1:2" ht="18" x14ac:dyDescent="0.25">
      <c r="A55" s="117" t="s">
        <v>427</v>
      </c>
      <c r="B55" s="118"/>
    </row>
    <row r="56" spans="1:2" ht="18" x14ac:dyDescent="0.25">
      <c r="A56" s="117" t="s">
        <v>428</v>
      </c>
      <c r="B56" s="118"/>
    </row>
    <row r="57" spans="1:2" ht="18" x14ac:dyDescent="0.25">
      <c r="A57" s="117" t="s">
        <v>429</v>
      </c>
      <c r="B57" s="118"/>
    </row>
    <row r="58" spans="1:2" ht="18" x14ac:dyDescent="0.25">
      <c r="A58" s="117" t="s">
        <v>430</v>
      </c>
      <c r="B58" s="118"/>
    </row>
    <row r="59" spans="1:2" ht="16.5" customHeight="1" x14ac:dyDescent="0.25">
      <c r="A59" s="117" t="s">
        <v>431</v>
      </c>
      <c r="B59" s="118"/>
    </row>
    <row r="60" spans="1:2" ht="6" hidden="1" customHeight="1" x14ac:dyDescent="0.25">
      <c r="A60" s="117"/>
      <c r="B60" s="118"/>
    </row>
    <row r="61" spans="1:2" ht="18" x14ac:dyDescent="0.25">
      <c r="A61" s="117" t="s">
        <v>432</v>
      </c>
      <c r="B61" s="118"/>
    </row>
    <row r="62" spans="1:2" ht="18" x14ac:dyDescent="0.25">
      <c r="A62" s="117" t="s">
        <v>433</v>
      </c>
      <c r="B62" s="118"/>
    </row>
    <row r="63" spans="1:2" ht="18.75" thickBot="1" x14ac:dyDescent="0.3">
      <c r="A63" s="119" t="s">
        <v>434</v>
      </c>
      <c r="B63" s="120"/>
    </row>
    <row r="64" spans="1:2" ht="22.5" x14ac:dyDescent="0.25">
      <c r="A64" s="121" t="s">
        <v>435</v>
      </c>
      <c r="B64" s="114"/>
    </row>
    <row r="65" spans="1:2" ht="36" x14ac:dyDescent="0.25">
      <c r="A65" s="122" t="s">
        <v>454</v>
      </c>
      <c r="B65" s="114"/>
    </row>
    <row r="66" spans="1:2" ht="14.25" customHeight="1" x14ac:dyDescent="0.25">
      <c r="A66" s="122"/>
      <c r="B66" s="114"/>
    </row>
    <row r="67" spans="1:2" ht="36" x14ac:dyDescent="0.25">
      <c r="A67" s="122" t="s">
        <v>455</v>
      </c>
      <c r="B67" s="114"/>
    </row>
    <row r="68" spans="1:2" ht="8.25" customHeight="1" x14ac:dyDescent="0.25">
      <c r="A68" s="122"/>
      <c r="B68" s="114"/>
    </row>
    <row r="69" spans="1:2" ht="22.5" hidden="1" x14ac:dyDescent="0.25">
      <c r="A69" s="122"/>
      <c r="B69" s="114"/>
    </row>
    <row r="70" spans="1:2" ht="22.5" hidden="1" x14ac:dyDescent="0.25">
      <c r="A70" s="122"/>
      <c r="B70" s="114"/>
    </row>
    <row r="71" spans="1:2" ht="36" x14ac:dyDescent="0.25">
      <c r="A71" s="122" t="s">
        <v>456</v>
      </c>
      <c r="B71" s="123" t="s">
        <v>459</v>
      </c>
    </row>
    <row r="72" spans="1:2" ht="4.5" customHeight="1" x14ac:dyDescent="0.25">
      <c r="A72" s="122"/>
      <c r="B72" s="123"/>
    </row>
    <row r="73" spans="1:2" ht="42" customHeight="1" x14ac:dyDescent="0.25">
      <c r="A73" s="242" t="s">
        <v>457</v>
      </c>
      <c r="B73" s="118"/>
    </row>
    <row r="74" spans="1:2" ht="18" hidden="1" x14ac:dyDescent="0.25">
      <c r="A74" s="122"/>
      <c r="B74" s="118"/>
    </row>
    <row r="75" spans="1:2" ht="18" hidden="1" x14ac:dyDescent="0.25">
      <c r="A75" s="122"/>
      <c r="B75" s="118"/>
    </row>
    <row r="76" spans="1:2" ht="18" hidden="1" x14ac:dyDescent="0.25">
      <c r="A76" s="122"/>
      <c r="B76" s="118"/>
    </row>
    <row r="77" spans="1:2" ht="18" hidden="1" x14ac:dyDescent="0.25">
      <c r="A77" s="122"/>
      <c r="B77" s="118"/>
    </row>
    <row r="78" spans="1:2" ht="18" hidden="1" x14ac:dyDescent="0.25">
      <c r="A78" s="122"/>
      <c r="B78" s="118"/>
    </row>
    <row r="79" spans="1:2" ht="18" hidden="1" x14ac:dyDescent="0.25">
      <c r="A79" s="122"/>
      <c r="B79" s="118"/>
    </row>
    <row r="80" spans="1:2" ht="18" hidden="1" x14ac:dyDescent="0.25">
      <c r="A80" s="122"/>
      <c r="B80" s="118"/>
    </row>
    <row r="81" spans="1:2" ht="18" hidden="1" x14ac:dyDescent="0.25">
      <c r="A81" s="122"/>
      <c r="B81" s="118"/>
    </row>
    <row r="82" spans="1:2" ht="18" hidden="1" x14ac:dyDescent="0.25">
      <c r="A82" s="122"/>
      <c r="B82" s="118"/>
    </row>
    <row r="83" spans="1:2" ht="18" hidden="1" x14ac:dyDescent="0.25">
      <c r="A83" s="122"/>
      <c r="B83" s="118"/>
    </row>
    <row r="84" spans="1:2" ht="18" hidden="1" x14ac:dyDescent="0.25">
      <c r="A84" s="122"/>
      <c r="B84" s="118"/>
    </row>
    <row r="85" spans="1:2" ht="54.75" thickBot="1" x14ac:dyDescent="0.3">
      <c r="A85" s="124" t="s">
        <v>458</v>
      </c>
      <c r="B85" s="118"/>
    </row>
    <row r="86" spans="1:2" ht="18" x14ac:dyDescent="0.25">
      <c r="A86" s="275" t="s">
        <v>436</v>
      </c>
      <c r="B86" s="492" t="s">
        <v>517</v>
      </c>
    </row>
    <row r="87" spans="1:2" ht="18" x14ac:dyDescent="0.25">
      <c r="A87" s="276" t="s">
        <v>515</v>
      </c>
      <c r="B87" s="493"/>
    </row>
    <row r="88" spans="1:2" ht="18" x14ac:dyDescent="0.25">
      <c r="A88" s="276" t="s">
        <v>516</v>
      </c>
      <c r="B88" s="493"/>
    </row>
    <row r="89" spans="1:2" ht="18" x14ac:dyDescent="0.25">
      <c r="A89" s="276" t="s">
        <v>510</v>
      </c>
      <c r="B89" s="493"/>
    </row>
    <row r="90" spans="1:2" ht="18" x14ac:dyDescent="0.25">
      <c r="A90" s="276" t="s">
        <v>514</v>
      </c>
      <c r="B90" s="493"/>
    </row>
    <row r="91" spans="1:2" ht="18" x14ac:dyDescent="0.25">
      <c r="A91" s="276" t="s">
        <v>513</v>
      </c>
      <c r="B91" s="493"/>
    </row>
    <row r="92" spans="1:2" ht="18" customHeight="1" x14ac:dyDescent="0.25">
      <c r="A92" s="276" t="s">
        <v>512</v>
      </c>
      <c r="B92" s="493"/>
    </row>
    <row r="93" spans="1:2" ht="18" customHeight="1" thickBot="1" x14ac:dyDescent="0.3">
      <c r="A93" s="260" t="s">
        <v>511</v>
      </c>
      <c r="B93" s="494"/>
    </row>
    <row r="94" spans="1:2" ht="21" thickBot="1" x14ac:dyDescent="0.3">
      <c r="A94" s="243" t="s">
        <v>685</v>
      </c>
      <c r="B94" s="244" t="s">
        <v>656</v>
      </c>
    </row>
    <row r="95" spans="1:2" ht="18" x14ac:dyDescent="0.25">
      <c r="A95" s="125"/>
      <c r="B95" s="126" t="s">
        <v>657</v>
      </c>
    </row>
    <row r="96" spans="1:2" ht="15.75" thickBot="1" x14ac:dyDescent="0.3">
      <c r="A96" s="127"/>
      <c r="B96" s="127"/>
    </row>
    <row r="97" spans="1:2" ht="20.25" x14ac:dyDescent="0.25">
      <c r="A97" s="128" t="s">
        <v>658</v>
      </c>
      <c r="B97" s="129"/>
    </row>
    <row r="98" spans="1:2" ht="20.25" x14ac:dyDescent="0.25">
      <c r="A98" s="130" t="s">
        <v>719</v>
      </c>
      <c r="B98" s="131"/>
    </row>
    <row r="99" spans="1:2" x14ac:dyDescent="0.25">
      <c r="A99" s="132"/>
      <c r="B99" s="133"/>
    </row>
    <row r="100" spans="1:2" ht="18" x14ac:dyDescent="0.25">
      <c r="A100" s="134" t="s">
        <v>720</v>
      </c>
      <c r="B100" s="135"/>
    </row>
    <row r="101" spans="1:2" ht="18" x14ac:dyDescent="0.25">
      <c r="A101" s="134" t="s">
        <v>659</v>
      </c>
      <c r="B101" s="135"/>
    </row>
    <row r="102" spans="1:2" ht="18" x14ac:dyDescent="0.25">
      <c r="A102" s="134" t="s">
        <v>721</v>
      </c>
      <c r="B102" s="135"/>
    </row>
    <row r="103" spans="1:2" ht="18.75" thickBot="1" x14ac:dyDescent="0.3">
      <c r="A103" s="136" t="s">
        <v>659</v>
      </c>
      <c r="B103" s="137"/>
    </row>
    <row r="104" spans="1:2" ht="30.75" customHeight="1" x14ac:dyDescent="0.25">
      <c r="A104" s="138" t="s">
        <v>254</v>
      </c>
      <c r="B104" s="139" t="s">
        <v>255</v>
      </c>
    </row>
    <row r="105" spans="1:2" ht="37.5" customHeight="1" x14ac:dyDescent="0.25">
      <c r="A105" s="140" t="s">
        <v>256</v>
      </c>
      <c r="B105" s="139" t="s">
        <v>257</v>
      </c>
    </row>
  </sheetData>
  <mergeCells count="4">
    <mergeCell ref="B4:B34"/>
    <mergeCell ref="A35:A38"/>
    <mergeCell ref="B35:B38"/>
    <mergeCell ref="B86:B93"/>
  </mergeCells>
  <pageMargins left="0.7" right="0.7" top="0.75" bottom="0.75" header="0.3" footer="0.3"/>
  <pageSetup paperSize="9" scale="9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A3" sqref="A3:A4"/>
    </sheetView>
  </sheetViews>
  <sheetFormatPr defaultRowHeight="15" x14ac:dyDescent="0.25"/>
  <cols>
    <col min="2" max="2" width="55.5703125" customWidth="1"/>
    <col min="3" max="3" width="28.42578125" customWidth="1"/>
    <col min="4" max="4" width="24.85546875" customWidth="1"/>
    <col min="5" max="5" width="21.28515625" customWidth="1"/>
    <col min="6" max="6" width="24.140625" customWidth="1"/>
    <col min="7" max="7" width="22.7109375" customWidth="1"/>
  </cols>
  <sheetData>
    <row r="1" spans="1:7" x14ac:dyDescent="0.25">
      <c r="A1" s="495" t="s">
        <v>717</v>
      </c>
      <c r="B1" s="495"/>
      <c r="C1" s="495"/>
      <c r="D1" s="495"/>
      <c r="E1" s="495"/>
      <c r="F1" s="495"/>
      <c r="G1" s="495"/>
    </row>
    <row r="2" spans="1:7" ht="15.75" thickBot="1" x14ac:dyDescent="0.3">
      <c r="A2" s="496"/>
      <c r="B2" s="496"/>
      <c r="C2" s="496"/>
      <c r="D2" s="496"/>
      <c r="E2" s="496"/>
      <c r="F2" s="496"/>
      <c r="G2" s="496"/>
    </row>
    <row r="3" spans="1:7" ht="19.5" x14ac:dyDescent="0.25">
      <c r="A3" s="499" t="s">
        <v>520</v>
      </c>
      <c r="B3" s="499" t="s">
        <v>521</v>
      </c>
      <c r="C3" s="499" t="s">
        <v>522</v>
      </c>
      <c r="D3" s="497" t="s">
        <v>523</v>
      </c>
      <c r="E3" s="499" t="s">
        <v>524</v>
      </c>
      <c r="F3" s="263" t="s">
        <v>525</v>
      </c>
      <c r="G3" s="499" t="s">
        <v>527</v>
      </c>
    </row>
    <row r="4" spans="1:7" ht="20.25" thickBot="1" x14ac:dyDescent="0.3">
      <c r="A4" s="500"/>
      <c r="B4" s="500"/>
      <c r="C4" s="500"/>
      <c r="D4" s="498"/>
      <c r="E4" s="500"/>
      <c r="F4" s="264" t="s">
        <v>526</v>
      </c>
      <c r="G4" s="500"/>
    </row>
    <row r="5" spans="1:7" ht="39.75" thickBot="1" x14ac:dyDescent="0.3">
      <c r="A5" s="265" t="s">
        <v>528</v>
      </c>
      <c r="B5" s="264" t="s">
        <v>529</v>
      </c>
      <c r="C5" s="264" t="s">
        <v>530</v>
      </c>
      <c r="D5" s="264" t="s">
        <v>531</v>
      </c>
      <c r="E5" s="264" t="s">
        <v>532</v>
      </c>
      <c r="F5" s="266">
        <v>64</v>
      </c>
      <c r="G5" s="266">
        <v>1856</v>
      </c>
    </row>
    <row r="6" spans="1:7" x14ac:dyDescent="0.25">
      <c r="A6" s="497" t="s">
        <v>533</v>
      </c>
      <c r="B6" s="499" t="s">
        <v>534</v>
      </c>
      <c r="C6" s="499" t="s">
        <v>535</v>
      </c>
      <c r="D6" s="501" t="s">
        <v>536</v>
      </c>
      <c r="E6" s="497" t="s">
        <v>537</v>
      </c>
      <c r="F6" s="497">
        <v>16</v>
      </c>
      <c r="G6" s="497">
        <v>595.04</v>
      </c>
    </row>
    <row r="7" spans="1:7" ht="15.75" thickBot="1" x14ac:dyDescent="0.3">
      <c r="A7" s="498"/>
      <c r="B7" s="500"/>
      <c r="C7" s="500"/>
      <c r="D7" s="502"/>
      <c r="E7" s="498"/>
      <c r="F7" s="498"/>
      <c r="G7" s="498"/>
    </row>
    <row r="8" spans="1:7" ht="20.25" thickBot="1" x14ac:dyDescent="0.3">
      <c r="A8" s="265" t="s">
        <v>538</v>
      </c>
      <c r="B8" s="264" t="s">
        <v>539</v>
      </c>
      <c r="C8" s="264" t="s">
        <v>535</v>
      </c>
      <c r="D8" s="264" t="s">
        <v>540</v>
      </c>
      <c r="E8" s="264" t="s">
        <v>541</v>
      </c>
      <c r="F8" s="266">
        <v>185</v>
      </c>
      <c r="G8" s="266">
        <v>623.45000000000005</v>
      </c>
    </row>
    <row r="9" spans="1:7" ht="39.75" thickBot="1" x14ac:dyDescent="0.3">
      <c r="A9" s="265" t="s">
        <v>542</v>
      </c>
      <c r="B9" s="264" t="s">
        <v>543</v>
      </c>
      <c r="C9" s="264" t="s">
        <v>530</v>
      </c>
      <c r="D9" s="264" t="s">
        <v>544</v>
      </c>
      <c r="E9" s="264" t="s">
        <v>545</v>
      </c>
      <c r="F9" s="266">
        <v>60</v>
      </c>
      <c r="G9" s="266">
        <v>1782.6</v>
      </c>
    </row>
    <row r="10" spans="1:7" ht="20.25" thickBot="1" x14ac:dyDescent="0.3">
      <c r="A10" s="265" t="s">
        <v>546</v>
      </c>
      <c r="B10" s="264" t="s">
        <v>547</v>
      </c>
      <c r="C10" s="264" t="s">
        <v>530</v>
      </c>
      <c r="D10" s="264" t="s">
        <v>548</v>
      </c>
      <c r="E10" s="264" t="s">
        <v>549</v>
      </c>
      <c r="F10" s="266">
        <v>16</v>
      </c>
      <c r="G10" s="266">
        <v>831.52</v>
      </c>
    </row>
    <row r="11" spans="1:7" ht="20.25" thickBot="1" x14ac:dyDescent="0.3">
      <c r="A11" s="265" t="s">
        <v>550</v>
      </c>
      <c r="B11" s="264" t="s">
        <v>551</v>
      </c>
      <c r="C11" s="264" t="s">
        <v>530</v>
      </c>
      <c r="D11" s="264" t="s">
        <v>552</v>
      </c>
      <c r="E11" s="264" t="s">
        <v>553</v>
      </c>
      <c r="F11" s="266">
        <v>15</v>
      </c>
      <c r="G11" s="266">
        <v>253.65</v>
      </c>
    </row>
    <row r="12" spans="1:7" ht="78.75" thickBot="1" x14ac:dyDescent="0.3">
      <c r="A12" s="265" t="s">
        <v>554</v>
      </c>
      <c r="B12" s="264" t="s">
        <v>555</v>
      </c>
      <c r="C12" s="264" t="s">
        <v>530</v>
      </c>
      <c r="D12" s="264" t="s">
        <v>556</v>
      </c>
      <c r="E12" s="264" t="s">
        <v>557</v>
      </c>
      <c r="F12" s="266">
        <v>28</v>
      </c>
      <c r="G12" s="266">
        <v>393.12</v>
      </c>
    </row>
    <row r="13" spans="1:7" ht="20.25" thickBot="1" x14ac:dyDescent="0.3">
      <c r="A13" s="265" t="s">
        <v>558</v>
      </c>
      <c r="B13" s="264" t="s">
        <v>559</v>
      </c>
      <c r="C13" s="264" t="s">
        <v>530</v>
      </c>
      <c r="D13" s="264" t="s">
        <v>560</v>
      </c>
      <c r="E13" s="264" t="s">
        <v>561</v>
      </c>
      <c r="F13" s="266">
        <v>250</v>
      </c>
      <c r="G13" s="266">
        <v>677.5</v>
      </c>
    </row>
    <row r="14" spans="1:7" ht="39.75" thickBot="1" x14ac:dyDescent="0.3">
      <c r="A14" s="265" t="s">
        <v>562</v>
      </c>
      <c r="B14" s="264" t="s">
        <v>563</v>
      </c>
      <c r="C14" s="264" t="s">
        <v>530</v>
      </c>
      <c r="D14" s="264" t="s">
        <v>564</v>
      </c>
      <c r="E14" s="264" t="s">
        <v>565</v>
      </c>
      <c r="F14" s="266">
        <v>27</v>
      </c>
      <c r="G14" s="266">
        <v>7357.23</v>
      </c>
    </row>
    <row r="15" spans="1:7" ht="39.75" thickBot="1" x14ac:dyDescent="0.3">
      <c r="A15" s="265" t="s">
        <v>566</v>
      </c>
      <c r="B15" s="264" t="s">
        <v>567</v>
      </c>
      <c r="C15" s="264" t="s">
        <v>530</v>
      </c>
      <c r="D15" s="264" t="s">
        <v>568</v>
      </c>
      <c r="E15" s="264" t="s">
        <v>569</v>
      </c>
      <c r="F15" s="266">
        <v>94</v>
      </c>
      <c r="G15" s="266">
        <v>1117.6600000000001</v>
      </c>
    </row>
    <row r="16" spans="1:7" ht="39.75" thickBot="1" x14ac:dyDescent="0.3">
      <c r="A16" s="265" t="s">
        <v>570</v>
      </c>
      <c r="B16" s="264" t="s">
        <v>571</v>
      </c>
      <c r="C16" s="264" t="s">
        <v>530</v>
      </c>
      <c r="D16" s="264" t="s">
        <v>572</v>
      </c>
      <c r="E16" s="264" t="s">
        <v>573</v>
      </c>
      <c r="F16" s="266">
        <v>52</v>
      </c>
      <c r="G16" s="266">
        <v>518.96</v>
      </c>
    </row>
    <row r="17" spans="1:7" ht="39.75" thickBot="1" x14ac:dyDescent="0.3">
      <c r="A17" s="265" t="s">
        <v>574</v>
      </c>
      <c r="B17" s="264" t="s">
        <v>575</v>
      </c>
      <c r="C17" s="264" t="s">
        <v>530</v>
      </c>
      <c r="D17" s="264" t="s">
        <v>576</v>
      </c>
      <c r="E17" s="264" t="s">
        <v>577</v>
      </c>
      <c r="F17" s="266">
        <v>25</v>
      </c>
      <c r="G17" s="266">
        <v>692.5</v>
      </c>
    </row>
    <row r="18" spans="1:7" ht="39.75" thickBot="1" x14ac:dyDescent="0.3">
      <c r="A18" s="265" t="s">
        <v>578</v>
      </c>
      <c r="B18" s="264" t="s">
        <v>579</v>
      </c>
      <c r="C18" s="264" t="s">
        <v>535</v>
      </c>
      <c r="D18" s="266" t="s">
        <v>580</v>
      </c>
      <c r="E18" s="264" t="s">
        <v>581</v>
      </c>
      <c r="F18" s="266">
        <v>135</v>
      </c>
      <c r="G18" s="266">
        <v>2592</v>
      </c>
    </row>
    <row r="19" spans="1:7" ht="39.75" thickBot="1" x14ac:dyDescent="0.3">
      <c r="A19" s="265" t="s">
        <v>582</v>
      </c>
      <c r="B19" s="264" t="s">
        <v>583</v>
      </c>
      <c r="C19" s="264" t="s">
        <v>535</v>
      </c>
      <c r="D19" s="264" t="s">
        <v>580</v>
      </c>
      <c r="E19" s="264" t="s">
        <v>581</v>
      </c>
      <c r="F19" s="266">
        <v>125</v>
      </c>
      <c r="G19" s="266">
        <v>1187.5</v>
      </c>
    </row>
    <row r="20" spans="1:7" ht="39.75" thickBot="1" x14ac:dyDescent="0.3">
      <c r="A20" s="265" t="s">
        <v>584</v>
      </c>
      <c r="B20" s="264" t="s">
        <v>585</v>
      </c>
      <c r="C20" s="264" t="s">
        <v>530</v>
      </c>
      <c r="D20" s="264" t="s">
        <v>586</v>
      </c>
      <c r="E20" s="264" t="s">
        <v>587</v>
      </c>
      <c r="F20" s="266">
        <v>57</v>
      </c>
      <c r="G20" s="266">
        <v>2109</v>
      </c>
    </row>
    <row r="21" spans="1:7" ht="39.75" thickBot="1" x14ac:dyDescent="0.3">
      <c r="A21" s="265" t="s">
        <v>588</v>
      </c>
      <c r="B21" s="264" t="s">
        <v>589</v>
      </c>
      <c r="C21" s="264" t="s">
        <v>530</v>
      </c>
      <c r="D21" s="264" t="s">
        <v>590</v>
      </c>
      <c r="E21" s="264" t="s">
        <v>591</v>
      </c>
      <c r="F21" s="266">
        <v>100</v>
      </c>
      <c r="G21" s="266">
        <v>1310</v>
      </c>
    </row>
    <row r="22" spans="1:7" ht="39.75" thickBot="1" x14ac:dyDescent="0.3">
      <c r="A22" s="265" t="s">
        <v>592</v>
      </c>
      <c r="B22" s="264" t="s">
        <v>593</v>
      </c>
      <c r="C22" s="264" t="s">
        <v>530</v>
      </c>
      <c r="D22" s="264" t="s">
        <v>594</v>
      </c>
      <c r="E22" s="264" t="s">
        <v>595</v>
      </c>
      <c r="F22" s="266">
        <v>220</v>
      </c>
      <c r="G22" s="266">
        <v>4162.3999999999996</v>
      </c>
    </row>
    <row r="23" spans="1:7" ht="39.75" thickBot="1" x14ac:dyDescent="0.3">
      <c r="A23" s="265" t="s">
        <v>596</v>
      </c>
      <c r="B23" s="264" t="s">
        <v>597</v>
      </c>
      <c r="C23" s="264" t="s">
        <v>530</v>
      </c>
      <c r="D23" s="264" t="s">
        <v>598</v>
      </c>
      <c r="E23" s="264" t="s">
        <v>599</v>
      </c>
      <c r="F23" s="266">
        <v>20</v>
      </c>
      <c r="G23" s="266">
        <v>588</v>
      </c>
    </row>
    <row r="24" spans="1:7" ht="39.75" thickBot="1" x14ac:dyDescent="0.3">
      <c r="A24" s="265" t="s">
        <v>600</v>
      </c>
      <c r="B24" s="264" t="s">
        <v>601</v>
      </c>
      <c r="C24" s="264" t="s">
        <v>535</v>
      </c>
      <c r="D24" s="264" t="s">
        <v>602</v>
      </c>
      <c r="E24" s="264" t="s">
        <v>603</v>
      </c>
      <c r="F24" s="266">
        <v>225</v>
      </c>
      <c r="G24" s="266">
        <v>2871</v>
      </c>
    </row>
    <row r="25" spans="1:7" ht="39.75" thickBot="1" x14ac:dyDescent="0.3">
      <c r="A25" s="265" t="s">
        <v>604</v>
      </c>
      <c r="B25" s="264" t="s">
        <v>605</v>
      </c>
      <c r="C25" s="264" t="s">
        <v>530</v>
      </c>
      <c r="D25" s="264" t="s">
        <v>602</v>
      </c>
      <c r="E25" s="264" t="s">
        <v>603</v>
      </c>
      <c r="F25" s="266">
        <v>85</v>
      </c>
      <c r="G25" s="266">
        <v>1181.5</v>
      </c>
    </row>
    <row r="26" spans="1:7" ht="39.75" thickBot="1" x14ac:dyDescent="0.3">
      <c r="A26" s="265" t="s">
        <v>606</v>
      </c>
      <c r="B26" s="264" t="s">
        <v>607</v>
      </c>
      <c r="C26" s="264" t="s">
        <v>530</v>
      </c>
      <c r="D26" s="264" t="s">
        <v>608</v>
      </c>
      <c r="E26" s="264" t="s">
        <v>609</v>
      </c>
      <c r="F26" s="266">
        <v>15</v>
      </c>
      <c r="G26" s="266">
        <v>814.5</v>
      </c>
    </row>
    <row r="27" spans="1:7" ht="39.75" thickBot="1" x14ac:dyDescent="0.3">
      <c r="A27" s="265" t="s">
        <v>610</v>
      </c>
      <c r="B27" s="264" t="s">
        <v>611</v>
      </c>
      <c r="C27" s="264" t="s">
        <v>530</v>
      </c>
      <c r="D27" s="264" t="s">
        <v>612</v>
      </c>
      <c r="E27" s="264" t="s">
        <v>613</v>
      </c>
      <c r="F27" s="266">
        <v>23</v>
      </c>
      <c r="G27" s="266">
        <v>199.87</v>
      </c>
    </row>
    <row r="28" spans="1:7" ht="39.75" thickBot="1" x14ac:dyDescent="0.3">
      <c r="A28" s="265" t="s">
        <v>614</v>
      </c>
      <c r="B28" s="264" t="s">
        <v>615</v>
      </c>
      <c r="C28" s="264" t="s">
        <v>530</v>
      </c>
      <c r="D28" s="264" t="s">
        <v>616</v>
      </c>
      <c r="E28" s="264" t="s">
        <v>617</v>
      </c>
      <c r="F28" s="266">
        <v>150</v>
      </c>
      <c r="G28" s="266">
        <v>2205</v>
      </c>
    </row>
    <row r="29" spans="1:7" ht="39.75" thickBot="1" x14ac:dyDescent="0.3">
      <c r="A29" s="265" t="s">
        <v>618</v>
      </c>
      <c r="B29" s="264" t="s">
        <v>619</v>
      </c>
      <c r="C29" s="264" t="s">
        <v>530</v>
      </c>
      <c r="D29" s="264" t="s">
        <v>620</v>
      </c>
      <c r="E29" s="264" t="s">
        <v>621</v>
      </c>
      <c r="F29" s="266">
        <v>85</v>
      </c>
      <c r="G29" s="266">
        <v>1076.95</v>
      </c>
    </row>
    <row r="30" spans="1:7" ht="39.75" thickBot="1" x14ac:dyDescent="0.3">
      <c r="A30" s="265" t="s">
        <v>622</v>
      </c>
      <c r="B30" s="264" t="s">
        <v>623</v>
      </c>
      <c r="C30" s="264" t="s">
        <v>530</v>
      </c>
      <c r="D30" s="264" t="s">
        <v>620</v>
      </c>
      <c r="E30" s="264" t="s">
        <v>621</v>
      </c>
      <c r="F30" s="266">
        <v>114</v>
      </c>
      <c r="G30" s="266">
        <v>744.52</v>
      </c>
    </row>
    <row r="31" spans="1:7" ht="39.75" thickBot="1" x14ac:dyDescent="0.3">
      <c r="A31" s="265" t="s">
        <v>624</v>
      </c>
      <c r="B31" s="264" t="s">
        <v>625</v>
      </c>
      <c r="C31" s="264" t="s">
        <v>530</v>
      </c>
      <c r="D31" s="264" t="s">
        <v>626</v>
      </c>
      <c r="E31" s="264" t="s">
        <v>627</v>
      </c>
      <c r="F31" s="266">
        <v>10</v>
      </c>
      <c r="G31" s="266">
        <v>496</v>
      </c>
    </row>
    <row r="32" spans="1:7" ht="39.75" thickBot="1" x14ac:dyDescent="0.3">
      <c r="A32" s="265" t="s">
        <v>628</v>
      </c>
      <c r="B32" s="264" t="s">
        <v>629</v>
      </c>
      <c r="C32" s="264" t="s">
        <v>530</v>
      </c>
      <c r="D32" s="264" t="s">
        <v>630</v>
      </c>
      <c r="E32" s="264" t="s">
        <v>631</v>
      </c>
      <c r="F32" s="266">
        <v>41</v>
      </c>
      <c r="G32" s="266">
        <v>1778.58</v>
      </c>
    </row>
    <row r="33" spans="1:7" ht="39.75" thickBot="1" x14ac:dyDescent="0.3">
      <c r="A33" s="265" t="s">
        <v>632</v>
      </c>
      <c r="B33" s="264" t="s">
        <v>633</v>
      </c>
      <c r="C33" s="264" t="s">
        <v>530</v>
      </c>
      <c r="D33" s="264" t="s">
        <v>634</v>
      </c>
      <c r="E33" s="264" t="s">
        <v>635</v>
      </c>
      <c r="F33" s="266">
        <v>31</v>
      </c>
      <c r="G33" s="266">
        <v>1202.8</v>
      </c>
    </row>
    <row r="34" spans="1:7" ht="39.75" thickBot="1" x14ac:dyDescent="0.3">
      <c r="A34" s="265" t="s">
        <v>636</v>
      </c>
      <c r="B34" s="264" t="s">
        <v>637</v>
      </c>
      <c r="C34" s="264" t="s">
        <v>530</v>
      </c>
      <c r="D34" s="264" t="s">
        <v>638</v>
      </c>
      <c r="E34" s="264" t="s">
        <v>639</v>
      </c>
      <c r="F34" s="266">
        <v>55</v>
      </c>
      <c r="G34" s="266">
        <v>990</v>
      </c>
    </row>
    <row r="35" spans="1:7" ht="39.75" thickBot="1" x14ac:dyDescent="0.3">
      <c r="A35" s="265" t="s">
        <v>640</v>
      </c>
      <c r="B35" s="264" t="s">
        <v>641</v>
      </c>
      <c r="C35" s="264" t="s">
        <v>530</v>
      </c>
      <c r="D35" s="264" t="s">
        <v>638</v>
      </c>
      <c r="E35" s="264" t="s">
        <v>639</v>
      </c>
      <c r="F35" s="266">
        <v>14</v>
      </c>
      <c r="G35" s="266">
        <v>178.5</v>
      </c>
    </row>
    <row r="36" spans="1:7" ht="39.75" thickBot="1" x14ac:dyDescent="0.3">
      <c r="A36" s="265" t="s">
        <v>642</v>
      </c>
      <c r="B36" s="264" t="s">
        <v>643</v>
      </c>
      <c r="C36" s="264" t="s">
        <v>535</v>
      </c>
      <c r="D36" s="267" t="s">
        <v>644</v>
      </c>
      <c r="E36" s="264" t="s">
        <v>645</v>
      </c>
      <c r="F36" s="266">
        <v>1010</v>
      </c>
      <c r="G36" s="266">
        <v>15655</v>
      </c>
    </row>
    <row r="37" spans="1:7" ht="39.75" thickBot="1" x14ac:dyDescent="0.3">
      <c r="A37" s="265" t="s">
        <v>646</v>
      </c>
      <c r="B37" s="264" t="s">
        <v>647</v>
      </c>
      <c r="C37" s="264" t="s">
        <v>530</v>
      </c>
      <c r="D37" s="268" t="s">
        <v>648</v>
      </c>
      <c r="E37" s="264" t="s">
        <v>649</v>
      </c>
      <c r="F37" s="266">
        <v>16</v>
      </c>
      <c r="G37" s="266">
        <v>1694.72</v>
      </c>
    </row>
    <row r="38" spans="1:7" ht="39.75" thickBot="1" x14ac:dyDescent="0.3">
      <c r="A38" s="265" t="s">
        <v>650</v>
      </c>
      <c r="B38" s="264" t="s">
        <v>651</v>
      </c>
      <c r="C38" s="264" t="s">
        <v>530</v>
      </c>
      <c r="D38" s="268" t="s">
        <v>652</v>
      </c>
      <c r="E38" s="264" t="s">
        <v>653</v>
      </c>
      <c r="F38" s="266">
        <v>9</v>
      </c>
      <c r="G38" s="266">
        <v>183.6</v>
      </c>
    </row>
    <row r="39" spans="1:7" ht="19.5" x14ac:dyDescent="0.35">
      <c r="A39" s="269" t="s">
        <v>655</v>
      </c>
    </row>
    <row r="40" spans="1:7" ht="15.75" x14ac:dyDescent="0.25">
      <c r="A40" s="261"/>
      <c r="B40" s="262"/>
      <c r="C40" s="254"/>
      <c r="D40" s="254"/>
      <c r="E40" s="254"/>
      <c r="F40" s="254"/>
      <c r="G40" s="254"/>
    </row>
    <row r="41" spans="1:7" ht="15.75" x14ac:dyDescent="0.25">
      <c r="A41" s="261"/>
      <c r="B41" s="262"/>
      <c r="C41" s="254"/>
      <c r="D41" s="254"/>
      <c r="E41" s="254"/>
      <c r="G41" s="254"/>
    </row>
    <row r="42" spans="1:7" x14ac:dyDescent="0.25">
      <c r="B42" s="262" t="s">
        <v>254</v>
      </c>
      <c r="C42" s="254"/>
      <c r="D42" s="254"/>
      <c r="E42" s="254"/>
      <c r="F42" s="254" t="s">
        <v>255</v>
      </c>
      <c r="G42" s="254"/>
    </row>
    <row r="43" spans="1:7" ht="15.75" x14ac:dyDescent="0.25">
      <c r="A43" s="261"/>
      <c r="B43" s="262"/>
      <c r="C43" s="254"/>
      <c r="D43" s="254"/>
      <c r="E43" s="254"/>
      <c r="F43" s="254"/>
      <c r="G43" s="254"/>
    </row>
    <row r="44" spans="1:7" ht="15.75" x14ac:dyDescent="0.25">
      <c r="A44" s="261"/>
      <c r="B44" s="262" t="s">
        <v>256</v>
      </c>
      <c r="C44" s="254"/>
      <c r="D44" s="254"/>
      <c r="E44" s="254"/>
      <c r="F44" s="254" t="s">
        <v>257</v>
      </c>
      <c r="G44" s="254"/>
    </row>
    <row r="45" spans="1:7" ht="15.75" x14ac:dyDescent="0.25">
      <c r="A45" s="261"/>
      <c r="B45" s="262"/>
      <c r="C45" s="254"/>
      <c r="D45" s="254"/>
      <c r="E45" s="254"/>
      <c r="F45" s="254"/>
      <c r="G45" s="254"/>
    </row>
    <row r="46" spans="1:7" ht="15.75" x14ac:dyDescent="0.25">
      <c r="A46" s="261"/>
      <c r="B46" s="262"/>
      <c r="C46" s="254"/>
      <c r="D46" s="254"/>
      <c r="E46" s="254"/>
      <c r="F46" s="254"/>
      <c r="G46" s="254"/>
    </row>
    <row r="47" spans="1:7" ht="15.75" x14ac:dyDescent="0.25">
      <c r="A47" s="261"/>
      <c r="B47" s="262"/>
      <c r="C47" s="254"/>
      <c r="D47" s="254"/>
      <c r="E47" s="254"/>
      <c r="F47" s="254"/>
      <c r="G47" s="254"/>
    </row>
    <row r="48" spans="1:7" ht="15.75" x14ac:dyDescent="0.25">
      <c r="A48" s="261" t="s">
        <v>654</v>
      </c>
      <c r="B48" s="262"/>
      <c r="C48" s="254"/>
      <c r="D48" s="254"/>
      <c r="E48" s="254"/>
      <c r="F48" s="254"/>
      <c r="G48" s="254"/>
    </row>
  </sheetData>
  <mergeCells count="14">
    <mergeCell ref="A1:G2"/>
    <mergeCell ref="A6:A7"/>
    <mergeCell ref="B6:B7"/>
    <mergeCell ref="C6:C7"/>
    <mergeCell ref="D6:D7"/>
    <mergeCell ref="E6:E7"/>
    <mergeCell ref="F6:F7"/>
    <mergeCell ref="A3:A4"/>
    <mergeCell ref="B3:B4"/>
    <mergeCell ref="C3:C4"/>
    <mergeCell ref="D3:D4"/>
    <mergeCell ref="E3:E4"/>
    <mergeCell ref="G3:G4"/>
    <mergeCell ref="G6:G7"/>
  </mergeCells>
  <pageMargins left="0.7" right="0.7" top="0.75" bottom="0.75" header="0.3" footer="0.3"/>
  <pageSetup paperSize="9" scale="6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A2" sqref="A2:C2"/>
    </sheetView>
  </sheetViews>
  <sheetFormatPr defaultRowHeight="15" x14ac:dyDescent="0.25"/>
  <cols>
    <col min="1" max="1" width="28.85546875" customWidth="1"/>
    <col min="2" max="2" width="16.140625" customWidth="1"/>
    <col min="3" max="3" width="18.7109375" customWidth="1"/>
    <col min="4" max="4" width="14" customWidth="1"/>
  </cols>
  <sheetData>
    <row r="1" spans="1:4" x14ac:dyDescent="0.25">
      <c r="D1" t="s">
        <v>475</v>
      </c>
    </row>
    <row r="2" spans="1:4" ht="18.75" x14ac:dyDescent="0.3">
      <c r="A2" s="503" t="s">
        <v>735</v>
      </c>
      <c r="B2" s="503"/>
      <c r="C2" s="503"/>
      <c r="D2" s="39"/>
    </row>
    <row r="3" spans="1:4" ht="15.75" x14ac:dyDescent="0.25">
      <c r="A3" s="504" t="s">
        <v>661</v>
      </c>
      <c r="B3" s="504"/>
      <c r="C3" s="504"/>
      <c r="D3" s="504"/>
    </row>
    <row r="4" spans="1:4" ht="15.75" x14ac:dyDescent="0.25">
      <c r="A4" s="7"/>
      <c r="B4" s="107" t="s">
        <v>403</v>
      </c>
      <c r="C4" s="107" t="s">
        <v>322</v>
      </c>
      <c r="D4" s="10" t="s">
        <v>287</v>
      </c>
    </row>
    <row r="5" spans="1:4" ht="19.5" x14ac:dyDescent="0.35">
      <c r="A5" s="245" t="s">
        <v>404</v>
      </c>
      <c r="B5" s="7"/>
      <c r="C5" s="259">
        <v>850</v>
      </c>
      <c r="D5" s="108"/>
    </row>
    <row r="6" spans="1:4" ht="18.75" x14ac:dyDescent="0.3">
      <c r="A6" s="107" t="s">
        <v>476</v>
      </c>
      <c r="B6" s="107">
        <v>4</v>
      </c>
      <c r="C6" s="107"/>
      <c r="D6" s="272">
        <f>B6*C5</f>
        <v>3400</v>
      </c>
    </row>
    <row r="7" spans="1:4" ht="18.75" x14ac:dyDescent="0.3">
      <c r="A7" s="107" t="s">
        <v>477</v>
      </c>
      <c r="B7" s="107">
        <v>1</v>
      </c>
      <c r="C7" s="107"/>
      <c r="D7" s="272">
        <f>B7*C5</f>
        <v>850</v>
      </c>
    </row>
    <row r="8" spans="1:4" ht="18.75" x14ac:dyDescent="0.3">
      <c r="A8" s="107" t="s">
        <v>478</v>
      </c>
      <c r="B8" s="107">
        <v>4</v>
      </c>
      <c r="C8" s="107"/>
      <c r="D8" s="272">
        <f>B8*C5</f>
        <v>3400</v>
      </c>
    </row>
    <row r="9" spans="1:4" ht="18.75" x14ac:dyDescent="0.3">
      <c r="A9" s="107" t="s">
        <v>479</v>
      </c>
      <c r="B9" s="107">
        <v>3</v>
      </c>
      <c r="C9" s="107"/>
      <c r="D9" s="272">
        <f>B9*C5</f>
        <v>2550</v>
      </c>
    </row>
    <row r="10" spans="1:4" ht="18.75" x14ac:dyDescent="0.3">
      <c r="A10" s="107" t="s">
        <v>480</v>
      </c>
      <c r="B10" s="107">
        <v>1</v>
      </c>
      <c r="C10" s="107"/>
      <c r="D10" s="273">
        <f>B10*C5</f>
        <v>850</v>
      </c>
    </row>
    <row r="11" spans="1:4" ht="18.75" x14ac:dyDescent="0.3">
      <c r="A11" s="107" t="s">
        <v>481</v>
      </c>
      <c r="B11" s="107">
        <v>1</v>
      </c>
      <c r="C11" s="107"/>
      <c r="D11" s="272">
        <f>B11*C5</f>
        <v>850</v>
      </c>
    </row>
    <row r="12" spans="1:4" ht="18.75" x14ac:dyDescent="0.3">
      <c r="A12" s="246" t="s">
        <v>231</v>
      </c>
      <c r="B12" s="246">
        <f>SUM(B6:B11)</f>
        <v>14</v>
      </c>
      <c r="C12" s="107"/>
      <c r="D12" s="249">
        <f>SUM(D6:D11)</f>
        <v>11900</v>
      </c>
    </row>
    <row r="13" spans="1:4" ht="19.5" x14ac:dyDescent="0.35">
      <c r="A13" s="245" t="s">
        <v>405</v>
      </c>
      <c r="B13" s="107"/>
      <c r="C13" s="259">
        <v>186.4</v>
      </c>
      <c r="D13" s="273"/>
    </row>
    <row r="14" spans="1:4" ht="18.75" x14ac:dyDescent="0.3">
      <c r="A14" s="107" t="s">
        <v>476</v>
      </c>
      <c r="B14" s="107">
        <v>1</v>
      </c>
      <c r="C14" s="107"/>
      <c r="D14" s="273">
        <f>B14*C13</f>
        <v>186.4</v>
      </c>
    </row>
    <row r="15" spans="1:4" ht="18.75" x14ac:dyDescent="0.3">
      <c r="A15" s="107" t="s">
        <v>477</v>
      </c>
      <c r="B15" s="107">
        <v>1</v>
      </c>
      <c r="C15" s="107"/>
      <c r="D15" s="273">
        <f>B15*C13</f>
        <v>186.4</v>
      </c>
    </row>
    <row r="16" spans="1:4" ht="18.75" x14ac:dyDescent="0.3">
      <c r="A16" s="107" t="s">
        <v>478</v>
      </c>
      <c r="B16" s="107">
        <v>1</v>
      </c>
      <c r="C16" s="107"/>
      <c r="D16" s="273">
        <f>B16*C13</f>
        <v>186.4</v>
      </c>
    </row>
    <row r="17" spans="1:4" ht="18.75" x14ac:dyDescent="0.3">
      <c r="A17" s="107" t="s">
        <v>479</v>
      </c>
      <c r="B17" s="107">
        <v>2</v>
      </c>
      <c r="C17" s="107"/>
      <c r="D17" s="273">
        <f>B17*C13</f>
        <v>372.8</v>
      </c>
    </row>
    <row r="18" spans="1:4" ht="18.75" x14ac:dyDescent="0.3">
      <c r="A18" s="107" t="s">
        <v>480</v>
      </c>
      <c r="B18" s="107">
        <v>1</v>
      </c>
      <c r="C18" s="107"/>
      <c r="D18" s="273">
        <f>B18*C13</f>
        <v>186.4</v>
      </c>
    </row>
    <row r="19" spans="1:4" ht="18.75" x14ac:dyDescent="0.3">
      <c r="A19" s="107" t="s">
        <v>481</v>
      </c>
      <c r="B19" s="107">
        <v>1</v>
      </c>
      <c r="C19" s="107"/>
      <c r="D19" s="273">
        <f>B19*C13</f>
        <v>186.4</v>
      </c>
    </row>
    <row r="20" spans="1:4" ht="18.75" x14ac:dyDescent="0.3">
      <c r="A20" s="246" t="s">
        <v>231</v>
      </c>
      <c r="B20" s="246">
        <f>SUM(B14:B19)</f>
        <v>7</v>
      </c>
      <c r="C20" s="107"/>
      <c r="D20" s="249">
        <f>SUM(D14:D19)</f>
        <v>1304.8000000000002</v>
      </c>
    </row>
    <row r="21" spans="1:4" ht="19.5" x14ac:dyDescent="0.35">
      <c r="A21" s="245" t="s">
        <v>482</v>
      </c>
      <c r="B21" s="107"/>
      <c r="C21" s="259">
        <v>520</v>
      </c>
      <c r="D21" s="273"/>
    </row>
    <row r="22" spans="1:4" ht="18.75" x14ac:dyDescent="0.3">
      <c r="A22" s="107" t="s">
        <v>476</v>
      </c>
      <c r="B22" s="107">
        <v>2</v>
      </c>
      <c r="C22" s="10"/>
      <c r="D22" s="273">
        <f>B22*C21</f>
        <v>1040</v>
      </c>
    </row>
    <row r="23" spans="1:4" ht="18.75" x14ac:dyDescent="0.3">
      <c r="A23" s="107" t="s">
        <v>477</v>
      </c>
      <c r="B23" s="107">
        <v>2</v>
      </c>
      <c r="C23" s="10"/>
      <c r="D23" s="273">
        <f>B23*C21</f>
        <v>1040</v>
      </c>
    </row>
    <row r="24" spans="1:4" ht="18.75" x14ac:dyDescent="0.3">
      <c r="A24" s="107" t="s">
        <v>478</v>
      </c>
      <c r="B24" s="107">
        <v>2</v>
      </c>
      <c r="C24" s="10"/>
      <c r="D24" s="273">
        <f>B24*C21</f>
        <v>1040</v>
      </c>
    </row>
    <row r="25" spans="1:4" ht="18.75" x14ac:dyDescent="0.3">
      <c r="A25" s="107" t="s">
        <v>479</v>
      </c>
      <c r="B25" s="107">
        <v>2</v>
      </c>
      <c r="C25" s="10"/>
      <c r="D25" s="273">
        <f>B25*C21</f>
        <v>1040</v>
      </c>
    </row>
    <row r="26" spans="1:4" ht="18.75" x14ac:dyDescent="0.3">
      <c r="A26" s="107" t="s">
        <v>480</v>
      </c>
      <c r="B26" s="107">
        <v>2</v>
      </c>
      <c r="C26" s="10"/>
      <c r="D26" s="273">
        <f>B26*C21</f>
        <v>1040</v>
      </c>
    </row>
    <row r="27" spans="1:4" ht="18.75" x14ac:dyDescent="0.3">
      <c r="A27" s="107" t="s">
        <v>481</v>
      </c>
      <c r="B27" s="252">
        <v>1</v>
      </c>
      <c r="C27" s="10"/>
      <c r="D27" s="273">
        <f>B27*C21</f>
        <v>520</v>
      </c>
    </row>
    <row r="28" spans="1:4" ht="18.75" x14ac:dyDescent="0.3">
      <c r="A28" s="246" t="s">
        <v>231</v>
      </c>
      <c r="B28" s="246">
        <f>SUM(B22:B27)</f>
        <v>11</v>
      </c>
      <c r="C28" s="107"/>
      <c r="D28" s="274">
        <f>SUM(D22:D27)</f>
        <v>5720</v>
      </c>
    </row>
    <row r="29" spans="1:4" ht="19.5" x14ac:dyDescent="0.35">
      <c r="A29" s="245" t="s">
        <v>406</v>
      </c>
      <c r="B29" s="108"/>
      <c r="C29" s="250">
        <v>0.21</v>
      </c>
      <c r="D29" s="273"/>
    </row>
    <row r="30" spans="1:4" ht="18.75" x14ac:dyDescent="0.3">
      <c r="A30" s="107" t="s">
        <v>476</v>
      </c>
      <c r="B30" s="255">
        <v>280</v>
      </c>
      <c r="C30" s="107"/>
      <c r="D30" s="273">
        <f>B30*C29</f>
        <v>58.8</v>
      </c>
    </row>
    <row r="31" spans="1:4" ht="18.75" x14ac:dyDescent="0.3">
      <c r="A31" s="107" t="s">
        <v>477</v>
      </c>
      <c r="B31" s="255">
        <v>99</v>
      </c>
      <c r="C31" s="107"/>
      <c r="D31" s="273">
        <f>B31*C29</f>
        <v>20.79</v>
      </c>
    </row>
    <row r="32" spans="1:4" ht="18.75" x14ac:dyDescent="0.3">
      <c r="A32" s="107" t="s">
        <v>478</v>
      </c>
      <c r="B32" s="255">
        <v>168</v>
      </c>
      <c r="C32" s="107"/>
      <c r="D32" s="273">
        <f>B32*C29</f>
        <v>35.28</v>
      </c>
    </row>
    <row r="33" spans="1:4" ht="18.75" x14ac:dyDescent="0.3">
      <c r="A33" s="107" t="s">
        <v>479</v>
      </c>
      <c r="B33" s="255">
        <v>83</v>
      </c>
      <c r="C33" s="107"/>
      <c r="D33" s="273">
        <f>B33*C29</f>
        <v>17.43</v>
      </c>
    </row>
    <row r="34" spans="1:4" ht="18.75" x14ac:dyDescent="0.3">
      <c r="A34" s="107" t="s">
        <v>480</v>
      </c>
      <c r="B34" s="255">
        <v>112</v>
      </c>
      <c r="C34" s="107"/>
      <c r="D34" s="273">
        <f>B34*C29</f>
        <v>23.52</v>
      </c>
    </row>
    <row r="35" spans="1:4" ht="18.75" x14ac:dyDescent="0.3">
      <c r="A35" s="107" t="s">
        <v>481</v>
      </c>
      <c r="B35" s="255">
        <v>325</v>
      </c>
      <c r="C35" s="107"/>
      <c r="D35" s="273">
        <f>B35*C29</f>
        <v>68.25</v>
      </c>
    </row>
    <row r="36" spans="1:4" ht="18.75" x14ac:dyDescent="0.3">
      <c r="A36" s="246" t="s">
        <v>231</v>
      </c>
      <c r="B36" s="256">
        <f>SUM(B30:B35)</f>
        <v>1067</v>
      </c>
      <c r="C36" s="107"/>
      <c r="D36" s="249">
        <f>SUM(D30:D35)</f>
        <v>224.07000000000002</v>
      </c>
    </row>
    <row r="37" spans="1:4" ht="19.5" x14ac:dyDescent="0.35">
      <c r="A37" s="245" t="s">
        <v>407</v>
      </c>
      <c r="B37" s="257"/>
      <c r="C37" s="250">
        <v>11.02</v>
      </c>
      <c r="D37" s="273"/>
    </row>
    <row r="38" spans="1:4" ht="18.75" x14ac:dyDescent="0.3">
      <c r="A38" s="107" t="s">
        <v>476</v>
      </c>
      <c r="B38" s="255">
        <v>85</v>
      </c>
      <c r="C38" s="107"/>
      <c r="D38" s="273">
        <f>B38*C37</f>
        <v>936.69999999999993</v>
      </c>
    </row>
    <row r="39" spans="1:4" ht="18.75" x14ac:dyDescent="0.3">
      <c r="A39" s="107" t="s">
        <v>477</v>
      </c>
      <c r="B39" s="255">
        <v>99</v>
      </c>
      <c r="C39" s="107"/>
      <c r="D39" s="273">
        <f>B39*C37</f>
        <v>1090.98</v>
      </c>
    </row>
    <row r="40" spans="1:4" ht="18.75" x14ac:dyDescent="0.3">
      <c r="A40" s="107" t="s">
        <v>478</v>
      </c>
      <c r="B40" s="255">
        <v>54</v>
      </c>
      <c r="C40" s="107"/>
      <c r="D40" s="273">
        <f>B40*C37</f>
        <v>595.07999999999993</v>
      </c>
    </row>
    <row r="41" spans="1:4" ht="18.75" x14ac:dyDescent="0.3">
      <c r="A41" s="107" t="s">
        <v>479</v>
      </c>
      <c r="B41" s="255">
        <v>85</v>
      </c>
      <c r="C41" s="107"/>
      <c r="D41" s="273">
        <f>B41*C37</f>
        <v>936.69999999999993</v>
      </c>
    </row>
    <row r="42" spans="1:4" ht="18.75" x14ac:dyDescent="0.3">
      <c r="A42" s="107" t="s">
        <v>480</v>
      </c>
      <c r="B42" s="255">
        <v>45</v>
      </c>
      <c r="C42" s="107"/>
      <c r="D42" s="273">
        <f>B42*C37</f>
        <v>495.9</v>
      </c>
    </row>
    <row r="43" spans="1:4" ht="18.75" x14ac:dyDescent="0.3">
      <c r="A43" s="107" t="s">
        <v>481</v>
      </c>
      <c r="B43" s="258">
        <v>52</v>
      </c>
      <c r="C43" s="247"/>
      <c r="D43" s="273">
        <f>B43*C37</f>
        <v>573.04</v>
      </c>
    </row>
    <row r="44" spans="1:4" ht="18.75" x14ac:dyDescent="0.3">
      <c r="A44" s="246" t="s">
        <v>231</v>
      </c>
      <c r="B44" s="246">
        <f>SUM(B38:B43)</f>
        <v>420</v>
      </c>
      <c r="C44" s="247"/>
      <c r="D44" s="274">
        <f>SUM(D38:D43)</f>
        <v>4628.3999999999996</v>
      </c>
    </row>
    <row r="45" spans="1:4" x14ac:dyDescent="0.25">
      <c r="A45" s="41"/>
      <c r="B45" s="41"/>
      <c r="C45" s="253"/>
      <c r="D45" s="41"/>
    </row>
    <row r="46" spans="1:4" ht="18.75" x14ac:dyDescent="0.3">
      <c r="A46" s="248" t="s">
        <v>273</v>
      </c>
      <c r="B46" s="41"/>
      <c r="C46" s="253"/>
      <c r="D46" s="249">
        <f>SUM(D44,D36,D28,D20,D12)</f>
        <v>23777.27</v>
      </c>
    </row>
    <row r="48" spans="1:4" x14ac:dyDescent="0.25">
      <c r="A48" t="s">
        <v>254</v>
      </c>
      <c r="D48" t="s">
        <v>255</v>
      </c>
    </row>
    <row r="49" spans="1:4" x14ac:dyDescent="0.25">
      <c r="A49" t="s">
        <v>256</v>
      </c>
      <c r="D49" t="s">
        <v>257</v>
      </c>
    </row>
  </sheetData>
  <mergeCells count="2">
    <mergeCell ref="A2:C2"/>
    <mergeCell ref="A3:D3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A18" sqref="A18:B19"/>
    </sheetView>
  </sheetViews>
  <sheetFormatPr defaultRowHeight="15" x14ac:dyDescent="0.25"/>
  <cols>
    <col min="1" max="1" width="10.7109375" customWidth="1"/>
    <col min="2" max="2" width="70.85546875" customWidth="1"/>
    <col min="3" max="3" width="0.140625" hidden="1" customWidth="1"/>
    <col min="4" max="4" width="16" customWidth="1"/>
    <col min="5" max="5" width="15" customWidth="1"/>
    <col min="6" max="6" width="12.85546875" customWidth="1"/>
    <col min="7" max="7" width="14.28515625" customWidth="1"/>
    <col min="8" max="8" width="14.42578125" customWidth="1"/>
    <col min="9" max="9" width="10" customWidth="1"/>
  </cols>
  <sheetData>
    <row r="1" spans="1:9" ht="15.75" x14ac:dyDescent="0.25">
      <c r="A1" s="354"/>
      <c r="B1" s="354"/>
      <c r="C1" s="354"/>
      <c r="D1" s="354"/>
      <c r="E1" s="354"/>
      <c r="F1" s="354"/>
      <c r="G1" s="458" t="s">
        <v>275</v>
      </c>
      <c r="H1" s="458"/>
    </row>
    <row r="2" spans="1:9" x14ac:dyDescent="0.25">
      <c r="A2" s="454" t="s">
        <v>722</v>
      </c>
      <c r="B2" s="454"/>
      <c r="C2" s="454"/>
      <c r="D2" s="454"/>
      <c r="E2" s="454"/>
      <c r="F2" s="454"/>
      <c r="G2" s="454"/>
      <c r="H2" s="454"/>
    </row>
    <row r="3" spans="1:9" x14ac:dyDescent="0.25">
      <c r="A3" s="454"/>
      <c r="B3" s="454"/>
      <c r="C3" s="454"/>
      <c r="D3" s="454"/>
      <c r="E3" s="454"/>
      <c r="F3" s="454"/>
      <c r="G3" s="454"/>
      <c r="H3" s="454"/>
    </row>
    <row r="4" spans="1:9" ht="94.5" x14ac:dyDescent="0.25">
      <c r="A4" s="355" t="s">
        <v>723</v>
      </c>
      <c r="B4" s="355" t="s">
        <v>724</v>
      </c>
      <c r="C4" s="356" t="s">
        <v>725</v>
      </c>
      <c r="D4" s="357" t="s">
        <v>734</v>
      </c>
      <c r="E4" s="355" t="s">
        <v>726</v>
      </c>
      <c r="F4" s="355" t="s">
        <v>727</v>
      </c>
      <c r="G4" s="355" t="s">
        <v>728</v>
      </c>
      <c r="H4" s="355" t="s">
        <v>729</v>
      </c>
    </row>
    <row r="5" spans="1:9" ht="15.75" x14ac:dyDescent="0.25">
      <c r="A5" s="364"/>
      <c r="B5" s="364" t="s">
        <v>733</v>
      </c>
      <c r="C5" s="364"/>
      <c r="D5" s="365">
        <f>SUM(E5:H5)</f>
        <v>124905700</v>
      </c>
      <c r="E5" s="360">
        <v>31438100</v>
      </c>
      <c r="F5" s="360">
        <v>31091200</v>
      </c>
      <c r="G5" s="360">
        <v>31088200</v>
      </c>
      <c r="H5" s="360">
        <v>31288200</v>
      </c>
    </row>
    <row r="6" spans="1:9" ht="47.25" x14ac:dyDescent="0.25">
      <c r="A6" s="358">
        <v>9</v>
      </c>
      <c r="B6" s="358" t="s">
        <v>730</v>
      </c>
      <c r="C6" s="358"/>
      <c r="D6" s="359">
        <f>SUM(E6:H6)</f>
        <v>78023106.400000006</v>
      </c>
      <c r="E6" s="360">
        <v>18728542.100000001</v>
      </c>
      <c r="F6" s="360">
        <v>18728542.100000001</v>
      </c>
      <c r="G6" s="360">
        <v>20283011.100000001</v>
      </c>
      <c r="H6" s="360">
        <v>20283011.100000001</v>
      </c>
      <c r="I6" s="353"/>
    </row>
    <row r="7" spans="1:9" ht="15.75" x14ac:dyDescent="0.25">
      <c r="A7" s="358">
        <v>10</v>
      </c>
      <c r="B7" s="358" t="s">
        <v>731</v>
      </c>
      <c r="C7" s="358"/>
      <c r="D7" s="361">
        <f>SUM(E7:H7)</f>
        <v>305951.04000000004</v>
      </c>
      <c r="E7" s="360">
        <v>73440</v>
      </c>
      <c r="F7" s="360">
        <v>73440</v>
      </c>
      <c r="G7" s="360">
        <v>79535.520000000004</v>
      </c>
      <c r="H7" s="360">
        <v>79535.520000000004</v>
      </c>
      <c r="I7" s="353"/>
    </row>
    <row r="8" spans="1:9" ht="47.25" x14ac:dyDescent="0.25">
      <c r="A8" s="358">
        <v>29</v>
      </c>
      <c r="B8" s="358" t="s">
        <v>732</v>
      </c>
      <c r="C8" s="362"/>
      <c r="D8" s="363">
        <f>SUM(E8:H8)</f>
        <v>2292025.716</v>
      </c>
      <c r="E8" s="360">
        <v>550174.19999999995</v>
      </c>
      <c r="F8" s="360">
        <v>550174.19999999995</v>
      </c>
      <c r="G8" s="360">
        <v>595838.65800000005</v>
      </c>
      <c r="H8" s="360">
        <v>595838.65800000005</v>
      </c>
      <c r="I8" s="353"/>
    </row>
    <row r="9" spans="1:9" ht="15.75" x14ac:dyDescent="0.25">
      <c r="A9" s="455" t="s">
        <v>267</v>
      </c>
      <c r="B9" s="456"/>
      <c r="C9" s="457"/>
      <c r="D9" s="366">
        <f>SUM(D5:D8)</f>
        <v>205526783.15599999</v>
      </c>
      <c r="E9" s="360">
        <f>SUM(E5:E8)</f>
        <v>50790256.300000004</v>
      </c>
      <c r="F9" s="360">
        <f>SUM(F5:F8)</f>
        <v>50443356.300000004</v>
      </c>
      <c r="G9" s="360">
        <f>SUM(G5:G8)</f>
        <v>52046585.278000005</v>
      </c>
      <c r="H9" s="360">
        <f>SUM(H5:H8)</f>
        <v>52246585.278000005</v>
      </c>
    </row>
    <row r="10" spans="1:9" ht="15.75" x14ac:dyDescent="0.25">
      <c r="A10" s="367"/>
      <c r="B10" s="367"/>
      <c r="C10" s="367"/>
      <c r="D10" s="368"/>
      <c r="E10" s="367"/>
      <c r="F10" s="369"/>
      <c r="G10" s="370"/>
      <c r="H10" s="371"/>
    </row>
    <row r="11" spans="1:9" ht="15.75" x14ac:dyDescent="0.25">
      <c r="A11" s="354"/>
      <c r="B11" s="354"/>
      <c r="C11" s="354"/>
      <c r="D11" s="372"/>
      <c r="E11" s="354"/>
      <c r="F11" s="354"/>
      <c r="G11" s="370"/>
      <c r="H11" s="371"/>
    </row>
    <row r="12" spans="1:9" ht="15.75" x14ac:dyDescent="0.25">
      <c r="A12" s="354"/>
      <c r="B12" s="354"/>
      <c r="C12" s="354"/>
      <c r="D12" s="354"/>
      <c r="E12" s="354"/>
      <c r="F12" s="354"/>
      <c r="G12" s="370"/>
      <c r="H12" s="371"/>
    </row>
    <row r="13" spans="1:9" ht="15.75" x14ac:dyDescent="0.25">
      <c r="A13" s="354"/>
      <c r="B13" s="354"/>
      <c r="C13" s="354"/>
      <c r="D13" s="354"/>
      <c r="E13" s="354"/>
      <c r="F13" s="354"/>
      <c r="G13" s="370"/>
      <c r="H13" s="371"/>
    </row>
    <row r="14" spans="1:9" ht="15.75" x14ac:dyDescent="0.25">
      <c r="A14" s="354" t="s">
        <v>254</v>
      </c>
      <c r="B14" s="354"/>
      <c r="C14" s="354"/>
      <c r="D14" s="354"/>
      <c r="E14" s="367"/>
      <c r="F14" s="369"/>
      <c r="G14" s="354"/>
      <c r="H14" s="372" t="s">
        <v>679</v>
      </c>
    </row>
    <row r="15" spans="1:9" ht="15.75" x14ac:dyDescent="0.25">
      <c r="A15" s="354"/>
      <c r="B15" s="354"/>
      <c r="C15" s="354"/>
      <c r="D15" s="354"/>
      <c r="E15" s="367"/>
      <c r="F15" s="369"/>
      <c r="G15" s="354"/>
      <c r="H15" s="354"/>
    </row>
    <row r="16" spans="1:9" ht="15.75" x14ac:dyDescent="0.25">
      <c r="A16" s="354" t="s">
        <v>256</v>
      </c>
      <c r="B16" s="354"/>
      <c r="C16" s="354"/>
      <c r="D16" s="354"/>
      <c r="E16" s="367"/>
      <c r="F16" s="369"/>
      <c r="G16" s="354"/>
      <c r="H16" s="354" t="s">
        <v>680</v>
      </c>
    </row>
    <row r="18" spans="1:2" x14ac:dyDescent="0.25">
      <c r="A18" s="416" t="s">
        <v>800</v>
      </c>
      <c r="B18" s="416"/>
    </row>
    <row r="19" spans="1:2" x14ac:dyDescent="0.25">
      <c r="A19" s="416" t="s">
        <v>801</v>
      </c>
      <c r="B19" s="416"/>
    </row>
  </sheetData>
  <mergeCells count="3">
    <mergeCell ref="A2:H3"/>
    <mergeCell ref="A9:C9"/>
    <mergeCell ref="G1:H1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L4" sqref="L4"/>
    </sheetView>
  </sheetViews>
  <sheetFormatPr defaultRowHeight="15" x14ac:dyDescent="0.25"/>
  <cols>
    <col min="1" max="1" width="30" customWidth="1"/>
    <col min="3" max="3" width="14" customWidth="1"/>
    <col min="4" max="4" width="14.140625" customWidth="1"/>
    <col min="5" max="5" width="12.5703125" customWidth="1"/>
    <col min="6" max="6" width="12.28515625" customWidth="1"/>
    <col min="7" max="7" width="14.5703125" customWidth="1"/>
    <col min="8" max="9" width="14.140625" customWidth="1"/>
  </cols>
  <sheetData>
    <row r="1" spans="1:9" x14ac:dyDescent="0.25">
      <c r="H1" t="s">
        <v>274</v>
      </c>
    </row>
    <row r="2" spans="1:9" x14ac:dyDescent="0.25">
      <c r="A2" s="459" t="s">
        <v>225</v>
      </c>
      <c r="B2" s="459"/>
      <c r="C2" s="459"/>
      <c r="D2" s="459"/>
      <c r="E2" s="459"/>
      <c r="F2" s="459"/>
      <c r="G2" s="459"/>
      <c r="H2" s="459"/>
      <c r="I2" s="459"/>
    </row>
    <row r="3" spans="1:9" ht="27" customHeight="1" x14ac:dyDescent="0.25">
      <c r="A3" s="7"/>
      <c r="B3" s="7"/>
      <c r="C3" s="8" t="s">
        <v>226</v>
      </c>
      <c r="D3" s="8" t="s">
        <v>227</v>
      </c>
      <c r="E3" s="8" t="s">
        <v>228</v>
      </c>
      <c r="F3" s="8" t="s">
        <v>229</v>
      </c>
      <c r="G3" s="8" t="s">
        <v>230</v>
      </c>
      <c r="H3" s="8" t="s">
        <v>231</v>
      </c>
      <c r="I3" s="8" t="s">
        <v>799</v>
      </c>
    </row>
    <row r="4" spans="1:9" x14ac:dyDescent="0.25">
      <c r="A4" s="9" t="s">
        <v>232</v>
      </c>
      <c r="B4" s="10" t="s">
        <v>233</v>
      </c>
      <c r="C4" s="11">
        <v>2900</v>
      </c>
      <c r="D4" s="11">
        <v>1500</v>
      </c>
      <c r="E4" s="11">
        <v>58</v>
      </c>
      <c r="F4" s="11">
        <v>5</v>
      </c>
      <c r="G4" s="11">
        <v>1337</v>
      </c>
      <c r="H4" s="11">
        <f>SUM(D4:G4)</f>
        <v>2900</v>
      </c>
      <c r="I4" s="11"/>
    </row>
    <row r="5" spans="1:9" x14ac:dyDescent="0.25">
      <c r="A5" s="7" t="s">
        <v>798</v>
      </c>
      <c r="B5" s="10"/>
      <c r="C5" s="11"/>
      <c r="D5" s="11"/>
      <c r="E5" s="11"/>
      <c r="F5" s="11"/>
      <c r="G5" s="11"/>
      <c r="H5" s="11"/>
      <c r="I5" s="11"/>
    </row>
    <row r="6" spans="1:9" x14ac:dyDescent="0.25">
      <c r="A6" s="7" t="s">
        <v>234</v>
      </c>
      <c r="B6" s="10"/>
      <c r="C6" s="11">
        <f>2107.0356*1.1073</f>
        <v>2333.1205198799998</v>
      </c>
      <c r="D6" s="11"/>
      <c r="E6" s="11"/>
      <c r="F6" s="11"/>
      <c r="G6" s="11"/>
      <c r="H6" s="11"/>
      <c r="I6" s="11"/>
    </row>
    <row r="7" spans="1:9" x14ac:dyDescent="0.25">
      <c r="A7" s="7" t="s">
        <v>235</v>
      </c>
      <c r="B7" s="10"/>
      <c r="C7" s="11">
        <f>C4*C6</f>
        <v>6766049.5076519996</v>
      </c>
      <c r="D7" s="11">
        <f>D4*C6</f>
        <v>3499680.7798199998</v>
      </c>
      <c r="E7" s="11">
        <f>E4*C6</f>
        <v>135320.99015303998</v>
      </c>
      <c r="F7" s="11">
        <f>F4*C6</f>
        <v>11665.602599399999</v>
      </c>
      <c r="G7" s="11">
        <f>G4*C6</f>
        <v>3119382.1350795599</v>
      </c>
      <c r="H7" s="11">
        <f>H4*C6</f>
        <v>6766049.5076519996</v>
      </c>
      <c r="I7" s="11"/>
    </row>
    <row r="8" spans="1:9" x14ac:dyDescent="0.25">
      <c r="A8" s="7" t="s">
        <v>236</v>
      </c>
      <c r="B8" s="10"/>
      <c r="C8" s="11"/>
      <c r="D8" s="12">
        <f>D7*1.2</f>
        <v>4199616.935784</v>
      </c>
      <c r="E8" s="12">
        <f>E7*1.2</f>
        <v>162385.18818364796</v>
      </c>
      <c r="F8" s="12">
        <f>F7*1.2</f>
        <v>13998.723119279999</v>
      </c>
      <c r="G8" s="12">
        <f>G7*1.2</f>
        <v>3743258.5620954717</v>
      </c>
      <c r="H8" s="12">
        <f>H7*1.2</f>
        <v>8119259.4091823995</v>
      </c>
      <c r="I8" s="13">
        <f>D8+E8+F8+G8</f>
        <v>8119259.4091823995</v>
      </c>
    </row>
    <row r="9" spans="1:9" x14ac:dyDescent="0.25">
      <c r="A9" s="7" t="s">
        <v>237</v>
      </c>
      <c r="B9" s="10" t="s">
        <v>233</v>
      </c>
      <c r="C9" s="14">
        <v>5.35</v>
      </c>
      <c r="D9" s="14">
        <v>1.35</v>
      </c>
      <c r="E9" s="14">
        <v>1</v>
      </c>
      <c r="F9" s="14">
        <v>1</v>
      </c>
      <c r="G9" s="14">
        <v>2</v>
      </c>
      <c r="H9" s="14">
        <f>SUM(D9:G9)</f>
        <v>5.35</v>
      </c>
      <c r="I9" s="11"/>
    </row>
    <row r="10" spans="1:9" x14ac:dyDescent="0.25">
      <c r="A10" s="7" t="s">
        <v>234</v>
      </c>
      <c r="B10" s="10"/>
      <c r="C10" s="14">
        <f>77653.1668*1.1073</f>
        <v>85985.351597640009</v>
      </c>
      <c r="D10" s="14"/>
      <c r="E10" s="14"/>
      <c r="F10" s="14"/>
      <c r="G10" s="14"/>
      <c r="H10" s="14"/>
      <c r="I10" s="11"/>
    </row>
    <row r="11" spans="1:9" x14ac:dyDescent="0.25">
      <c r="A11" s="7" t="s">
        <v>235</v>
      </c>
      <c r="B11" s="10"/>
      <c r="C11" s="14">
        <f>C9*C10</f>
        <v>460021.63104737399</v>
      </c>
      <c r="D11" s="14">
        <f>D9*C10</f>
        <v>116080.22465681403</v>
      </c>
      <c r="E11" s="14">
        <f>C10</f>
        <v>85985.351597640009</v>
      </c>
      <c r="F11" s="14">
        <f>C10</f>
        <v>85985.351597640009</v>
      </c>
      <c r="G11" s="14">
        <f>G9*C10</f>
        <v>171970.70319528002</v>
      </c>
      <c r="H11" s="14">
        <f>G11+F11+E11+D11</f>
        <v>460021.63104737405</v>
      </c>
      <c r="I11" s="11"/>
    </row>
    <row r="12" spans="1:9" x14ac:dyDescent="0.25">
      <c r="A12" s="15" t="s">
        <v>236</v>
      </c>
      <c r="B12" s="16"/>
      <c r="C12" s="12"/>
      <c r="D12" s="12">
        <f>D11*1.2</f>
        <v>139296.26958817683</v>
      </c>
      <c r="E12" s="12">
        <f>E11*1.2</f>
        <v>103182.421917168</v>
      </c>
      <c r="F12" s="12">
        <f>F11*1.2</f>
        <v>103182.421917168</v>
      </c>
      <c r="G12" s="12">
        <f>G11*1.2</f>
        <v>206364.843834336</v>
      </c>
      <c r="H12" s="12">
        <f>H11*1.2</f>
        <v>552025.95725684881</v>
      </c>
      <c r="I12" s="13">
        <f>G12+F12+E12+D12</f>
        <v>552025.95725684881</v>
      </c>
    </row>
    <row r="13" spans="1:9" x14ac:dyDescent="0.25">
      <c r="A13" s="9" t="s">
        <v>238</v>
      </c>
      <c r="B13" s="10" t="s">
        <v>239</v>
      </c>
      <c r="C13" s="17">
        <v>1956</v>
      </c>
      <c r="D13" s="14">
        <v>750</v>
      </c>
      <c r="E13" s="14">
        <v>370</v>
      </c>
      <c r="F13" s="14">
        <v>300</v>
      </c>
      <c r="G13" s="14">
        <v>536</v>
      </c>
      <c r="H13" s="14">
        <f>SUM(D13:G13)</f>
        <v>1956</v>
      </c>
      <c r="I13" s="11"/>
    </row>
    <row r="14" spans="1:9" x14ac:dyDescent="0.25">
      <c r="A14" s="7" t="s">
        <v>234</v>
      </c>
      <c r="B14" s="10"/>
      <c r="C14" s="14">
        <f>76.12*1.1073</f>
        <v>84.287676000000005</v>
      </c>
      <c r="D14" s="11"/>
      <c r="E14" s="11"/>
      <c r="F14" s="11"/>
      <c r="G14" s="11"/>
      <c r="H14" s="11"/>
      <c r="I14" s="11"/>
    </row>
    <row r="15" spans="1:9" x14ac:dyDescent="0.25">
      <c r="A15" s="7" t="s">
        <v>235</v>
      </c>
      <c r="B15" s="10"/>
      <c r="C15" s="14">
        <f>C13*C14</f>
        <v>164866.69425600002</v>
      </c>
      <c r="D15" s="14">
        <f>D13*C14</f>
        <v>63215.757000000005</v>
      </c>
      <c r="E15" s="14">
        <f>E13*C14</f>
        <v>31186.440120000003</v>
      </c>
      <c r="F15" s="14">
        <f>F13*C14</f>
        <v>25286.302800000001</v>
      </c>
      <c r="G15" s="14">
        <f>G13*C14</f>
        <v>45178.194336</v>
      </c>
      <c r="H15" s="14">
        <f>SUM(D15:G15)</f>
        <v>164866.69425600002</v>
      </c>
      <c r="I15" s="18"/>
    </row>
    <row r="16" spans="1:9" x14ac:dyDescent="0.25">
      <c r="A16" s="7" t="s">
        <v>236</v>
      </c>
      <c r="B16" s="10"/>
      <c r="C16" s="11"/>
      <c r="D16" s="12">
        <f>D15*1.2</f>
        <v>75858.9084</v>
      </c>
      <c r="E16" s="12">
        <f>E15*1.2</f>
        <v>37423.728144000001</v>
      </c>
      <c r="F16" s="12">
        <f>F15*1.2</f>
        <v>30343.56336</v>
      </c>
      <c r="G16" s="12">
        <f>G15*1.2</f>
        <v>54213.833203199996</v>
      </c>
      <c r="H16" s="12">
        <f>H15*1.2</f>
        <v>197840.03310720003</v>
      </c>
      <c r="I16" s="13">
        <f>G16+F16+E16+D16</f>
        <v>197840.0331072</v>
      </c>
    </row>
    <row r="17" spans="1:9" x14ac:dyDescent="0.25">
      <c r="A17" s="19" t="s">
        <v>240</v>
      </c>
      <c r="B17" s="10"/>
      <c r="C17" s="11">
        <f>(C7+C11+C15)*1.2</f>
        <v>8869125.3995464481</v>
      </c>
      <c r="D17" s="20">
        <f>SUM(D8,D12,D16)</f>
        <v>4414772.1137721771</v>
      </c>
      <c r="E17" s="20">
        <f>SUM(E8,E12,E16)</f>
        <v>302991.33824481594</v>
      </c>
      <c r="F17" s="20">
        <f>SUM(F8,F12,F16)</f>
        <v>147524.708396448</v>
      </c>
      <c r="G17" s="20">
        <f>SUM(G8,G12,G16)</f>
        <v>4003837.2391330074</v>
      </c>
      <c r="H17" s="20">
        <f>SUM(H8,H12,H16)</f>
        <v>8869125.3995464481</v>
      </c>
      <c r="I17" s="21">
        <f>I16+I12+I8</f>
        <v>8869125.3995464481</v>
      </c>
    </row>
    <row r="18" spans="1:9" x14ac:dyDescent="0.25">
      <c r="A18" s="9" t="s">
        <v>241</v>
      </c>
      <c r="B18" s="10" t="s">
        <v>239</v>
      </c>
      <c r="C18" s="17">
        <v>16006</v>
      </c>
      <c r="D18" s="14">
        <v>4500</v>
      </c>
      <c r="E18" s="14">
        <v>4400</v>
      </c>
      <c r="F18" s="14">
        <v>4300</v>
      </c>
      <c r="G18" s="14">
        <v>2806</v>
      </c>
      <c r="H18" s="14">
        <f>SUM(D18:G18)</f>
        <v>16006</v>
      </c>
      <c r="I18" s="11"/>
    </row>
    <row r="19" spans="1:9" x14ac:dyDescent="0.25">
      <c r="A19" s="7" t="s">
        <v>234</v>
      </c>
      <c r="B19" s="10"/>
      <c r="C19" s="22">
        <f>10.6*1.1073</f>
        <v>11.73738</v>
      </c>
      <c r="D19" s="11"/>
      <c r="E19" s="11"/>
      <c r="F19" s="11"/>
      <c r="G19" s="11"/>
      <c r="H19" s="11"/>
      <c r="I19" s="11"/>
    </row>
    <row r="20" spans="1:9" x14ac:dyDescent="0.25">
      <c r="A20" s="7" t="s">
        <v>235</v>
      </c>
      <c r="B20" s="10"/>
      <c r="C20" s="14">
        <f>SUM(D20:G20)</f>
        <v>187868.50427999999</v>
      </c>
      <c r="D20" s="14">
        <f>D18*C19</f>
        <v>52818.21</v>
      </c>
      <c r="E20" s="14">
        <f>E18*C19</f>
        <v>51644.472000000002</v>
      </c>
      <c r="F20" s="14">
        <f>F18*C19</f>
        <v>50470.733999999997</v>
      </c>
      <c r="G20" s="14">
        <f>G18*C19</f>
        <v>32935.088279999996</v>
      </c>
      <c r="H20" s="18"/>
      <c r="I20" s="23"/>
    </row>
    <row r="21" spans="1:9" x14ac:dyDescent="0.25">
      <c r="A21" s="7" t="s">
        <v>236</v>
      </c>
      <c r="B21" s="10"/>
      <c r="C21" s="12"/>
      <c r="D21" s="12">
        <f>D20*1.2</f>
        <v>63381.851999999999</v>
      </c>
      <c r="E21" s="12">
        <f>E20*1.2</f>
        <v>61973.366399999999</v>
      </c>
      <c r="F21" s="12">
        <f>F20*1.2</f>
        <v>60564.880799999992</v>
      </c>
      <c r="G21" s="12">
        <f>G20*1.2</f>
        <v>39522.105935999993</v>
      </c>
      <c r="H21" s="12">
        <f>SUM(D21:G21)</f>
        <v>225442.205136</v>
      </c>
      <c r="I21" s="17">
        <f>SUM(D21:G21)</f>
        <v>225442.205136</v>
      </c>
    </row>
    <row r="22" spans="1:9" x14ac:dyDescent="0.25">
      <c r="A22" s="9" t="s">
        <v>242</v>
      </c>
      <c r="B22" s="10" t="s">
        <v>239</v>
      </c>
      <c r="C22" s="17">
        <v>16001</v>
      </c>
      <c r="D22" s="14">
        <v>4500</v>
      </c>
      <c r="E22" s="14">
        <v>4400</v>
      </c>
      <c r="F22" s="14">
        <v>4300</v>
      </c>
      <c r="G22" s="14">
        <v>2801</v>
      </c>
      <c r="H22" s="14">
        <f>SUM(D22:G22)</f>
        <v>16001</v>
      </c>
      <c r="I22" s="11"/>
    </row>
    <row r="23" spans="1:9" x14ac:dyDescent="0.25">
      <c r="A23" s="7" t="s">
        <v>234</v>
      </c>
      <c r="B23" s="10"/>
      <c r="C23" s="22">
        <f>11.94*1.1073</f>
        <v>13.221162</v>
      </c>
      <c r="D23" s="11"/>
      <c r="E23" s="11"/>
      <c r="F23" s="11"/>
      <c r="G23" s="11"/>
      <c r="H23" s="11"/>
      <c r="I23" s="11"/>
    </row>
    <row r="24" spans="1:9" x14ac:dyDescent="0.25">
      <c r="A24" s="7" t="s">
        <v>235</v>
      </c>
      <c r="B24" s="10"/>
      <c r="C24" s="14">
        <f>SUM(D24:G24)</f>
        <v>211551.81316200001</v>
      </c>
      <c r="D24" s="14">
        <f>D22*C23</f>
        <v>59495.228999999999</v>
      </c>
      <c r="E24" s="14">
        <f>E22*C23</f>
        <v>58173.112799999995</v>
      </c>
      <c r="F24" s="14">
        <f>F22*C23</f>
        <v>56850.996599999999</v>
      </c>
      <c r="G24" s="14">
        <f>G22*C23</f>
        <v>37032.474761999998</v>
      </c>
      <c r="H24" s="18"/>
      <c r="I24" s="23"/>
    </row>
    <row r="25" spans="1:9" x14ac:dyDescent="0.25">
      <c r="A25" s="7" t="s">
        <v>236</v>
      </c>
      <c r="B25" s="10"/>
      <c r="C25" s="12"/>
      <c r="D25" s="12">
        <f>D24*1.2</f>
        <v>71394.274799999999</v>
      </c>
      <c r="E25" s="12">
        <f>E24*1.2</f>
        <v>69807.735359999991</v>
      </c>
      <c r="F25" s="12">
        <f>F24*1.2</f>
        <v>68221.195919999998</v>
      </c>
      <c r="G25" s="12">
        <f>G24*1.2</f>
        <v>44438.969714399995</v>
      </c>
      <c r="H25" s="12">
        <f>SUM(D25:G25)</f>
        <v>253862.17579439998</v>
      </c>
      <c r="I25" s="17">
        <f>SUM(D25:G25)</f>
        <v>253862.17579439998</v>
      </c>
    </row>
    <row r="26" spans="1:9" x14ac:dyDescent="0.25">
      <c r="A26" s="19" t="s">
        <v>243</v>
      </c>
      <c r="B26" s="24"/>
      <c r="C26" s="14" t="e">
        <f>#REF!</f>
        <v>#REF!</v>
      </c>
      <c r="D26" s="25">
        <f>D21+D25</f>
        <v>134776.1268</v>
      </c>
      <c r="E26" s="25">
        <f>E21+E25</f>
        <v>131781.10175999999</v>
      </c>
      <c r="F26" s="25">
        <f>F21+F25</f>
        <v>128786.07671999998</v>
      </c>
      <c r="G26" s="25">
        <f>G21+G25</f>
        <v>83961.075650399987</v>
      </c>
      <c r="H26" s="25">
        <f>H21+H25</f>
        <v>479304.38093039999</v>
      </c>
      <c r="I26" s="26">
        <f>SUM(I20:I25)</f>
        <v>479304.38093039999</v>
      </c>
    </row>
    <row r="27" spans="1:9" x14ac:dyDescent="0.25">
      <c r="A27" s="9" t="s">
        <v>244</v>
      </c>
      <c r="B27" s="10" t="s">
        <v>245</v>
      </c>
      <c r="C27" s="17">
        <v>565525</v>
      </c>
      <c r="D27" s="14">
        <v>153700</v>
      </c>
      <c r="E27" s="14">
        <v>140855</v>
      </c>
      <c r="F27" s="14">
        <v>116600</v>
      </c>
      <c r="G27" s="14">
        <v>154370</v>
      </c>
      <c r="H27" s="14">
        <f>SUM(D27:G27)</f>
        <v>565525</v>
      </c>
      <c r="I27" s="11"/>
    </row>
    <row r="28" spans="1:9" x14ac:dyDescent="0.25">
      <c r="A28" s="27" t="s">
        <v>246</v>
      </c>
      <c r="B28" s="10"/>
      <c r="C28" s="11"/>
      <c r="D28" s="11"/>
      <c r="E28" s="11"/>
      <c r="F28" s="11"/>
      <c r="G28" s="11"/>
      <c r="H28" s="11"/>
      <c r="I28" s="11"/>
    </row>
    <row r="29" spans="1:9" x14ac:dyDescent="0.25">
      <c r="A29" s="7" t="s">
        <v>247</v>
      </c>
      <c r="B29" s="10"/>
      <c r="C29" s="22">
        <f>2.095*1.1073</f>
        <v>2.3197935000000003</v>
      </c>
      <c r="D29" s="28"/>
      <c r="E29" s="11"/>
      <c r="F29" s="11"/>
      <c r="G29" s="11"/>
      <c r="H29" s="11"/>
      <c r="I29" s="11"/>
    </row>
    <row r="30" spans="1:9" x14ac:dyDescent="0.25">
      <c r="A30" s="7" t="s">
        <v>248</v>
      </c>
      <c r="B30" s="10"/>
      <c r="C30" s="17">
        <f>C27*C29</f>
        <v>1311901.2190875001</v>
      </c>
      <c r="D30" s="14">
        <f>D27*C29</f>
        <v>356552.26095000003</v>
      </c>
      <c r="E30" s="14">
        <f>E27*C29</f>
        <v>326754.51344250003</v>
      </c>
      <c r="F30" s="14">
        <f>F27*C29</f>
        <v>270487.92210000003</v>
      </c>
      <c r="G30" s="14">
        <f>G27*C29</f>
        <v>358106.52259500005</v>
      </c>
      <c r="H30" s="14">
        <f>SUM(D30:G30)</f>
        <v>1311901.2190875001</v>
      </c>
      <c r="I30" s="18"/>
    </row>
    <row r="31" spans="1:9" x14ac:dyDescent="0.25">
      <c r="A31" s="7" t="s">
        <v>236</v>
      </c>
      <c r="B31" s="10"/>
      <c r="C31" s="29"/>
      <c r="D31" s="12">
        <f>D30*1.2</f>
        <v>427862.71314000001</v>
      </c>
      <c r="E31" s="12">
        <f>E30*1.2</f>
        <v>392105.41613100003</v>
      </c>
      <c r="F31" s="12">
        <f>F30*1.2</f>
        <v>324585.50652</v>
      </c>
      <c r="G31" s="12">
        <f>G30*1.2</f>
        <v>429727.82711400004</v>
      </c>
      <c r="H31" s="12">
        <f>H30*1.2</f>
        <v>1574281.4629050002</v>
      </c>
      <c r="I31" s="30">
        <f>D31+E31+F31+G31</f>
        <v>1574281.462905</v>
      </c>
    </row>
    <row r="32" spans="1:9" x14ac:dyDescent="0.25">
      <c r="A32" s="27" t="s">
        <v>249</v>
      </c>
      <c r="B32" s="10"/>
      <c r="C32" s="28"/>
      <c r="D32" s="11"/>
      <c r="E32" s="11"/>
      <c r="F32" s="11"/>
      <c r="G32" s="11"/>
      <c r="H32" s="11"/>
      <c r="I32" s="11"/>
    </row>
    <row r="33" spans="1:9" x14ac:dyDescent="0.25">
      <c r="A33" s="7" t="s">
        <v>247</v>
      </c>
      <c r="B33" s="10"/>
      <c r="C33" s="22">
        <f>0.9303*1.1073</f>
        <v>1.03012119</v>
      </c>
      <c r="D33" s="11"/>
      <c r="E33" s="11"/>
      <c r="F33" s="11"/>
      <c r="G33" s="11"/>
      <c r="H33" s="11"/>
      <c r="I33" s="11"/>
    </row>
    <row r="34" spans="1:9" x14ac:dyDescent="0.25">
      <c r="A34" s="7" t="s">
        <v>248</v>
      </c>
      <c r="B34" s="10"/>
      <c r="C34" s="17">
        <f>C27*C33</f>
        <v>582559.28597475006</v>
      </c>
      <c r="D34" s="14">
        <f>D27*C33</f>
        <v>158329.626903</v>
      </c>
      <c r="E34" s="14">
        <f>E27*C33</f>
        <v>145097.72021745</v>
      </c>
      <c r="F34" s="14">
        <f>F27*C33</f>
        <v>120112.130754</v>
      </c>
      <c r="G34" s="14">
        <f>G27*C33</f>
        <v>159019.8081003</v>
      </c>
      <c r="H34" s="14">
        <f>SUM(D34:G34)</f>
        <v>582559.28597474995</v>
      </c>
      <c r="I34" s="18"/>
    </row>
    <row r="35" spans="1:9" x14ac:dyDescent="0.25">
      <c r="A35" s="7" t="s">
        <v>236</v>
      </c>
      <c r="B35" s="10"/>
      <c r="C35" s="29"/>
      <c r="D35" s="12">
        <f>D34*1.2</f>
        <v>189995.5522836</v>
      </c>
      <c r="E35" s="12">
        <f>E34*1.2</f>
        <v>174117.26426093999</v>
      </c>
      <c r="F35" s="12">
        <f>F34*1.2</f>
        <v>144134.5569048</v>
      </c>
      <c r="G35" s="12">
        <f>G34*1.2</f>
        <v>190823.76972036</v>
      </c>
      <c r="H35" s="12">
        <f>H34*1.2</f>
        <v>699071.14316969994</v>
      </c>
      <c r="I35" s="30">
        <f>D35+E35+F35+G35</f>
        <v>699071.14316969994</v>
      </c>
    </row>
    <row r="36" spans="1:9" x14ac:dyDescent="0.25">
      <c r="A36" s="27" t="s">
        <v>250</v>
      </c>
      <c r="B36" s="10"/>
      <c r="C36" s="28"/>
      <c r="D36" s="11"/>
      <c r="E36" s="11"/>
      <c r="F36" s="11"/>
      <c r="G36" s="11"/>
      <c r="H36" s="11"/>
      <c r="I36" s="11"/>
    </row>
    <row r="37" spans="1:9" x14ac:dyDescent="0.25">
      <c r="A37" s="7" t="s">
        <v>247</v>
      </c>
      <c r="B37" s="10"/>
      <c r="C37" s="22">
        <f>0.102*1.1073</f>
        <v>0.11294459999999999</v>
      </c>
      <c r="D37" s="11"/>
      <c r="E37" s="11"/>
      <c r="F37" s="11"/>
      <c r="G37" s="11"/>
      <c r="H37" s="11"/>
      <c r="I37" s="11"/>
    </row>
    <row r="38" spans="1:9" x14ac:dyDescent="0.25">
      <c r="A38" s="7" t="s">
        <v>248</v>
      </c>
      <c r="B38" s="10"/>
      <c r="C38" s="17">
        <f>C27*C37</f>
        <v>63872.994914999996</v>
      </c>
      <c r="D38" s="14">
        <f>D27*C37</f>
        <v>17359.585019999999</v>
      </c>
      <c r="E38" s="14">
        <f>E27*C37</f>
        <v>15908.811632999999</v>
      </c>
      <c r="F38" s="14">
        <f>F27*C37</f>
        <v>13169.340359999998</v>
      </c>
      <c r="G38" s="14">
        <f>G27*C37</f>
        <v>17435.257901999998</v>
      </c>
      <c r="H38" s="14">
        <f>SUM(D38:G38)</f>
        <v>63872.994914999988</v>
      </c>
      <c r="I38" s="18"/>
    </row>
    <row r="39" spans="1:9" x14ac:dyDescent="0.25">
      <c r="A39" s="7" t="s">
        <v>236</v>
      </c>
      <c r="B39" s="10"/>
      <c r="C39" s="29">
        <f>(C30+C34+C38)*1.2</f>
        <v>2350000.1999726999</v>
      </c>
      <c r="D39" s="12">
        <f>D38*1.2</f>
        <v>20831.502023999998</v>
      </c>
      <c r="E39" s="12">
        <f>E38*1.2</f>
        <v>19090.573959599998</v>
      </c>
      <c r="F39" s="12">
        <f>F38*1.2</f>
        <v>15803.208431999998</v>
      </c>
      <c r="G39" s="12">
        <f>G38*1.2</f>
        <v>20922.309482399996</v>
      </c>
      <c r="H39" s="12">
        <f>H38*1.2</f>
        <v>76647.593897999977</v>
      </c>
      <c r="I39" s="30">
        <f>G39+F39+E39+D39</f>
        <v>76647.593897999992</v>
      </c>
    </row>
    <row r="40" spans="1:9" x14ac:dyDescent="0.25">
      <c r="A40" s="19" t="s">
        <v>251</v>
      </c>
      <c r="B40" s="10"/>
      <c r="C40" s="17"/>
      <c r="D40" s="25">
        <f>D31+D35+D39</f>
        <v>638689.76744760002</v>
      </c>
      <c r="E40" s="25">
        <f>E31+E35+E39</f>
        <v>585313.25435154</v>
      </c>
      <c r="F40" s="25">
        <f>F31+F35+F39</f>
        <v>484523.27185680001</v>
      </c>
      <c r="G40" s="25">
        <f>G31+G35+G39</f>
        <v>641473.90631676</v>
      </c>
      <c r="H40" s="25">
        <f>SUM(D40:G40)</f>
        <v>2350000.1999727003</v>
      </c>
      <c r="I40" s="26">
        <f>SUM(D40:G40)</f>
        <v>2350000.1999727003</v>
      </c>
    </row>
    <row r="41" spans="1:9" x14ac:dyDescent="0.25">
      <c r="A41" s="9" t="s">
        <v>252</v>
      </c>
      <c r="B41" s="10" t="s">
        <v>239</v>
      </c>
      <c r="C41" s="14">
        <v>41647</v>
      </c>
      <c r="D41" s="14">
        <v>9850</v>
      </c>
      <c r="E41" s="14">
        <v>11500</v>
      </c>
      <c r="F41" s="14">
        <v>10800</v>
      </c>
      <c r="G41" s="14">
        <v>9497</v>
      </c>
      <c r="H41" s="14">
        <f>SUM(D41:G41)</f>
        <v>41647</v>
      </c>
      <c r="I41" s="12"/>
    </row>
    <row r="42" spans="1:9" x14ac:dyDescent="0.25">
      <c r="A42" s="27" t="s">
        <v>246</v>
      </c>
      <c r="B42" s="10"/>
      <c r="C42" s="11"/>
      <c r="D42" s="11"/>
      <c r="E42" s="11"/>
      <c r="F42" s="11"/>
      <c r="G42" s="11"/>
      <c r="H42" s="11"/>
      <c r="I42" s="11"/>
    </row>
    <row r="43" spans="1:9" x14ac:dyDescent="0.25">
      <c r="A43" s="7" t="s">
        <v>247</v>
      </c>
      <c r="B43" s="7"/>
      <c r="C43" s="14">
        <f>8.1886*1.1073</f>
        <v>9.0672367799999982</v>
      </c>
      <c r="D43" s="11"/>
      <c r="E43" s="11"/>
      <c r="F43" s="11"/>
      <c r="G43" s="11"/>
      <c r="H43" s="11"/>
      <c r="I43" s="11"/>
    </row>
    <row r="44" spans="1:9" x14ac:dyDescent="0.25">
      <c r="A44" s="7" t="s">
        <v>248</v>
      </c>
      <c r="B44" s="7"/>
      <c r="C44" s="14">
        <f>C41*C43</f>
        <v>377623.21017665992</v>
      </c>
      <c r="D44" s="14">
        <f>D41*C43</f>
        <v>89312.282282999979</v>
      </c>
      <c r="E44" s="14">
        <f>E41*C43</f>
        <v>104273.22296999997</v>
      </c>
      <c r="F44" s="14">
        <f>F41*C43</f>
        <v>97926.15722399998</v>
      </c>
      <c r="G44" s="14">
        <f>G41*C43</f>
        <v>86111.54769965999</v>
      </c>
      <c r="H44" s="14">
        <f>SUM(D44:G44)</f>
        <v>377623.21017665992</v>
      </c>
      <c r="I44" s="30"/>
    </row>
    <row r="45" spans="1:9" x14ac:dyDescent="0.25">
      <c r="A45" s="7" t="s">
        <v>236</v>
      </c>
      <c r="B45" s="7"/>
      <c r="C45" s="12"/>
      <c r="D45" s="12">
        <f>D44*1.2</f>
        <v>107174.73873959997</v>
      </c>
      <c r="E45" s="12">
        <f>E44*1.2</f>
        <v>125127.86756399996</v>
      </c>
      <c r="F45" s="12">
        <f>F44*1.2</f>
        <v>117511.38866879998</v>
      </c>
      <c r="G45" s="12">
        <f>G44*1.2</f>
        <v>103333.85723959199</v>
      </c>
      <c r="H45" s="12">
        <f>H44*1.2</f>
        <v>453147.85221199191</v>
      </c>
      <c r="I45" s="14">
        <f>D45+E45+F45+G45</f>
        <v>453147.85221199191</v>
      </c>
    </row>
    <row r="46" spans="1:9" x14ac:dyDescent="0.25">
      <c r="A46" s="27" t="s">
        <v>249</v>
      </c>
      <c r="B46" s="7"/>
      <c r="C46" s="11"/>
      <c r="D46" s="11"/>
      <c r="E46" s="11"/>
      <c r="F46" s="11"/>
      <c r="G46" s="11"/>
      <c r="H46" s="11"/>
      <c r="I46" s="11"/>
    </row>
    <row r="47" spans="1:9" x14ac:dyDescent="0.25">
      <c r="A47" s="7" t="s">
        <v>247</v>
      </c>
      <c r="B47" s="7"/>
      <c r="C47" s="11">
        <f>0.85572*1.1073</f>
        <v>0.94753875600000004</v>
      </c>
      <c r="D47" s="11"/>
      <c r="E47" s="11"/>
      <c r="F47" s="11"/>
      <c r="G47" s="11"/>
      <c r="H47" s="11"/>
      <c r="I47" s="11"/>
    </row>
    <row r="48" spans="1:9" x14ac:dyDescent="0.25">
      <c r="A48" s="7" t="s">
        <v>248</v>
      </c>
      <c r="B48" s="7"/>
      <c r="C48" s="18">
        <f>C41*C47</f>
        <v>39462.146571132005</v>
      </c>
      <c r="D48" s="18">
        <f>D41*C47</f>
        <v>9333.2567466</v>
      </c>
      <c r="E48" s="18">
        <f>E41*C47</f>
        <v>10896.695694</v>
      </c>
      <c r="F48" s="18">
        <f>F41*C47</f>
        <v>10233.4185648</v>
      </c>
      <c r="G48" s="18">
        <f>G41*C47</f>
        <v>8998.7755657319994</v>
      </c>
      <c r="H48" s="18">
        <f>SUM(D48:G48)</f>
        <v>39462.146571131998</v>
      </c>
      <c r="I48" s="18"/>
    </row>
    <row r="49" spans="1:9" x14ac:dyDescent="0.25">
      <c r="A49" s="7" t="s">
        <v>236</v>
      </c>
      <c r="B49" s="7"/>
      <c r="C49" s="12"/>
      <c r="D49" s="12">
        <f>D48*1.2</f>
        <v>11199.90809592</v>
      </c>
      <c r="E49" s="12">
        <f>E48*1.2</f>
        <v>13076.0348328</v>
      </c>
      <c r="F49" s="12">
        <f>F48*1.2</f>
        <v>12280.102277759999</v>
      </c>
      <c r="G49" s="12">
        <f>G48*1.2</f>
        <v>10798.530678878398</v>
      </c>
      <c r="H49" s="12">
        <f>H48*1.2</f>
        <v>47354.575885358397</v>
      </c>
      <c r="I49" s="30">
        <f>G49+F49+E49+D49</f>
        <v>47354.575885358397</v>
      </c>
    </row>
    <row r="50" spans="1:9" x14ac:dyDescent="0.25">
      <c r="A50" s="19" t="s">
        <v>253</v>
      </c>
      <c r="B50" s="7"/>
      <c r="C50" s="31">
        <f>(C44+E5846)*1.2</f>
        <v>453147.85221199191</v>
      </c>
      <c r="D50" s="32">
        <f>D45+D49</f>
        <v>118374.64683551996</v>
      </c>
      <c r="E50" s="32">
        <f>E45+E49</f>
        <v>138203.90239679997</v>
      </c>
      <c r="F50" s="32">
        <f>F45+F49</f>
        <v>129791.49094655998</v>
      </c>
      <c r="G50" s="32">
        <f>G45+G49</f>
        <v>114132.38791847038</v>
      </c>
      <c r="H50" s="32">
        <f>H45+H49</f>
        <v>500502.42809735029</v>
      </c>
      <c r="I50" s="33">
        <f>G50+F50+E50+D50</f>
        <v>500502.42809735029</v>
      </c>
    </row>
    <row r="51" spans="1:9" x14ac:dyDescent="0.25">
      <c r="A51" s="43" t="s">
        <v>268</v>
      </c>
      <c r="B51" s="10" t="s">
        <v>239</v>
      </c>
      <c r="C51" s="31">
        <v>1118</v>
      </c>
      <c r="D51" s="11">
        <v>280</v>
      </c>
      <c r="E51" s="11">
        <v>280</v>
      </c>
      <c r="F51" s="11">
        <v>280</v>
      </c>
      <c r="G51" s="11">
        <v>278</v>
      </c>
      <c r="H51" s="11">
        <f>SUM(D51:G51)</f>
        <v>1118</v>
      </c>
      <c r="I51" s="33"/>
    </row>
    <row r="52" spans="1:9" x14ac:dyDescent="0.25">
      <c r="A52" s="44" t="s">
        <v>247</v>
      </c>
      <c r="B52" s="7"/>
      <c r="C52" s="14">
        <f>94.24*1.1073</f>
        <v>104.35195199999998</v>
      </c>
      <c r="D52" s="32"/>
      <c r="E52" s="32"/>
      <c r="F52" s="32"/>
      <c r="G52" s="32"/>
      <c r="H52" s="32"/>
      <c r="I52" s="33"/>
    </row>
    <row r="53" spans="1:9" x14ac:dyDescent="0.25">
      <c r="A53" s="44" t="s">
        <v>248</v>
      </c>
      <c r="B53" s="7"/>
      <c r="C53" s="14">
        <f>C51*C52</f>
        <v>116665.48233599999</v>
      </c>
      <c r="D53" s="18">
        <f>D51*C52</f>
        <v>29218.546559999995</v>
      </c>
      <c r="E53" s="18">
        <f>E51*C52</f>
        <v>29218.546559999995</v>
      </c>
      <c r="F53" s="18">
        <f>F51*C52</f>
        <v>29218.546559999995</v>
      </c>
      <c r="G53" s="18">
        <f>G51*C52</f>
        <v>29009.842655999993</v>
      </c>
      <c r="H53" s="11">
        <f>SUM(D53:G53)</f>
        <v>116665.48233599999</v>
      </c>
      <c r="I53" s="33"/>
    </row>
    <row r="54" spans="1:9" x14ac:dyDescent="0.25">
      <c r="A54" s="44" t="s">
        <v>236</v>
      </c>
      <c r="B54" s="7"/>
      <c r="C54" s="31"/>
      <c r="D54" s="12">
        <f>D53*1.2</f>
        <v>35062.255871999994</v>
      </c>
      <c r="E54" s="12">
        <f>E53*1.2</f>
        <v>35062.255871999994</v>
      </c>
      <c r="F54" s="12">
        <f>F53*1.2</f>
        <v>35062.255871999994</v>
      </c>
      <c r="G54" s="12">
        <f>G53*1.2</f>
        <v>34811.811187199994</v>
      </c>
      <c r="H54" s="45">
        <f>SUM(D54:G54)</f>
        <v>139998.57880319998</v>
      </c>
      <c r="I54" s="33"/>
    </row>
    <row r="55" spans="1:9" x14ac:dyDescent="0.25">
      <c r="A55" s="46" t="s">
        <v>269</v>
      </c>
      <c r="B55" s="7"/>
      <c r="C55" s="31"/>
      <c r="D55" s="32">
        <f>D54</f>
        <v>35062.255871999994</v>
      </c>
      <c r="E55" s="32">
        <f t="shared" ref="E55:G55" si="0">E54</f>
        <v>35062.255871999994</v>
      </c>
      <c r="F55" s="32">
        <f t="shared" si="0"/>
        <v>35062.255871999994</v>
      </c>
      <c r="G55" s="32">
        <f t="shared" si="0"/>
        <v>34811.811187199994</v>
      </c>
      <c r="H55" s="32">
        <f>SUM(D55:G55)</f>
        <v>139998.57880319998</v>
      </c>
      <c r="I55" s="33">
        <f>G55+F55+E55+D55</f>
        <v>139998.57880319998</v>
      </c>
    </row>
    <row r="56" spans="1:9" x14ac:dyDescent="0.25">
      <c r="A56" s="34"/>
      <c r="B56" s="35"/>
      <c r="C56" s="36"/>
      <c r="D56" s="37"/>
      <c r="E56" s="37"/>
      <c r="F56" s="37"/>
      <c r="G56" s="37"/>
      <c r="H56" s="37"/>
      <c r="I56" s="38"/>
    </row>
    <row r="57" spans="1:9" x14ac:dyDescent="0.25">
      <c r="A57" s="34"/>
      <c r="B57" s="35"/>
      <c r="C57" s="36"/>
      <c r="D57" s="37">
        <f>SUM(D17,D26,D40,D50,D55)</f>
        <v>5341674.910727297</v>
      </c>
      <c r="E57" s="37">
        <f>SUM(E17,E26,E40,E50,E55)</f>
        <v>1193351.8526251558</v>
      </c>
      <c r="F57" s="37">
        <f>SUM(F17,F26,F40,F50,F55)</f>
        <v>925687.80379180796</v>
      </c>
      <c r="G57" s="37">
        <f>SUM(G17,G26,G40,G50,G55)</f>
        <v>4878216.420205838</v>
      </c>
      <c r="H57" s="37">
        <f>SUM(D57:G57)</f>
        <v>12338930.987350099</v>
      </c>
      <c r="I57" s="38">
        <f>I50+I40+I26+I17+I55</f>
        <v>12338930.987350099</v>
      </c>
    </row>
    <row r="60" spans="1:9" x14ac:dyDescent="0.25">
      <c r="A60" s="39" t="s">
        <v>254</v>
      </c>
      <c r="B60" s="39"/>
      <c r="C60" s="39"/>
      <c r="D60" s="40"/>
      <c r="E60" s="40"/>
      <c r="F60" s="40"/>
      <c r="G60" s="40" t="s">
        <v>255</v>
      </c>
      <c r="H60" s="40"/>
      <c r="I60" s="39"/>
    </row>
    <row r="61" spans="1:9" x14ac:dyDescent="0.25">
      <c r="A61" s="39" t="s">
        <v>256</v>
      </c>
      <c r="B61" s="39"/>
      <c r="C61" s="39"/>
      <c r="D61" s="40"/>
      <c r="E61" s="40"/>
      <c r="F61" s="40"/>
      <c r="G61" s="40" t="s">
        <v>257</v>
      </c>
      <c r="H61" s="40"/>
      <c r="I61" s="39"/>
    </row>
  </sheetData>
  <mergeCells count="1">
    <mergeCell ref="A2:I2"/>
  </mergeCells>
  <pageMargins left="0.7" right="0.7" top="0.75" bottom="0.75" header="0.3" footer="0.3"/>
  <pageSetup paperSize="9" scale="6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4" workbookViewId="0">
      <selection activeCell="D31" sqref="D31"/>
    </sheetView>
  </sheetViews>
  <sheetFormatPr defaultRowHeight="15" x14ac:dyDescent="0.25"/>
  <cols>
    <col min="1" max="1" width="5.140625" customWidth="1"/>
    <col min="2" max="2" width="54.140625" customWidth="1"/>
    <col min="3" max="3" width="10.85546875" customWidth="1"/>
    <col min="4" max="4" width="15" customWidth="1"/>
  </cols>
  <sheetData>
    <row r="1" spans="1:4" x14ac:dyDescent="0.25">
      <c r="D1" t="s">
        <v>316</v>
      </c>
    </row>
    <row r="2" spans="1:4" ht="15.75" x14ac:dyDescent="0.25">
      <c r="B2" s="47" t="s">
        <v>270</v>
      </c>
    </row>
    <row r="3" spans="1:4" ht="15.75" thickBot="1" x14ac:dyDescent="0.3">
      <c r="D3" t="s">
        <v>277</v>
      </c>
    </row>
    <row r="4" spans="1:4" ht="30" x14ac:dyDescent="0.25">
      <c r="A4" s="464" t="s">
        <v>666</v>
      </c>
      <c r="B4" s="460" t="s">
        <v>271</v>
      </c>
      <c r="C4" s="462" t="s">
        <v>272</v>
      </c>
      <c r="D4" s="48" t="s">
        <v>276</v>
      </c>
    </row>
    <row r="5" spans="1:4" ht="15.75" thickBot="1" x14ac:dyDescent="0.3">
      <c r="A5" s="465"/>
      <c r="B5" s="461"/>
      <c r="C5" s="463"/>
      <c r="D5" s="49" t="s">
        <v>688</v>
      </c>
    </row>
    <row r="6" spans="1:4" x14ac:dyDescent="0.25">
      <c r="A6" s="305">
        <v>1</v>
      </c>
      <c r="B6" s="293">
        <v>2</v>
      </c>
      <c r="C6" s="50">
        <v>3</v>
      </c>
      <c r="D6" s="51">
        <v>4</v>
      </c>
    </row>
    <row r="7" spans="1:4" x14ac:dyDescent="0.25">
      <c r="A7" s="306">
        <v>1</v>
      </c>
      <c r="B7" s="294" t="s">
        <v>686</v>
      </c>
      <c r="C7" s="50">
        <v>2021</v>
      </c>
      <c r="D7" s="55">
        <v>3000</v>
      </c>
    </row>
    <row r="8" spans="1:4" x14ac:dyDescent="0.25">
      <c r="A8" s="306">
        <v>2</v>
      </c>
      <c r="B8" s="294" t="s">
        <v>687</v>
      </c>
      <c r="C8" s="50">
        <v>2021</v>
      </c>
      <c r="D8" s="55">
        <v>800</v>
      </c>
    </row>
    <row r="9" spans="1:4" x14ac:dyDescent="0.25">
      <c r="A9" s="306">
        <v>3</v>
      </c>
      <c r="B9" s="295" t="s">
        <v>278</v>
      </c>
      <c r="C9" s="50">
        <v>2021</v>
      </c>
      <c r="D9" s="307">
        <v>400</v>
      </c>
    </row>
    <row r="10" spans="1:4" ht="30" x14ac:dyDescent="0.25">
      <c r="A10" s="306">
        <v>4</v>
      </c>
      <c r="B10" s="296" t="s">
        <v>693</v>
      </c>
      <c r="C10" s="50">
        <v>2021</v>
      </c>
      <c r="D10" s="56"/>
    </row>
    <row r="11" spans="1:4" x14ac:dyDescent="0.25">
      <c r="A11" s="306"/>
      <c r="B11" s="297" t="s">
        <v>692</v>
      </c>
      <c r="C11" s="50"/>
      <c r="D11" s="56">
        <v>200</v>
      </c>
    </row>
    <row r="12" spans="1:4" x14ac:dyDescent="0.25">
      <c r="A12" s="306">
        <v>5</v>
      </c>
      <c r="B12" s="296" t="s">
        <v>279</v>
      </c>
      <c r="C12" s="50">
        <v>2021</v>
      </c>
      <c r="D12" s="56">
        <v>250</v>
      </c>
    </row>
    <row r="13" spans="1:4" ht="30" x14ac:dyDescent="0.25">
      <c r="A13" s="306">
        <v>6</v>
      </c>
      <c r="B13" s="298" t="s">
        <v>280</v>
      </c>
      <c r="C13" s="50">
        <v>2021</v>
      </c>
      <c r="D13" s="56">
        <v>1200</v>
      </c>
    </row>
    <row r="14" spans="1:4" x14ac:dyDescent="0.25">
      <c r="A14" s="306">
        <v>7</v>
      </c>
      <c r="B14" s="298" t="s">
        <v>281</v>
      </c>
      <c r="C14" s="50">
        <v>2021</v>
      </c>
      <c r="D14" s="56">
        <v>1000</v>
      </c>
    </row>
    <row r="15" spans="1:4" ht="30" x14ac:dyDescent="0.25">
      <c r="A15" s="306">
        <v>8</v>
      </c>
      <c r="B15" s="298" t="s">
        <v>282</v>
      </c>
      <c r="C15" s="50">
        <v>2021</v>
      </c>
      <c r="D15" s="56">
        <v>300</v>
      </c>
    </row>
    <row r="16" spans="1:4" x14ac:dyDescent="0.25">
      <c r="A16" s="306">
        <v>9</v>
      </c>
      <c r="B16" s="298" t="s">
        <v>689</v>
      </c>
      <c r="C16" s="50">
        <v>2021</v>
      </c>
      <c r="D16" s="56"/>
    </row>
    <row r="17" spans="1:5" ht="15" customHeight="1" x14ac:dyDescent="0.25">
      <c r="A17" s="306"/>
      <c r="B17" s="299" t="s">
        <v>68</v>
      </c>
      <c r="C17" s="254"/>
      <c r="D17" s="287">
        <v>800</v>
      </c>
    </row>
    <row r="18" spans="1:5" x14ac:dyDescent="0.25">
      <c r="A18" s="306"/>
      <c r="B18" s="299" t="s">
        <v>690</v>
      </c>
      <c r="C18" s="254"/>
      <c r="D18" s="287">
        <v>200</v>
      </c>
    </row>
    <row r="19" spans="1:5" x14ac:dyDescent="0.25">
      <c r="A19" s="306">
        <v>10</v>
      </c>
      <c r="B19" s="300" t="s">
        <v>691</v>
      </c>
      <c r="C19" s="288">
        <v>2021</v>
      </c>
      <c r="D19" s="289"/>
    </row>
    <row r="20" spans="1:5" x14ac:dyDescent="0.25">
      <c r="A20" s="306"/>
      <c r="B20" s="301" t="s">
        <v>68</v>
      </c>
      <c r="C20" s="292"/>
      <c r="D20" s="308">
        <v>1200</v>
      </c>
    </row>
    <row r="21" spans="1:5" x14ac:dyDescent="0.25">
      <c r="A21" s="306"/>
      <c r="B21" s="302" t="s">
        <v>690</v>
      </c>
      <c r="C21" s="290"/>
      <c r="D21" s="309">
        <v>300</v>
      </c>
    </row>
    <row r="22" spans="1:5" x14ac:dyDescent="0.25">
      <c r="A22" s="306">
        <v>11</v>
      </c>
      <c r="B22" s="303" t="s">
        <v>283</v>
      </c>
      <c r="C22" s="290">
        <v>2021</v>
      </c>
      <c r="D22" s="291">
        <v>1000</v>
      </c>
    </row>
    <row r="23" spans="1:5" x14ac:dyDescent="0.25">
      <c r="A23" s="306">
        <v>12</v>
      </c>
      <c r="B23" s="298" t="s">
        <v>694</v>
      </c>
      <c r="C23" s="50">
        <v>2021</v>
      </c>
      <c r="D23" s="56">
        <v>1200</v>
      </c>
    </row>
    <row r="24" spans="1:5" x14ac:dyDescent="0.25">
      <c r="A24" s="306"/>
      <c r="B24" s="298"/>
      <c r="C24" s="50"/>
      <c r="D24" s="56"/>
    </row>
    <row r="25" spans="1:5" x14ac:dyDescent="0.25">
      <c r="A25" s="306"/>
      <c r="B25" s="298"/>
      <c r="C25" s="50"/>
      <c r="D25" s="56"/>
    </row>
    <row r="26" spans="1:5" x14ac:dyDescent="0.25">
      <c r="A26" s="306"/>
      <c r="B26" s="298"/>
      <c r="C26" s="50"/>
      <c r="D26" s="56"/>
    </row>
    <row r="27" spans="1:5" x14ac:dyDescent="0.25">
      <c r="A27" s="306"/>
      <c r="B27" s="298"/>
      <c r="C27" s="50"/>
      <c r="D27" s="56"/>
    </row>
    <row r="28" spans="1:5" x14ac:dyDescent="0.25">
      <c r="A28" s="306"/>
      <c r="B28" s="298"/>
      <c r="C28" s="50"/>
      <c r="D28" s="56"/>
    </row>
    <row r="29" spans="1:5" x14ac:dyDescent="0.25">
      <c r="A29" s="306"/>
      <c r="B29" s="298"/>
      <c r="C29" s="50"/>
      <c r="D29" s="56"/>
    </row>
    <row r="30" spans="1:5" x14ac:dyDescent="0.25">
      <c r="A30" s="306"/>
      <c r="B30" s="298"/>
      <c r="C30" s="50"/>
      <c r="D30" s="52"/>
    </row>
    <row r="31" spans="1:5" ht="16.5" thickBot="1" x14ac:dyDescent="0.3">
      <c r="A31" s="310"/>
      <c r="B31" s="304" t="s">
        <v>273</v>
      </c>
      <c r="C31" s="53"/>
      <c r="D31" s="251">
        <f>SUM(D7:D30)</f>
        <v>11850</v>
      </c>
      <c r="E31" s="106"/>
    </row>
    <row r="32" spans="1:5" ht="33" customHeight="1" x14ac:dyDescent="0.25"/>
    <row r="33" spans="2:4" x14ac:dyDescent="0.25">
      <c r="B33" s="54" t="s">
        <v>254</v>
      </c>
      <c r="D33" t="s">
        <v>255</v>
      </c>
    </row>
    <row r="35" spans="2:4" x14ac:dyDescent="0.25">
      <c r="B35" s="54" t="s">
        <v>256</v>
      </c>
      <c r="D35" t="s">
        <v>257</v>
      </c>
    </row>
  </sheetData>
  <mergeCells count="3">
    <mergeCell ref="B4:B5"/>
    <mergeCell ref="C4:C5"/>
    <mergeCell ref="A4:A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sqref="A1:F2"/>
    </sheetView>
  </sheetViews>
  <sheetFormatPr defaultRowHeight="15" x14ac:dyDescent="0.25"/>
  <cols>
    <col min="1" max="1" width="6.5703125" customWidth="1"/>
    <col min="2" max="2" width="45.7109375" customWidth="1"/>
    <col min="3" max="3" width="17" customWidth="1"/>
    <col min="4" max="5" width="17.42578125" customWidth="1"/>
  </cols>
  <sheetData>
    <row r="1" spans="1:7" x14ac:dyDescent="0.25">
      <c r="A1" s="466" t="s">
        <v>665</v>
      </c>
      <c r="B1" s="467"/>
      <c r="C1" s="467"/>
      <c r="D1" s="467"/>
      <c r="E1" s="467"/>
      <c r="F1" s="467"/>
    </row>
    <row r="2" spans="1:7" x14ac:dyDescent="0.25">
      <c r="A2" s="469" t="s">
        <v>682</v>
      </c>
      <c r="B2" s="470"/>
      <c r="C2" s="470"/>
      <c r="D2" s="470"/>
      <c r="E2" s="470"/>
      <c r="F2" s="470"/>
    </row>
    <row r="3" spans="1:7" ht="30" x14ac:dyDescent="0.25">
      <c r="A3" s="278" t="s">
        <v>666</v>
      </c>
      <c r="B3" s="279" t="s">
        <v>667</v>
      </c>
      <c r="C3" s="279" t="s">
        <v>28</v>
      </c>
      <c r="D3" s="278" t="s">
        <v>321</v>
      </c>
      <c r="E3" s="278" t="s">
        <v>676</v>
      </c>
      <c r="F3" s="280" t="s">
        <v>677</v>
      </c>
      <c r="G3" s="277"/>
    </row>
    <row r="4" spans="1:7" x14ac:dyDescent="0.25">
      <c r="A4" s="271">
        <v>1</v>
      </c>
      <c r="B4" s="285" t="s">
        <v>668</v>
      </c>
      <c r="C4" s="253" t="s">
        <v>669</v>
      </c>
      <c r="D4" s="253">
        <v>1</v>
      </c>
      <c r="E4" s="286">
        <v>500</v>
      </c>
      <c r="F4" s="284">
        <f t="shared" ref="F4:F11" si="0">D4*E4</f>
        <v>500</v>
      </c>
    </row>
    <row r="5" spans="1:7" x14ac:dyDescent="0.25">
      <c r="A5" s="271">
        <v>2</v>
      </c>
      <c r="B5" s="285" t="s">
        <v>663</v>
      </c>
      <c r="C5" s="253" t="s">
        <v>669</v>
      </c>
      <c r="D5" s="253">
        <v>2</v>
      </c>
      <c r="E5" s="286">
        <v>450</v>
      </c>
      <c r="F5" s="284">
        <f t="shared" si="0"/>
        <v>900</v>
      </c>
    </row>
    <row r="6" spans="1:7" x14ac:dyDescent="0.25">
      <c r="A6" s="271">
        <v>3</v>
      </c>
      <c r="B6" s="285" t="s">
        <v>670</v>
      </c>
      <c r="C6" s="253" t="s">
        <v>669</v>
      </c>
      <c r="D6" s="253">
        <v>2</v>
      </c>
      <c r="E6" s="286">
        <v>100</v>
      </c>
      <c r="F6" s="284">
        <f t="shared" si="0"/>
        <v>200</v>
      </c>
    </row>
    <row r="7" spans="1:7" x14ac:dyDescent="0.25">
      <c r="A7" s="271">
        <v>4</v>
      </c>
      <c r="B7" s="285" t="s">
        <v>671</v>
      </c>
      <c r="C7" s="253" t="s">
        <v>669</v>
      </c>
      <c r="D7" s="253">
        <v>2</v>
      </c>
      <c r="E7" s="286">
        <v>300</v>
      </c>
      <c r="F7" s="284">
        <f t="shared" si="0"/>
        <v>600</v>
      </c>
    </row>
    <row r="8" spans="1:7" x14ac:dyDescent="0.25">
      <c r="A8" s="271">
        <v>5</v>
      </c>
      <c r="B8" s="285" t="s">
        <v>672</v>
      </c>
      <c r="C8" s="253" t="s">
        <v>669</v>
      </c>
      <c r="D8" s="253">
        <v>1</v>
      </c>
      <c r="E8" s="286">
        <v>120</v>
      </c>
      <c r="F8" s="284">
        <f t="shared" si="0"/>
        <v>120</v>
      </c>
    </row>
    <row r="9" spans="1:7" x14ac:dyDescent="0.25">
      <c r="A9" s="271">
        <v>6</v>
      </c>
      <c r="B9" s="285" t="s">
        <v>673</v>
      </c>
      <c r="C9" s="253" t="s">
        <v>669</v>
      </c>
      <c r="D9" s="253">
        <v>4</v>
      </c>
      <c r="E9" s="286">
        <v>70</v>
      </c>
      <c r="F9" s="284">
        <f t="shared" si="0"/>
        <v>280</v>
      </c>
    </row>
    <row r="10" spans="1:7" x14ac:dyDescent="0.25">
      <c r="A10" s="271">
        <v>7</v>
      </c>
      <c r="B10" s="285" t="s">
        <v>674</v>
      </c>
      <c r="C10" s="253" t="s">
        <v>669</v>
      </c>
      <c r="D10" s="253">
        <v>1</v>
      </c>
      <c r="E10" s="286">
        <v>350</v>
      </c>
      <c r="F10" s="284">
        <f t="shared" si="0"/>
        <v>350</v>
      </c>
    </row>
    <row r="11" spans="1:7" x14ac:dyDescent="0.25">
      <c r="A11" s="271">
        <v>8</v>
      </c>
      <c r="B11" s="285" t="s">
        <v>675</v>
      </c>
      <c r="C11" s="253" t="s">
        <v>669</v>
      </c>
      <c r="D11" s="253">
        <v>1</v>
      </c>
      <c r="E11" s="286">
        <v>50</v>
      </c>
      <c r="F11" s="284">
        <f t="shared" si="0"/>
        <v>50</v>
      </c>
    </row>
    <row r="12" spans="1:7" x14ac:dyDescent="0.25">
      <c r="A12" s="281"/>
      <c r="B12" s="281" t="s">
        <v>313</v>
      </c>
      <c r="C12" s="281"/>
      <c r="D12" s="281">
        <f>SUM(D4:D11)</f>
        <v>14</v>
      </c>
      <c r="E12" s="281"/>
      <c r="F12" s="283">
        <f>SUM(F4:F11)</f>
        <v>3000</v>
      </c>
    </row>
    <row r="13" spans="1:7" x14ac:dyDescent="0.25">
      <c r="A13" s="254"/>
      <c r="B13" s="254"/>
      <c r="C13" s="254"/>
      <c r="D13" s="254"/>
      <c r="E13" s="254"/>
      <c r="F13" s="254"/>
      <c r="G13" s="254"/>
    </row>
    <row r="14" spans="1:7" x14ac:dyDescent="0.25">
      <c r="A14" s="468" t="s">
        <v>681</v>
      </c>
      <c r="B14" s="468"/>
      <c r="C14" s="468"/>
      <c r="D14" s="468"/>
      <c r="E14" s="468"/>
      <c r="F14" s="468"/>
      <c r="G14" s="254"/>
    </row>
    <row r="15" spans="1:7" x14ac:dyDescent="0.25">
      <c r="A15" s="469" t="s">
        <v>683</v>
      </c>
      <c r="B15" s="470"/>
      <c r="C15" s="470"/>
      <c r="D15" s="470"/>
      <c r="E15" s="470"/>
      <c r="F15" s="471"/>
      <c r="G15" s="254"/>
    </row>
    <row r="16" spans="1:7" ht="30" x14ac:dyDescent="0.25">
      <c r="A16" s="278" t="s">
        <v>666</v>
      </c>
      <c r="B16" s="279" t="s">
        <v>667</v>
      </c>
      <c r="C16" s="279" t="s">
        <v>28</v>
      </c>
      <c r="D16" s="278" t="s">
        <v>321</v>
      </c>
      <c r="E16" s="278" t="s">
        <v>676</v>
      </c>
      <c r="F16" s="280" t="s">
        <v>677</v>
      </c>
      <c r="G16" s="254"/>
    </row>
    <row r="17" spans="1:7" x14ac:dyDescent="0.25">
      <c r="A17" s="41">
        <v>1</v>
      </c>
      <c r="B17" s="41" t="s">
        <v>684</v>
      </c>
      <c r="C17" s="41"/>
      <c r="D17" s="41"/>
      <c r="E17" s="282">
        <v>300</v>
      </c>
      <c r="F17" s="282">
        <f>E17</f>
        <v>300</v>
      </c>
      <c r="G17" s="254"/>
    </row>
    <row r="18" spans="1:7" x14ac:dyDescent="0.25">
      <c r="A18" s="41">
        <v>2</v>
      </c>
      <c r="B18" s="41" t="s">
        <v>664</v>
      </c>
      <c r="C18" s="41"/>
      <c r="D18" s="41"/>
      <c r="E18" s="282">
        <v>500</v>
      </c>
      <c r="F18" s="282">
        <f>E18</f>
        <v>500</v>
      </c>
      <c r="G18" s="254"/>
    </row>
    <row r="19" spans="1:7" x14ac:dyDescent="0.25">
      <c r="A19" s="281"/>
      <c r="B19" s="281" t="s">
        <v>313</v>
      </c>
      <c r="C19" s="281"/>
      <c r="D19" s="281"/>
      <c r="E19" s="281"/>
      <c r="F19" s="283">
        <f>SUM(F17:F18)</f>
        <v>800</v>
      </c>
      <c r="G19" s="254"/>
    </row>
    <row r="20" spans="1:7" x14ac:dyDescent="0.25">
      <c r="A20" s="254"/>
      <c r="B20" s="254"/>
      <c r="C20" s="254"/>
      <c r="D20" s="254"/>
      <c r="E20" s="254"/>
      <c r="F20" s="254"/>
      <c r="G20" s="254"/>
    </row>
    <row r="22" spans="1:7" x14ac:dyDescent="0.25">
      <c r="B22" s="54" t="s">
        <v>678</v>
      </c>
      <c r="C22" s="254"/>
      <c r="D22" s="254"/>
      <c r="E22" s="254" t="s">
        <v>679</v>
      </c>
    </row>
    <row r="23" spans="1:7" x14ac:dyDescent="0.25">
      <c r="B23" s="254"/>
      <c r="C23" s="254"/>
      <c r="D23" s="254"/>
      <c r="E23" s="254"/>
    </row>
    <row r="24" spans="1:7" x14ac:dyDescent="0.25">
      <c r="B24" s="254" t="s">
        <v>256</v>
      </c>
      <c r="C24" s="254"/>
      <c r="D24" s="254"/>
      <c r="E24" s="254" t="s">
        <v>680</v>
      </c>
    </row>
    <row r="30" spans="1:7" x14ac:dyDescent="0.25">
      <c r="A30" s="254"/>
      <c r="F30" s="254"/>
    </row>
    <row r="31" spans="1:7" x14ac:dyDescent="0.25">
      <c r="A31" s="254"/>
      <c r="F31" s="254"/>
    </row>
    <row r="32" spans="1:7" x14ac:dyDescent="0.25">
      <c r="A32" s="254"/>
      <c r="F32" s="254"/>
    </row>
  </sheetData>
  <mergeCells count="4">
    <mergeCell ref="A1:F1"/>
    <mergeCell ref="A14:F14"/>
    <mergeCell ref="A2:F2"/>
    <mergeCell ref="A15:F15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I32" sqref="I32"/>
    </sheetView>
  </sheetViews>
  <sheetFormatPr defaultRowHeight="15" x14ac:dyDescent="0.25"/>
  <cols>
    <col min="2" max="2" width="40.140625" customWidth="1"/>
  </cols>
  <sheetData>
    <row r="1" spans="1:6" x14ac:dyDescent="0.25">
      <c r="A1" s="478" t="s">
        <v>284</v>
      </c>
      <c r="B1" s="479"/>
      <c r="C1" s="479"/>
      <c r="D1" s="479"/>
      <c r="E1" s="479"/>
      <c r="F1" s="480"/>
    </row>
    <row r="2" spans="1:6" x14ac:dyDescent="0.25">
      <c r="A2" s="469" t="s">
        <v>715</v>
      </c>
      <c r="B2" s="470"/>
      <c r="C2" s="470"/>
      <c r="D2" s="470"/>
      <c r="E2" s="470"/>
      <c r="F2" s="471"/>
    </row>
    <row r="3" spans="1:6" ht="45" x14ac:dyDescent="0.25">
      <c r="A3" s="253" t="s">
        <v>698</v>
      </c>
      <c r="B3" s="253" t="s">
        <v>667</v>
      </c>
      <c r="C3" s="253"/>
      <c r="D3" s="311" t="s">
        <v>699</v>
      </c>
      <c r="E3" s="253"/>
      <c r="F3" s="253"/>
    </row>
    <row r="4" spans="1:6" x14ac:dyDescent="0.25">
      <c r="A4" s="475" t="s">
        <v>695</v>
      </c>
      <c r="B4" s="476"/>
      <c r="C4" s="476"/>
      <c r="D4" s="476"/>
      <c r="E4" s="476"/>
      <c r="F4" s="477"/>
    </row>
    <row r="5" spans="1:6" x14ac:dyDescent="0.25">
      <c r="A5" s="41"/>
      <c r="B5" s="41"/>
      <c r="C5" s="41"/>
      <c r="D5" s="41"/>
      <c r="E5" s="41"/>
      <c r="F5" s="41"/>
    </row>
    <row r="6" spans="1:6" x14ac:dyDescent="0.25">
      <c r="A6" s="475" t="s">
        <v>696</v>
      </c>
      <c r="B6" s="476"/>
      <c r="C6" s="476"/>
      <c r="D6" s="476"/>
      <c r="E6" s="476"/>
      <c r="F6" s="477"/>
    </row>
    <row r="7" spans="1:6" ht="45" x14ac:dyDescent="0.25">
      <c r="A7" s="279">
        <v>1</v>
      </c>
      <c r="B7" s="319" t="s">
        <v>697</v>
      </c>
      <c r="C7" s="279"/>
      <c r="D7" s="314">
        <v>100</v>
      </c>
      <c r="E7" s="279"/>
      <c r="F7" s="279"/>
    </row>
    <row r="8" spans="1:6" ht="60" x14ac:dyDescent="0.25">
      <c r="A8" s="279">
        <v>2</v>
      </c>
      <c r="B8" s="319" t="s">
        <v>700</v>
      </c>
      <c r="C8" s="279"/>
      <c r="D8" s="314">
        <v>50</v>
      </c>
      <c r="E8" s="279"/>
      <c r="F8" s="279"/>
    </row>
    <row r="9" spans="1:6" x14ac:dyDescent="0.25">
      <c r="A9" s="472" t="s">
        <v>701</v>
      </c>
      <c r="B9" s="473"/>
      <c r="C9" s="473"/>
      <c r="D9" s="473"/>
      <c r="E9" s="473"/>
      <c r="F9" s="474"/>
    </row>
    <row r="10" spans="1:6" x14ac:dyDescent="0.25">
      <c r="A10" s="278">
        <v>3</v>
      </c>
      <c r="B10" s="319" t="s">
        <v>702</v>
      </c>
      <c r="C10" s="278"/>
      <c r="D10" s="315">
        <v>100</v>
      </c>
      <c r="E10" s="278"/>
      <c r="F10" s="278"/>
    </row>
    <row r="11" spans="1:6" x14ac:dyDescent="0.25">
      <c r="A11" s="472" t="s">
        <v>703</v>
      </c>
      <c r="B11" s="473"/>
      <c r="C11" s="473"/>
      <c r="D11" s="473"/>
      <c r="E11" s="473"/>
      <c r="F11" s="474"/>
    </row>
    <row r="12" spans="1:6" x14ac:dyDescent="0.25">
      <c r="A12" s="312"/>
      <c r="B12" s="312"/>
      <c r="C12" s="312"/>
      <c r="D12" s="313"/>
      <c r="E12" s="312"/>
      <c r="F12" s="312"/>
    </row>
    <row r="13" spans="1:6" x14ac:dyDescent="0.25">
      <c r="A13" s="472" t="s">
        <v>704</v>
      </c>
      <c r="B13" s="473"/>
      <c r="C13" s="473"/>
      <c r="D13" s="473"/>
      <c r="E13" s="473"/>
      <c r="F13" s="474"/>
    </row>
    <row r="14" spans="1:6" x14ac:dyDescent="0.25">
      <c r="A14" s="279">
        <v>4</v>
      </c>
      <c r="B14" s="320" t="s">
        <v>705</v>
      </c>
      <c r="C14" s="312"/>
      <c r="D14" s="314">
        <v>50</v>
      </c>
      <c r="E14" s="312"/>
      <c r="F14" s="312"/>
    </row>
    <row r="15" spans="1:6" x14ac:dyDescent="0.25">
      <c r="A15" s="279">
        <v>5</v>
      </c>
      <c r="B15" s="320" t="s">
        <v>706</v>
      </c>
      <c r="C15" s="312"/>
      <c r="D15" s="314">
        <v>50</v>
      </c>
      <c r="E15" s="312"/>
      <c r="F15" s="312"/>
    </row>
    <row r="16" spans="1:6" ht="45" x14ac:dyDescent="0.25">
      <c r="A16" s="279">
        <v>6</v>
      </c>
      <c r="B16" s="319" t="s">
        <v>707</v>
      </c>
      <c r="C16" s="312"/>
      <c r="D16" s="314">
        <v>100</v>
      </c>
      <c r="E16" s="312"/>
      <c r="F16" s="312"/>
    </row>
    <row r="17" spans="1:6" x14ac:dyDescent="0.25">
      <c r="A17" s="279">
        <v>7</v>
      </c>
      <c r="B17" s="319" t="s">
        <v>708</v>
      </c>
      <c r="C17" s="312"/>
      <c r="D17" s="314">
        <v>200</v>
      </c>
      <c r="E17" s="312"/>
      <c r="F17" s="312"/>
    </row>
    <row r="18" spans="1:6" ht="30" x14ac:dyDescent="0.25">
      <c r="A18" s="253">
        <v>8</v>
      </c>
      <c r="B18" s="321" t="s">
        <v>709</v>
      </c>
      <c r="C18" s="41"/>
      <c r="D18" s="282">
        <v>1000</v>
      </c>
      <c r="E18" s="41"/>
      <c r="F18" s="41"/>
    </row>
    <row r="19" spans="1:6" x14ac:dyDescent="0.25">
      <c r="A19" s="253">
        <v>9</v>
      </c>
      <c r="B19" s="322" t="s">
        <v>710</v>
      </c>
      <c r="C19" s="41"/>
      <c r="D19" s="282">
        <v>250</v>
      </c>
      <c r="E19" s="41"/>
      <c r="F19" s="41"/>
    </row>
    <row r="20" spans="1:6" x14ac:dyDescent="0.25">
      <c r="A20" s="475" t="s">
        <v>711</v>
      </c>
      <c r="B20" s="476"/>
      <c r="C20" s="476"/>
      <c r="D20" s="476"/>
      <c r="E20" s="476"/>
      <c r="F20" s="477"/>
    </row>
    <row r="21" spans="1:6" ht="45" x14ac:dyDescent="0.25">
      <c r="A21" s="253">
        <v>10</v>
      </c>
      <c r="B21" s="321" t="s">
        <v>712</v>
      </c>
      <c r="C21" s="41"/>
      <c r="D21" s="282">
        <v>70</v>
      </c>
      <c r="E21" s="41"/>
      <c r="F21" s="41"/>
    </row>
    <row r="22" spans="1:6" ht="30" x14ac:dyDescent="0.25">
      <c r="A22" s="253">
        <v>11</v>
      </c>
      <c r="B22" s="321" t="s">
        <v>713</v>
      </c>
      <c r="C22" s="41"/>
      <c r="D22" s="282">
        <v>70</v>
      </c>
      <c r="E22" s="41"/>
      <c r="F22" s="41"/>
    </row>
    <row r="23" spans="1:6" ht="30" x14ac:dyDescent="0.25">
      <c r="A23" s="253">
        <v>12</v>
      </c>
      <c r="B23" s="321" t="s">
        <v>714</v>
      </c>
      <c r="C23" s="41"/>
      <c r="D23" s="282">
        <v>100</v>
      </c>
      <c r="E23" s="41"/>
      <c r="F23" s="41"/>
    </row>
    <row r="24" spans="1:6" x14ac:dyDescent="0.25">
      <c r="A24" s="253"/>
      <c r="B24" s="41"/>
      <c r="C24" s="41"/>
      <c r="D24" s="42"/>
      <c r="E24" s="41"/>
      <c r="F24" s="41"/>
    </row>
    <row r="25" spans="1:6" x14ac:dyDescent="0.25">
      <c r="A25" s="41"/>
      <c r="B25" s="41"/>
      <c r="C25" s="41"/>
      <c r="D25" s="42"/>
      <c r="E25" s="41"/>
      <c r="F25" s="41"/>
    </row>
    <row r="26" spans="1:6" x14ac:dyDescent="0.25">
      <c r="A26" s="475" t="s">
        <v>267</v>
      </c>
      <c r="B26" s="476"/>
      <c r="C26" s="476"/>
      <c r="D26" s="318">
        <f>SUM(D21:D25,D14:D19,D10,D7:D8)</f>
        <v>2140</v>
      </c>
      <c r="E26" s="316"/>
      <c r="F26" s="317"/>
    </row>
    <row r="28" spans="1:6" x14ac:dyDescent="0.25">
      <c r="B28" t="s">
        <v>678</v>
      </c>
      <c r="E28" t="s">
        <v>679</v>
      </c>
    </row>
    <row r="30" spans="1:6" x14ac:dyDescent="0.25">
      <c r="B30" t="s">
        <v>256</v>
      </c>
      <c r="E30" t="s">
        <v>680</v>
      </c>
    </row>
  </sheetData>
  <mergeCells count="9">
    <mergeCell ref="A13:F13"/>
    <mergeCell ref="A20:F20"/>
    <mergeCell ref="A26:C26"/>
    <mergeCell ref="A1:F1"/>
    <mergeCell ref="A2:F2"/>
    <mergeCell ref="A4:F4"/>
    <mergeCell ref="A6:F6"/>
    <mergeCell ref="A9:F9"/>
    <mergeCell ref="A11:F1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D42" sqref="D42"/>
    </sheetView>
  </sheetViews>
  <sheetFormatPr defaultRowHeight="15" x14ac:dyDescent="0.25"/>
  <cols>
    <col min="1" max="1" width="6.42578125" customWidth="1"/>
    <col min="2" max="2" width="49.5703125" customWidth="1"/>
    <col min="3" max="3" width="15" customWidth="1"/>
    <col min="4" max="4" width="13.85546875" customWidth="1"/>
    <col min="5" max="5" width="12.5703125" customWidth="1"/>
  </cols>
  <sheetData>
    <row r="1" spans="1:5" x14ac:dyDescent="0.25">
      <c r="E1" t="s">
        <v>363</v>
      </c>
    </row>
    <row r="2" spans="1:5" ht="15.75" x14ac:dyDescent="0.25">
      <c r="B2" s="481" t="s">
        <v>662</v>
      </c>
      <c r="C2" s="481"/>
      <c r="D2" s="481"/>
      <c r="E2" s="481"/>
    </row>
    <row r="4" spans="1:5" ht="66.75" customHeight="1" x14ac:dyDescent="0.25">
      <c r="A4" s="57" t="s">
        <v>285</v>
      </c>
      <c r="B4" s="58" t="s">
        <v>286</v>
      </c>
      <c r="C4" s="59" t="s">
        <v>287</v>
      </c>
      <c r="D4" s="59" t="s">
        <v>315</v>
      </c>
      <c r="E4" s="60" t="s">
        <v>314</v>
      </c>
    </row>
    <row r="5" spans="1:5" x14ac:dyDescent="0.25">
      <c r="A5" s="57">
        <v>1</v>
      </c>
      <c r="B5" s="61" t="s">
        <v>290</v>
      </c>
      <c r="C5" s="62">
        <f t="shared" ref="C5:C19" si="0">SUM(D5:E5)</f>
        <v>120000</v>
      </c>
      <c r="D5" s="63">
        <v>100000</v>
      </c>
      <c r="E5" s="63">
        <v>20000</v>
      </c>
    </row>
    <row r="6" spans="1:5" x14ac:dyDescent="0.25">
      <c r="A6" s="57">
        <v>2</v>
      </c>
      <c r="B6" s="61" t="s">
        <v>291</v>
      </c>
      <c r="C6" s="62">
        <f t="shared" si="0"/>
        <v>0</v>
      </c>
      <c r="D6" s="63">
        <v>0</v>
      </c>
      <c r="E6" s="63">
        <v>0</v>
      </c>
    </row>
    <row r="7" spans="1:5" x14ac:dyDescent="0.25">
      <c r="A7" s="57">
        <v>3</v>
      </c>
      <c r="B7" s="61" t="s">
        <v>317</v>
      </c>
      <c r="C7" s="62">
        <f t="shared" si="0"/>
        <v>150000</v>
      </c>
      <c r="D7" s="63">
        <v>150000</v>
      </c>
      <c r="E7" s="63">
        <v>0</v>
      </c>
    </row>
    <row r="8" spans="1:5" x14ac:dyDescent="0.25">
      <c r="A8" s="57">
        <v>3</v>
      </c>
      <c r="B8" s="61" t="s">
        <v>292</v>
      </c>
      <c r="C8" s="62">
        <f t="shared" si="0"/>
        <v>10000</v>
      </c>
      <c r="D8" s="63">
        <v>5000</v>
      </c>
      <c r="E8" s="63">
        <v>5000</v>
      </c>
    </row>
    <row r="9" spans="1:5" x14ac:dyDescent="0.25">
      <c r="A9" s="57">
        <v>4</v>
      </c>
      <c r="B9" s="61" t="s">
        <v>293</v>
      </c>
      <c r="C9" s="62">
        <f t="shared" si="0"/>
        <v>21000</v>
      </c>
      <c r="D9" s="63">
        <v>10000</v>
      </c>
      <c r="E9" s="63">
        <v>11000</v>
      </c>
    </row>
    <row r="10" spans="1:5" x14ac:dyDescent="0.25">
      <c r="A10" s="57">
        <v>5</v>
      </c>
      <c r="B10" s="61" t="s">
        <v>294</v>
      </c>
      <c r="C10" s="62">
        <f t="shared" si="0"/>
        <v>49900</v>
      </c>
      <c r="D10" s="63">
        <v>20000</v>
      </c>
      <c r="E10" s="63">
        <v>29900</v>
      </c>
    </row>
    <row r="11" spans="1:5" ht="45" x14ac:dyDescent="0.25">
      <c r="A11" s="57">
        <v>6</v>
      </c>
      <c r="B11" s="64" t="s">
        <v>295</v>
      </c>
      <c r="C11" s="62">
        <f t="shared" si="0"/>
        <v>190000</v>
      </c>
      <c r="D11" s="63">
        <v>120000</v>
      </c>
      <c r="E11" s="63">
        <v>70000</v>
      </c>
    </row>
    <row r="12" spans="1:5" ht="30" x14ac:dyDescent="0.25">
      <c r="A12" s="57">
        <v>7</v>
      </c>
      <c r="B12" s="64" t="s">
        <v>296</v>
      </c>
      <c r="C12" s="62">
        <f t="shared" si="0"/>
        <v>50000</v>
      </c>
      <c r="D12" s="63">
        <v>50000</v>
      </c>
      <c r="E12" s="63">
        <v>0</v>
      </c>
    </row>
    <row r="13" spans="1:5" ht="45" x14ac:dyDescent="0.25">
      <c r="A13" s="57">
        <v>8</v>
      </c>
      <c r="B13" s="64" t="s">
        <v>297</v>
      </c>
      <c r="C13" s="62">
        <f t="shared" si="0"/>
        <v>50000</v>
      </c>
      <c r="D13" s="63">
        <v>50000</v>
      </c>
      <c r="E13" s="63">
        <v>0</v>
      </c>
    </row>
    <row r="14" spans="1:5" ht="30" x14ac:dyDescent="0.25">
      <c r="A14" s="57">
        <v>9</v>
      </c>
      <c r="B14" s="64" t="s">
        <v>298</v>
      </c>
      <c r="C14" s="62">
        <f t="shared" si="0"/>
        <v>70000</v>
      </c>
      <c r="D14" s="62">
        <v>70000</v>
      </c>
      <c r="E14" s="62">
        <v>0</v>
      </c>
    </row>
    <row r="15" spans="1:5" x14ac:dyDescent="0.25">
      <c r="A15" s="57">
        <v>10</v>
      </c>
      <c r="B15" s="61" t="s">
        <v>299</v>
      </c>
      <c r="C15" s="62">
        <f t="shared" si="0"/>
        <v>29000</v>
      </c>
      <c r="D15" s="62">
        <v>29000</v>
      </c>
      <c r="E15" s="62">
        <v>0</v>
      </c>
    </row>
    <row r="16" spans="1:5" ht="30" x14ac:dyDescent="0.25">
      <c r="A16" s="57">
        <v>11</v>
      </c>
      <c r="B16" s="64" t="s">
        <v>300</v>
      </c>
      <c r="C16" s="62">
        <f t="shared" si="0"/>
        <v>0</v>
      </c>
      <c r="D16" s="62">
        <v>0</v>
      </c>
      <c r="E16" s="62">
        <v>0</v>
      </c>
    </row>
    <row r="17" spans="1:5" ht="30" x14ac:dyDescent="0.25">
      <c r="A17" s="57">
        <v>12</v>
      </c>
      <c r="B17" s="64" t="s">
        <v>301</v>
      </c>
      <c r="C17" s="62">
        <f t="shared" si="0"/>
        <v>2140000</v>
      </c>
      <c r="D17" s="62">
        <v>2140000</v>
      </c>
      <c r="E17" s="62"/>
    </row>
    <row r="18" spans="1:5" ht="30" x14ac:dyDescent="0.25">
      <c r="A18" s="57">
        <v>13</v>
      </c>
      <c r="B18" s="64" t="s">
        <v>302</v>
      </c>
      <c r="C18" s="62">
        <f t="shared" si="0"/>
        <v>19000</v>
      </c>
      <c r="D18" s="62">
        <v>0</v>
      </c>
      <c r="E18" s="62">
        <v>19000</v>
      </c>
    </row>
    <row r="19" spans="1:5" x14ac:dyDescent="0.25">
      <c r="A19" s="57">
        <v>14</v>
      </c>
      <c r="B19" s="64" t="s">
        <v>303</v>
      </c>
      <c r="C19" s="62">
        <f t="shared" si="0"/>
        <v>31000</v>
      </c>
      <c r="D19" s="62">
        <v>31000</v>
      </c>
      <c r="E19" s="62">
        <v>0</v>
      </c>
    </row>
    <row r="20" spans="1:5" x14ac:dyDescent="0.25">
      <c r="A20" s="57"/>
      <c r="B20" s="64"/>
      <c r="C20" s="62"/>
      <c r="D20" s="62"/>
      <c r="E20" s="62"/>
    </row>
    <row r="21" spans="1:5" x14ac:dyDescent="0.25">
      <c r="A21" s="57"/>
      <c r="B21" s="64"/>
      <c r="C21" s="65">
        <f>SUM(C5:C20)</f>
        <v>2929900</v>
      </c>
      <c r="D21" s="65">
        <f>SUM(D5:D20)</f>
        <v>2775000</v>
      </c>
      <c r="E21" s="65">
        <f>SUM(E5:E20)</f>
        <v>154900</v>
      </c>
    </row>
    <row r="22" spans="1:5" x14ac:dyDescent="0.25">
      <c r="A22" s="57"/>
      <c r="B22" s="64"/>
      <c r="C22" s="66"/>
      <c r="D22" s="62"/>
      <c r="E22" s="62"/>
    </row>
    <row r="23" spans="1:5" x14ac:dyDescent="0.25">
      <c r="A23" s="57">
        <v>15</v>
      </c>
      <c r="B23" s="67" t="s">
        <v>304</v>
      </c>
      <c r="C23" s="66">
        <f>SUM(D23:E23)</f>
        <v>33300</v>
      </c>
      <c r="D23" s="62">
        <v>20000</v>
      </c>
      <c r="E23" s="62">
        <v>13300</v>
      </c>
    </row>
    <row r="24" spans="1:5" ht="15.75" x14ac:dyDescent="0.25">
      <c r="A24" s="57">
        <v>16</v>
      </c>
      <c r="B24" s="68" t="s">
        <v>305</v>
      </c>
      <c r="C24" s="80">
        <f>SUM(D24:E24)</f>
        <v>10000</v>
      </c>
      <c r="D24" s="62">
        <v>10000</v>
      </c>
      <c r="E24" s="62">
        <v>0</v>
      </c>
    </row>
    <row r="25" spans="1:5" x14ac:dyDescent="0.25">
      <c r="A25" s="57"/>
      <c r="B25" s="67"/>
      <c r="C25" s="65">
        <f>SUM(C23:C24)</f>
        <v>43300</v>
      </c>
      <c r="D25" s="65">
        <f>SUM(D23:D24)</f>
        <v>30000</v>
      </c>
      <c r="E25" s="65">
        <f>SUM(E23:E24)</f>
        <v>13300</v>
      </c>
    </row>
    <row r="26" spans="1:5" x14ac:dyDescent="0.25">
      <c r="A26" s="57"/>
      <c r="B26" s="67"/>
      <c r="C26" s="66"/>
      <c r="D26" s="62"/>
      <c r="E26" s="62"/>
    </row>
    <row r="27" spans="1:5" x14ac:dyDescent="0.25">
      <c r="A27" s="57">
        <v>17</v>
      </c>
      <c r="B27" s="70" t="s">
        <v>306</v>
      </c>
      <c r="C27" s="65">
        <f>SUM(D27:E27)</f>
        <v>300000</v>
      </c>
      <c r="D27" s="71">
        <v>230000</v>
      </c>
      <c r="E27" s="71">
        <v>70000</v>
      </c>
    </row>
    <row r="28" spans="1:5" x14ac:dyDescent="0.25">
      <c r="A28" s="57"/>
      <c r="B28" s="67"/>
      <c r="C28" s="66"/>
      <c r="D28" s="65"/>
      <c r="E28" s="65"/>
    </row>
    <row r="29" spans="1:5" x14ac:dyDescent="0.25">
      <c r="A29" s="57">
        <v>18</v>
      </c>
      <c r="B29" s="70" t="s">
        <v>307</v>
      </c>
      <c r="C29" s="65">
        <f>SUM(D29:E29)</f>
        <v>150000</v>
      </c>
      <c r="D29" s="71">
        <v>75000</v>
      </c>
      <c r="E29" s="71">
        <v>75000</v>
      </c>
    </row>
    <row r="30" spans="1:5" x14ac:dyDescent="0.25">
      <c r="A30" s="57"/>
      <c r="B30" s="67"/>
      <c r="C30" s="66"/>
      <c r="D30" s="62"/>
      <c r="E30" s="62"/>
    </row>
    <row r="31" spans="1:5" x14ac:dyDescent="0.25">
      <c r="A31" s="57">
        <v>19</v>
      </c>
      <c r="B31" s="67" t="s">
        <v>308</v>
      </c>
      <c r="C31" s="62">
        <f>SUM(D31:E31)</f>
        <v>200000</v>
      </c>
      <c r="D31" s="63">
        <v>100000</v>
      </c>
      <c r="E31" s="63">
        <v>100000</v>
      </c>
    </row>
    <row r="32" spans="1:5" x14ac:dyDescent="0.25">
      <c r="A32" s="57"/>
      <c r="B32" s="67" t="s">
        <v>309</v>
      </c>
      <c r="C32" s="62">
        <f>SUM(D32:E32)</f>
        <v>50000</v>
      </c>
      <c r="D32" s="63">
        <v>25000</v>
      </c>
      <c r="E32" s="63">
        <v>25000</v>
      </c>
    </row>
    <row r="33" spans="1:5" x14ac:dyDescent="0.25">
      <c r="A33" s="57"/>
      <c r="B33" s="67"/>
      <c r="C33" s="65">
        <f>SUM(C31:C32)</f>
        <v>250000</v>
      </c>
      <c r="D33" s="71">
        <v>125000</v>
      </c>
      <c r="E33" s="71">
        <v>125000</v>
      </c>
    </row>
    <row r="34" spans="1:5" x14ac:dyDescent="0.25">
      <c r="A34" s="57"/>
      <c r="B34" s="67"/>
      <c r="C34" s="66"/>
      <c r="D34" s="71"/>
      <c r="E34" s="71"/>
    </row>
    <row r="35" spans="1:5" ht="29.25" x14ac:dyDescent="0.25">
      <c r="A35" s="57">
        <v>20</v>
      </c>
      <c r="B35" s="72" t="s">
        <v>310</v>
      </c>
      <c r="C35" s="65">
        <f>SUM(D35:E35)</f>
        <v>0</v>
      </c>
      <c r="D35" s="71">
        <v>0</v>
      </c>
      <c r="E35" s="71">
        <v>0</v>
      </c>
    </row>
    <row r="36" spans="1:5" x14ac:dyDescent="0.25">
      <c r="A36" s="57"/>
      <c r="B36" s="70"/>
      <c r="C36" s="65"/>
      <c r="D36" s="71"/>
      <c r="E36" s="71"/>
    </row>
    <row r="37" spans="1:5" x14ac:dyDescent="0.25">
      <c r="A37" s="57">
        <v>21</v>
      </c>
      <c r="B37" s="70" t="s">
        <v>311</v>
      </c>
      <c r="C37" s="65">
        <f>SUM(D37:E37)</f>
        <v>120000</v>
      </c>
      <c r="D37" s="71">
        <v>50000</v>
      </c>
      <c r="E37" s="71">
        <v>70000</v>
      </c>
    </row>
    <row r="38" spans="1:5" x14ac:dyDescent="0.25">
      <c r="A38" s="57"/>
      <c r="B38" s="70"/>
      <c r="C38" s="65"/>
      <c r="D38" s="71"/>
      <c r="E38" s="71"/>
    </row>
    <row r="39" spans="1:5" x14ac:dyDescent="0.25">
      <c r="A39" s="57">
        <v>22</v>
      </c>
      <c r="B39" s="70" t="s">
        <v>312</v>
      </c>
      <c r="C39" s="65">
        <f>SUM(D39:E39)</f>
        <v>5000</v>
      </c>
      <c r="D39" s="71">
        <v>5000</v>
      </c>
      <c r="E39" s="71"/>
    </row>
    <row r="40" spans="1:5" x14ac:dyDescent="0.25">
      <c r="A40" s="41">
        <v>23</v>
      </c>
      <c r="B40" s="70" t="s">
        <v>718</v>
      </c>
      <c r="C40" s="65">
        <f>SUM(D40)</f>
        <v>23777.27</v>
      </c>
      <c r="D40" s="71">
        <v>23777.27</v>
      </c>
      <c r="E40" s="63"/>
    </row>
    <row r="41" spans="1:5" ht="18.75" x14ac:dyDescent="0.3">
      <c r="A41" s="41"/>
      <c r="B41" s="73" t="s">
        <v>313</v>
      </c>
      <c r="C41" s="74">
        <f>C21+C25+C27+C29+C33+C35+C37+C39</f>
        <v>3798200</v>
      </c>
      <c r="D41" s="74">
        <f>SUM(D21,D25,D27,D29,D33,D37,D39,D40)</f>
        <v>3313777.27</v>
      </c>
      <c r="E41" s="78">
        <f>E21+E25+E27+E29+E33+E35+E37+E39</f>
        <v>508200</v>
      </c>
    </row>
    <row r="42" spans="1:5" x14ac:dyDescent="0.25">
      <c r="A42" s="41"/>
      <c r="B42" s="67"/>
      <c r="C42" s="66"/>
      <c r="D42" s="75"/>
      <c r="E42" s="75"/>
    </row>
    <row r="43" spans="1:5" x14ac:dyDescent="0.25">
      <c r="A43" s="41"/>
      <c r="B43" s="67"/>
      <c r="C43" s="66"/>
      <c r="D43" s="76"/>
      <c r="E43" s="76"/>
    </row>
    <row r="44" spans="1:5" x14ac:dyDescent="0.25">
      <c r="B44" s="77" t="s">
        <v>254</v>
      </c>
      <c r="E44" s="77" t="s">
        <v>255</v>
      </c>
    </row>
    <row r="45" spans="1:5" x14ac:dyDescent="0.25">
      <c r="B45" s="77" t="s">
        <v>256</v>
      </c>
      <c r="C45" s="77"/>
      <c r="D45" s="77"/>
      <c r="E45" s="77" t="s">
        <v>257</v>
      </c>
    </row>
  </sheetData>
  <mergeCells count="1">
    <mergeCell ref="B2:E2"/>
  </mergeCells>
  <pageMargins left="0.7" right="0.7" top="0.75" bottom="0.75" header="0.3" footer="0.3"/>
  <pageSetup paperSize="9" scale="8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workbookViewId="0">
      <selection activeCell="H102" sqref="H102"/>
    </sheetView>
  </sheetViews>
  <sheetFormatPr defaultRowHeight="15" x14ac:dyDescent="0.25"/>
  <cols>
    <col min="1" max="1" width="47.28515625" customWidth="1"/>
    <col min="5" max="5" width="13.7109375" customWidth="1"/>
    <col min="6" max="6" width="11.28515625" customWidth="1"/>
    <col min="7" max="7" width="11.5703125" customWidth="1"/>
  </cols>
  <sheetData>
    <row r="1" spans="1:7" x14ac:dyDescent="0.25">
      <c r="F1" t="s">
        <v>402</v>
      </c>
    </row>
    <row r="2" spans="1:7" ht="18" x14ac:dyDescent="0.25">
      <c r="A2" s="482" t="s">
        <v>318</v>
      </c>
      <c r="B2" s="482"/>
      <c r="C2" s="482"/>
      <c r="D2" s="482"/>
      <c r="E2" s="482"/>
      <c r="F2" s="482"/>
      <c r="G2" s="482"/>
    </row>
    <row r="4" spans="1:7" ht="28.5" customHeight="1" x14ac:dyDescent="0.25">
      <c r="A4" s="81" t="s">
        <v>319</v>
      </c>
      <c r="B4" s="82" t="s">
        <v>320</v>
      </c>
      <c r="C4" s="8" t="s">
        <v>321</v>
      </c>
      <c r="D4" s="8" t="s">
        <v>322</v>
      </c>
      <c r="E4" s="8" t="s">
        <v>287</v>
      </c>
      <c r="F4" s="8" t="s">
        <v>288</v>
      </c>
      <c r="G4" s="8" t="s">
        <v>289</v>
      </c>
    </row>
    <row r="5" spans="1:7" ht="0.75" hidden="1" customHeight="1" x14ac:dyDescent="0.25">
      <c r="A5" s="70"/>
      <c r="B5" s="10"/>
      <c r="C5" s="83"/>
      <c r="D5" s="83"/>
      <c r="E5" s="83"/>
      <c r="F5" s="83"/>
      <c r="G5" s="10"/>
    </row>
    <row r="6" spans="1:7" hidden="1" x14ac:dyDescent="0.25">
      <c r="A6" s="7"/>
      <c r="B6" s="10"/>
      <c r="C6" s="83"/>
      <c r="D6" s="84"/>
      <c r="E6" s="79"/>
      <c r="F6" s="83"/>
      <c r="G6" s="10"/>
    </row>
    <row r="7" spans="1:7" ht="1.5" hidden="1" customHeight="1" x14ac:dyDescent="0.25">
      <c r="F7" s="10"/>
      <c r="G7" s="10"/>
    </row>
    <row r="8" spans="1:7" hidden="1" x14ac:dyDescent="0.25">
      <c r="F8" s="10"/>
      <c r="G8" s="10"/>
    </row>
    <row r="9" spans="1:7" hidden="1" x14ac:dyDescent="0.25">
      <c r="F9" s="86"/>
      <c r="G9" s="86"/>
    </row>
    <row r="10" spans="1:7" hidden="1" x14ac:dyDescent="0.25">
      <c r="A10" s="7"/>
      <c r="B10" s="10"/>
      <c r="C10" s="85"/>
      <c r="D10" s="69"/>
      <c r="E10" s="79"/>
      <c r="F10" s="86"/>
      <c r="G10" s="86"/>
    </row>
    <row r="11" spans="1:7" hidden="1" x14ac:dyDescent="0.25">
      <c r="A11" s="7"/>
      <c r="B11" s="10"/>
      <c r="C11" s="85"/>
      <c r="D11" s="69"/>
      <c r="E11" s="79"/>
      <c r="F11" s="86"/>
      <c r="G11" s="86"/>
    </row>
    <row r="12" spans="1:7" hidden="1" x14ac:dyDescent="0.25">
      <c r="A12" s="7"/>
      <c r="B12" s="10"/>
      <c r="C12" s="85"/>
      <c r="D12" s="69"/>
      <c r="E12" s="79"/>
      <c r="F12" s="86"/>
      <c r="G12" s="86"/>
    </row>
    <row r="13" spans="1:7" hidden="1" x14ac:dyDescent="0.25">
      <c r="A13" s="7"/>
      <c r="B13" s="10"/>
      <c r="C13" s="85"/>
      <c r="D13" s="69"/>
      <c r="E13" s="79"/>
      <c r="F13" s="86"/>
      <c r="G13" s="86"/>
    </row>
    <row r="14" spans="1:7" hidden="1" x14ac:dyDescent="0.25">
      <c r="A14" s="7"/>
      <c r="B14" s="10"/>
      <c r="C14" s="85"/>
      <c r="D14" s="69"/>
      <c r="E14" s="79"/>
      <c r="F14" s="86"/>
      <c r="G14" s="86"/>
    </row>
    <row r="15" spans="1:7" hidden="1" x14ac:dyDescent="0.25">
      <c r="A15" s="7"/>
      <c r="B15" s="10"/>
      <c r="C15" s="85"/>
      <c r="D15" s="69"/>
      <c r="E15" s="79"/>
      <c r="F15" s="86"/>
      <c r="G15" s="86"/>
    </row>
    <row r="16" spans="1:7" hidden="1" x14ac:dyDescent="0.25">
      <c r="A16" s="7"/>
      <c r="B16" s="10"/>
      <c r="C16" s="85"/>
      <c r="D16" s="69"/>
      <c r="E16" s="79"/>
      <c r="F16" s="86"/>
      <c r="G16" s="86"/>
    </row>
    <row r="17" spans="1:7" hidden="1" x14ac:dyDescent="0.25">
      <c r="A17" s="7"/>
      <c r="B17" s="10"/>
      <c r="C17" s="85"/>
      <c r="D17" s="69"/>
      <c r="E17" s="79"/>
      <c r="F17" s="86"/>
      <c r="G17" s="86"/>
    </row>
    <row r="18" spans="1:7" hidden="1" x14ac:dyDescent="0.25">
      <c r="A18" s="7"/>
      <c r="B18" s="10"/>
      <c r="C18" s="83"/>
      <c r="D18" s="84"/>
      <c r="E18" s="79"/>
      <c r="F18" s="10"/>
      <c r="G18" s="10"/>
    </row>
    <row r="19" spans="1:7" ht="0.75" customHeight="1" x14ac:dyDescent="0.25">
      <c r="A19" s="7"/>
      <c r="B19" s="10"/>
      <c r="C19" s="83"/>
      <c r="D19" s="84"/>
      <c r="E19" s="79"/>
      <c r="F19" s="10"/>
      <c r="G19" s="10"/>
    </row>
    <row r="20" spans="1:7" x14ac:dyDescent="0.25">
      <c r="A20" s="7"/>
      <c r="B20" s="10"/>
      <c r="C20" s="83"/>
      <c r="D20" s="84"/>
      <c r="E20" s="65"/>
      <c r="F20" s="87"/>
      <c r="G20" s="87"/>
    </row>
    <row r="21" spans="1:7" x14ac:dyDescent="0.25">
      <c r="A21" s="70" t="s">
        <v>327</v>
      </c>
      <c r="B21" s="10"/>
      <c r="C21" s="83"/>
      <c r="D21" s="84"/>
      <c r="E21" s="85"/>
      <c r="F21" s="10"/>
      <c r="G21" s="10"/>
    </row>
    <row r="22" spans="1:7" ht="15.75" x14ac:dyDescent="0.25">
      <c r="A22" s="108" t="s">
        <v>324</v>
      </c>
      <c r="B22" s="107" t="s">
        <v>323</v>
      </c>
      <c r="C22" s="83">
        <v>60</v>
      </c>
      <c r="D22" s="84">
        <v>20</v>
      </c>
      <c r="E22" s="79">
        <f>C22*D22</f>
        <v>1200</v>
      </c>
      <c r="F22" s="10"/>
      <c r="G22" s="10"/>
    </row>
    <row r="23" spans="1:7" ht="15.75" x14ac:dyDescent="0.25">
      <c r="A23" s="108" t="s">
        <v>325</v>
      </c>
      <c r="B23" s="107" t="s">
        <v>323</v>
      </c>
      <c r="C23" s="83">
        <v>100</v>
      </c>
      <c r="D23" s="84">
        <v>10.35</v>
      </c>
      <c r="E23" s="79">
        <f>C23*D23</f>
        <v>1035</v>
      </c>
      <c r="F23" s="10"/>
      <c r="G23" s="10"/>
    </row>
    <row r="24" spans="1:7" ht="15.75" x14ac:dyDescent="0.25">
      <c r="A24" s="108" t="s">
        <v>326</v>
      </c>
      <c r="B24" s="107" t="s">
        <v>323</v>
      </c>
      <c r="C24" s="85">
        <v>3741</v>
      </c>
      <c r="D24" s="69">
        <v>39.6</v>
      </c>
      <c r="E24" s="79">
        <f>C24*D24</f>
        <v>148143.6</v>
      </c>
      <c r="F24" s="10"/>
      <c r="G24" s="10"/>
    </row>
    <row r="25" spans="1:7" ht="15.75" x14ac:dyDescent="0.25">
      <c r="A25" s="108" t="s">
        <v>328</v>
      </c>
      <c r="B25" s="107" t="s">
        <v>323</v>
      </c>
      <c r="C25" s="83">
        <v>12</v>
      </c>
      <c r="D25" s="11">
        <v>58</v>
      </c>
      <c r="E25" s="79">
        <f t="shared" ref="E25:E33" si="0">C25*D25</f>
        <v>696</v>
      </c>
      <c r="F25" s="10"/>
      <c r="G25" s="10"/>
    </row>
    <row r="26" spans="1:7" ht="15.75" x14ac:dyDescent="0.25">
      <c r="A26" s="108" t="s">
        <v>329</v>
      </c>
      <c r="B26" s="107" t="s">
        <v>323</v>
      </c>
      <c r="C26" s="83">
        <v>12</v>
      </c>
      <c r="D26" s="11">
        <v>27</v>
      </c>
      <c r="E26" s="79">
        <f t="shared" si="0"/>
        <v>324</v>
      </c>
      <c r="F26" s="10"/>
      <c r="G26" s="10"/>
    </row>
    <row r="27" spans="1:7" ht="15.75" x14ac:dyDescent="0.25">
      <c r="A27" s="108" t="s">
        <v>330</v>
      </c>
      <c r="B27" s="107" t="s">
        <v>323</v>
      </c>
      <c r="C27" s="83">
        <v>50</v>
      </c>
      <c r="D27" s="11">
        <v>300</v>
      </c>
      <c r="E27" s="79">
        <f t="shared" si="0"/>
        <v>15000</v>
      </c>
      <c r="F27" s="10"/>
      <c r="G27" s="10"/>
    </row>
    <row r="28" spans="1:7" ht="15.75" x14ac:dyDescent="0.25">
      <c r="A28" s="108" t="s">
        <v>331</v>
      </c>
      <c r="B28" s="107" t="s">
        <v>323</v>
      </c>
      <c r="C28" s="83">
        <v>24</v>
      </c>
      <c r="D28" s="11">
        <v>56</v>
      </c>
      <c r="E28" s="79">
        <f t="shared" si="0"/>
        <v>1344</v>
      </c>
      <c r="F28" s="10"/>
      <c r="G28" s="10"/>
    </row>
    <row r="29" spans="1:7" ht="15.75" x14ac:dyDescent="0.25">
      <c r="A29" s="108" t="s">
        <v>332</v>
      </c>
      <c r="B29" s="107" t="s">
        <v>323</v>
      </c>
      <c r="C29" s="85">
        <v>24</v>
      </c>
      <c r="D29" s="69">
        <v>20</v>
      </c>
      <c r="E29" s="79">
        <f t="shared" si="0"/>
        <v>480</v>
      </c>
      <c r="F29" s="86"/>
      <c r="G29" s="86"/>
    </row>
    <row r="30" spans="1:7" ht="15.75" x14ac:dyDescent="0.25">
      <c r="A30" s="108" t="s">
        <v>333</v>
      </c>
      <c r="B30" s="107" t="s">
        <v>323</v>
      </c>
      <c r="C30" s="85">
        <v>120</v>
      </c>
      <c r="D30" s="69">
        <v>12.5</v>
      </c>
      <c r="E30" s="79">
        <f t="shared" si="0"/>
        <v>1500</v>
      </c>
      <c r="F30" s="86"/>
      <c r="G30" s="86"/>
    </row>
    <row r="31" spans="1:7" ht="15.75" x14ac:dyDescent="0.25">
      <c r="A31" s="108" t="s">
        <v>334</v>
      </c>
      <c r="B31" s="107" t="s">
        <v>323</v>
      </c>
      <c r="C31" s="85">
        <v>120</v>
      </c>
      <c r="D31" s="69">
        <v>25</v>
      </c>
      <c r="E31" s="79">
        <f t="shared" si="0"/>
        <v>3000</v>
      </c>
      <c r="F31" s="88"/>
      <c r="G31" s="88"/>
    </row>
    <row r="32" spans="1:7" ht="15.75" x14ac:dyDescent="0.25">
      <c r="A32" s="108" t="s">
        <v>335</v>
      </c>
      <c r="B32" s="107" t="s">
        <v>323</v>
      </c>
      <c r="C32" s="85">
        <v>55</v>
      </c>
      <c r="D32" s="69">
        <v>15</v>
      </c>
      <c r="E32" s="79">
        <f t="shared" si="0"/>
        <v>825</v>
      </c>
      <c r="F32" s="88"/>
      <c r="G32" s="88"/>
    </row>
    <row r="33" spans="1:7" ht="15.75" x14ac:dyDescent="0.25">
      <c r="A33" s="108" t="s">
        <v>336</v>
      </c>
      <c r="B33" s="107" t="s">
        <v>323</v>
      </c>
      <c r="C33" s="85">
        <v>120</v>
      </c>
      <c r="D33" s="69">
        <v>35</v>
      </c>
      <c r="E33" s="79">
        <f t="shared" si="0"/>
        <v>4200</v>
      </c>
      <c r="F33" s="85"/>
      <c r="G33" s="85"/>
    </row>
    <row r="34" spans="1:7" ht="15.75" x14ac:dyDescent="0.25">
      <c r="A34" s="108" t="s">
        <v>337</v>
      </c>
      <c r="B34" s="107" t="s">
        <v>323</v>
      </c>
      <c r="C34" s="85"/>
      <c r="D34" s="69"/>
      <c r="E34" s="79">
        <v>10000</v>
      </c>
      <c r="F34" s="85"/>
      <c r="G34" s="85"/>
    </row>
    <row r="35" spans="1:7" ht="15.75" x14ac:dyDescent="0.25">
      <c r="A35" s="108" t="s">
        <v>338</v>
      </c>
      <c r="B35" s="107" t="s">
        <v>323</v>
      </c>
      <c r="C35" s="85">
        <v>324</v>
      </c>
      <c r="D35" s="69">
        <v>13.35</v>
      </c>
      <c r="E35" s="79">
        <v>4335.12</v>
      </c>
      <c r="F35" s="85"/>
      <c r="G35" s="85"/>
    </row>
    <row r="36" spans="1:7" ht="14.25" customHeight="1" x14ac:dyDescent="0.25">
      <c r="A36" s="108" t="s">
        <v>339</v>
      </c>
      <c r="B36" s="107" t="s">
        <v>323</v>
      </c>
      <c r="C36" s="85">
        <v>288</v>
      </c>
      <c r="D36" s="69">
        <v>65</v>
      </c>
      <c r="E36" s="79">
        <v>18720</v>
      </c>
      <c r="F36" s="85"/>
      <c r="G36" s="85"/>
    </row>
    <row r="37" spans="1:7" ht="1.5" hidden="1" customHeight="1" x14ac:dyDescent="0.25">
      <c r="A37" s="108"/>
      <c r="B37" s="107"/>
      <c r="C37" s="85"/>
      <c r="D37" s="69"/>
      <c r="E37" s="79"/>
      <c r="F37" s="85"/>
      <c r="G37" s="85"/>
    </row>
    <row r="38" spans="1:7" ht="16.5" customHeight="1" x14ac:dyDescent="0.25">
      <c r="A38" s="108" t="s">
        <v>438</v>
      </c>
      <c r="B38" s="107" t="s">
        <v>323</v>
      </c>
      <c r="C38" s="85">
        <v>2</v>
      </c>
      <c r="D38" s="69">
        <v>6000</v>
      </c>
      <c r="E38" s="79">
        <f>D38*C38</f>
        <v>12000</v>
      </c>
      <c r="F38" s="85"/>
      <c r="G38" s="85"/>
    </row>
    <row r="39" spans="1:7" x14ac:dyDescent="0.25">
      <c r="A39" s="7"/>
      <c r="B39" s="10"/>
      <c r="C39" s="85"/>
      <c r="D39" s="69"/>
      <c r="E39" s="65">
        <f>SUM(E22:E38)</f>
        <v>222802.72</v>
      </c>
      <c r="F39" s="89">
        <f>E39/2</f>
        <v>111401.36</v>
      </c>
      <c r="G39" s="89">
        <f>E39/2</f>
        <v>111401.36</v>
      </c>
    </row>
    <row r="40" spans="1:7" ht="15.75" x14ac:dyDescent="0.25">
      <c r="A40" s="90" t="s">
        <v>340</v>
      </c>
      <c r="B40" s="10"/>
      <c r="C40" s="85"/>
      <c r="D40" s="69"/>
      <c r="E40" s="85"/>
      <c r="F40" s="85"/>
      <c r="G40" s="85"/>
    </row>
    <row r="41" spans="1:7" ht="15.75" x14ac:dyDescent="0.25">
      <c r="A41" s="108" t="s">
        <v>483</v>
      </c>
      <c r="B41" s="107" t="s">
        <v>323</v>
      </c>
      <c r="C41" s="85">
        <v>100</v>
      </c>
      <c r="D41" s="69">
        <v>22</v>
      </c>
      <c r="E41" s="79">
        <f t="shared" ref="E41:E66" si="1">C41*D41</f>
        <v>2200</v>
      </c>
      <c r="F41" s="85"/>
      <c r="G41" s="85"/>
    </row>
    <row r="42" spans="1:7" ht="15.75" x14ac:dyDescent="0.25">
      <c r="A42" s="108" t="s">
        <v>484</v>
      </c>
      <c r="B42" s="107" t="s">
        <v>323</v>
      </c>
      <c r="C42" s="85">
        <v>50</v>
      </c>
      <c r="D42" s="69">
        <v>30</v>
      </c>
      <c r="E42" s="79">
        <f t="shared" si="1"/>
        <v>1500</v>
      </c>
      <c r="F42" s="85"/>
      <c r="G42" s="85"/>
    </row>
    <row r="43" spans="1:7" ht="15.75" x14ac:dyDescent="0.25">
      <c r="A43" s="108" t="s">
        <v>485</v>
      </c>
      <c r="B43" s="107" t="s">
        <v>323</v>
      </c>
      <c r="C43" s="85">
        <v>150</v>
      </c>
      <c r="D43" s="69">
        <v>40</v>
      </c>
      <c r="E43" s="79">
        <f t="shared" si="1"/>
        <v>6000</v>
      </c>
      <c r="F43" s="88"/>
      <c r="G43" s="88"/>
    </row>
    <row r="44" spans="1:7" ht="15.75" x14ac:dyDescent="0.25">
      <c r="A44" s="108" t="s">
        <v>486</v>
      </c>
      <c r="B44" s="107" t="s">
        <v>323</v>
      </c>
      <c r="C44" s="85">
        <v>300</v>
      </c>
      <c r="D44" s="69">
        <v>50</v>
      </c>
      <c r="E44" s="79">
        <f t="shared" si="1"/>
        <v>15000</v>
      </c>
      <c r="F44" s="88"/>
      <c r="G44" s="88"/>
    </row>
    <row r="45" spans="1:7" ht="15.75" x14ac:dyDescent="0.25">
      <c r="A45" s="108" t="s">
        <v>487</v>
      </c>
      <c r="B45" s="107" t="s">
        <v>323</v>
      </c>
      <c r="C45" s="85">
        <v>250</v>
      </c>
      <c r="D45" s="69">
        <v>60</v>
      </c>
      <c r="E45" s="79">
        <f t="shared" si="1"/>
        <v>15000</v>
      </c>
      <c r="F45" s="88"/>
      <c r="G45" s="88"/>
    </row>
    <row r="46" spans="1:7" ht="15.75" x14ac:dyDescent="0.25">
      <c r="A46" s="108" t="s">
        <v>488</v>
      </c>
      <c r="B46" s="107" t="s">
        <v>323</v>
      </c>
      <c r="C46" s="85">
        <v>200</v>
      </c>
      <c r="D46" s="69">
        <v>30</v>
      </c>
      <c r="E46" s="79">
        <f t="shared" si="1"/>
        <v>6000</v>
      </c>
      <c r="F46" s="88"/>
      <c r="G46" s="88"/>
    </row>
    <row r="47" spans="1:7" ht="15.75" x14ac:dyDescent="0.25">
      <c r="A47" s="108" t="s">
        <v>489</v>
      </c>
      <c r="B47" s="107" t="s">
        <v>323</v>
      </c>
      <c r="C47" s="85">
        <v>20</v>
      </c>
      <c r="D47" s="69">
        <v>30</v>
      </c>
      <c r="E47" s="79">
        <f t="shared" si="1"/>
        <v>600</v>
      </c>
      <c r="F47" s="88"/>
      <c r="G47" s="88"/>
    </row>
    <row r="48" spans="1:7" ht="15.75" x14ac:dyDescent="0.25">
      <c r="A48" s="108" t="s">
        <v>490</v>
      </c>
      <c r="B48" s="107" t="s">
        <v>323</v>
      </c>
      <c r="C48" s="85">
        <v>20</v>
      </c>
      <c r="D48" s="69">
        <v>100</v>
      </c>
      <c r="E48" s="79">
        <f t="shared" si="1"/>
        <v>2000</v>
      </c>
      <c r="F48" s="88"/>
      <c r="G48" s="88"/>
    </row>
    <row r="49" spans="1:7" ht="15.75" x14ac:dyDescent="0.25">
      <c r="A49" s="108" t="s">
        <v>491</v>
      </c>
      <c r="B49" s="107" t="s">
        <v>323</v>
      </c>
      <c r="C49" s="85">
        <v>30</v>
      </c>
      <c r="D49" s="69">
        <v>34.799999999999997</v>
      </c>
      <c r="E49" s="79">
        <f t="shared" si="1"/>
        <v>1044</v>
      </c>
      <c r="F49" s="88"/>
      <c r="G49" s="88"/>
    </row>
    <row r="50" spans="1:7" ht="15.75" x14ac:dyDescent="0.25">
      <c r="A50" s="108" t="s">
        <v>492</v>
      </c>
      <c r="B50" s="107" t="s">
        <v>323</v>
      </c>
      <c r="C50" s="85">
        <v>100</v>
      </c>
      <c r="D50" s="69">
        <v>64</v>
      </c>
      <c r="E50" s="79">
        <f t="shared" si="1"/>
        <v>6400</v>
      </c>
      <c r="F50" s="88"/>
      <c r="G50" s="88"/>
    </row>
    <row r="51" spans="1:7" ht="15.75" x14ac:dyDescent="0.25">
      <c r="A51" s="108" t="s">
        <v>493</v>
      </c>
      <c r="B51" s="107" t="s">
        <v>323</v>
      </c>
      <c r="C51" s="85">
        <v>100</v>
      </c>
      <c r="D51" s="69">
        <v>55</v>
      </c>
      <c r="E51" s="79">
        <f t="shared" si="1"/>
        <v>5500</v>
      </c>
      <c r="F51" s="88"/>
      <c r="G51" s="88"/>
    </row>
    <row r="52" spans="1:7" ht="15.75" x14ac:dyDescent="0.25">
      <c r="A52" s="108" t="s">
        <v>494</v>
      </c>
      <c r="B52" s="107" t="s">
        <v>323</v>
      </c>
      <c r="C52" s="85">
        <v>10</v>
      </c>
      <c r="D52" s="69">
        <v>93</v>
      </c>
      <c r="E52" s="79">
        <f t="shared" si="1"/>
        <v>930</v>
      </c>
      <c r="F52" s="88"/>
      <c r="G52" s="88"/>
    </row>
    <row r="53" spans="1:7" ht="15.75" x14ac:dyDescent="0.25">
      <c r="A53" s="108" t="s">
        <v>495</v>
      </c>
      <c r="B53" s="107" t="s">
        <v>323</v>
      </c>
      <c r="C53" s="85">
        <v>2</v>
      </c>
      <c r="D53" s="69">
        <v>457.28</v>
      </c>
      <c r="E53" s="79">
        <f t="shared" si="1"/>
        <v>914.56</v>
      </c>
      <c r="F53" s="88"/>
      <c r="G53" s="88"/>
    </row>
    <row r="54" spans="1:7" ht="15.75" x14ac:dyDescent="0.25">
      <c r="A54" s="108" t="s">
        <v>496</v>
      </c>
      <c r="B54" s="107" t="s">
        <v>497</v>
      </c>
      <c r="C54" s="85">
        <v>100</v>
      </c>
      <c r="D54" s="69">
        <v>30</v>
      </c>
      <c r="E54" s="79">
        <f t="shared" si="1"/>
        <v>3000</v>
      </c>
      <c r="F54" s="88"/>
      <c r="G54" s="88"/>
    </row>
    <row r="55" spans="1:7" ht="15.75" x14ac:dyDescent="0.25">
      <c r="A55" s="108" t="s">
        <v>498</v>
      </c>
      <c r="B55" s="107" t="s">
        <v>497</v>
      </c>
      <c r="C55" s="85">
        <v>100</v>
      </c>
      <c r="D55" s="69">
        <v>15</v>
      </c>
      <c r="E55" s="79">
        <f t="shared" si="1"/>
        <v>1500</v>
      </c>
      <c r="F55" s="88"/>
      <c r="G55" s="88"/>
    </row>
    <row r="56" spans="1:7" ht="15.75" x14ac:dyDescent="0.25">
      <c r="A56" s="108" t="s">
        <v>499</v>
      </c>
      <c r="B56" s="107" t="s">
        <v>323</v>
      </c>
      <c r="C56" s="85">
        <v>2</v>
      </c>
      <c r="D56" s="69">
        <v>219</v>
      </c>
      <c r="E56" s="79">
        <f t="shared" si="1"/>
        <v>438</v>
      </c>
      <c r="F56" s="88"/>
      <c r="G56" s="88"/>
    </row>
    <row r="57" spans="1:7" ht="15.75" x14ac:dyDescent="0.25">
      <c r="A57" s="108" t="s">
        <v>500</v>
      </c>
      <c r="B57" s="107" t="s">
        <v>323</v>
      </c>
      <c r="C57" s="85">
        <v>20</v>
      </c>
      <c r="D57" s="69">
        <v>166</v>
      </c>
      <c r="E57" s="79">
        <f t="shared" si="1"/>
        <v>3320</v>
      </c>
      <c r="F57" s="88"/>
      <c r="G57" s="88"/>
    </row>
    <row r="58" spans="1:7" ht="15.75" x14ac:dyDescent="0.25">
      <c r="A58" s="108" t="s">
        <v>501</v>
      </c>
      <c r="B58" s="107" t="s">
        <v>323</v>
      </c>
      <c r="C58" s="85">
        <v>10</v>
      </c>
      <c r="D58" s="69">
        <v>312</v>
      </c>
      <c r="E58" s="79">
        <f t="shared" si="1"/>
        <v>3120</v>
      </c>
      <c r="F58" s="88"/>
      <c r="G58" s="88"/>
    </row>
    <row r="59" spans="1:7" ht="15.75" x14ac:dyDescent="0.25">
      <c r="A59" s="108" t="s">
        <v>502</v>
      </c>
      <c r="B59" s="107" t="s">
        <v>323</v>
      </c>
      <c r="C59" s="85">
        <v>20</v>
      </c>
      <c r="D59" s="69">
        <v>399</v>
      </c>
      <c r="E59" s="79">
        <f t="shared" si="1"/>
        <v>7980</v>
      </c>
      <c r="F59" s="88"/>
      <c r="G59" s="88"/>
    </row>
    <row r="60" spans="1:7" ht="15.75" x14ac:dyDescent="0.25">
      <c r="A60" s="108" t="s">
        <v>503</v>
      </c>
      <c r="B60" s="107" t="s">
        <v>323</v>
      </c>
      <c r="C60" s="85">
        <v>1</v>
      </c>
      <c r="D60" s="69">
        <v>3000</v>
      </c>
      <c r="E60" s="79">
        <f t="shared" si="1"/>
        <v>3000</v>
      </c>
      <c r="F60" s="88"/>
      <c r="G60" s="88"/>
    </row>
    <row r="61" spans="1:7" ht="15.75" x14ac:dyDescent="0.25">
      <c r="A61" s="108" t="s">
        <v>504</v>
      </c>
      <c r="B61" s="107" t="s">
        <v>323</v>
      </c>
      <c r="C61" s="85">
        <v>1</v>
      </c>
      <c r="D61" s="69">
        <v>890</v>
      </c>
      <c r="E61" s="79">
        <f t="shared" si="1"/>
        <v>890</v>
      </c>
      <c r="F61" s="88"/>
      <c r="G61" s="88"/>
    </row>
    <row r="62" spans="1:7" ht="15.75" x14ac:dyDescent="0.25">
      <c r="A62" s="108" t="s">
        <v>505</v>
      </c>
      <c r="B62" s="107" t="s">
        <v>323</v>
      </c>
      <c r="C62" s="85">
        <v>3</v>
      </c>
      <c r="D62" s="69">
        <v>1300</v>
      </c>
      <c r="E62" s="79">
        <f t="shared" si="1"/>
        <v>3900</v>
      </c>
      <c r="F62" s="88"/>
      <c r="G62" s="88"/>
    </row>
    <row r="63" spans="1:7" ht="15.75" x14ac:dyDescent="0.25">
      <c r="A63" s="108" t="s">
        <v>506</v>
      </c>
      <c r="B63" s="107" t="s">
        <v>323</v>
      </c>
      <c r="C63" s="85">
        <v>1</v>
      </c>
      <c r="D63" s="69">
        <v>1300</v>
      </c>
      <c r="E63" s="79">
        <f t="shared" si="1"/>
        <v>1300</v>
      </c>
      <c r="F63" s="88"/>
      <c r="G63" s="88"/>
    </row>
    <row r="64" spans="1:7" ht="15.75" x14ac:dyDescent="0.25">
      <c r="A64" s="108" t="s">
        <v>507</v>
      </c>
      <c r="B64" s="107" t="s">
        <v>323</v>
      </c>
      <c r="C64" s="85">
        <v>2</v>
      </c>
      <c r="D64" s="69">
        <v>1600</v>
      </c>
      <c r="E64" s="79">
        <f t="shared" si="1"/>
        <v>3200</v>
      </c>
      <c r="F64" s="88"/>
      <c r="G64" s="88"/>
    </row>
    <row r="65" spans="1:7" ht="15.75" x14ac:dyDescent="0.25">
      <c r="A65" s="108" t="s">
        <v>508</v>
      </c>
      <c r="B65" s="107" t="s">
        <v>323</v>
      </c>
      <c r="C65" s="85">
        <v>1</v>
      </c>
      <c r="D65" s="69">
        <v>2900</v>
      </c>
      <c r="E65" s="79">
        <f t="shared" si="1"/>
        <v>2900</v>
      </c>
      <c r="F65" s="88"/>
      <c r="G65" s="88"/>
    </row>
    <row r="66" spans="1:7" ht="15.75" x14ac:dyDescent="0.25">
      <c r="A66" s="108" t="s">
        <v>509</v>
      </c>
      <c r="B66" s="107" t="s">
        <v>323</v>
      </c>
      <c r="C66" s="85">
        <v>1</v>
      </c>
      <c r="D66" s="69">
        <v>2000</v>
      </c>
      <c r="E66" s="79">
        <f t="shared" si="1"/>
        <v>2000</v>
      </c>
      <c r="F66" s="88"/>
      <c r="G66" s="88"/>
    </row>
    <row r="67" spans="1:7" x14ac:dyDescent="0.25">
      <c r="A67" s="7"/>
      <c r="B67" s="10"/>
      <c r="C67" s="85"/>
      <c r="D67" s="69"/>
      <c r="E67" s="65">
        <f>SUM(E41:E66)</f>
        <v>99636.56</v>
      </c>
      <c r="F67" s="89">
        <f>E67/2</f>
        <v>49818.28</v>
      </c>
      <c r="G67" s="89">
        <f>E67/2</f>
        <v>49818.28</v>
      </c>
    </row>
    <row r="68" spans="1:7" x14ac:dyDescent="0.25">
      <c r="A68" s="70" t="s">
        <v>341</v>
      </c>
      <c r="B68" s="10"/>
      <c r="C68" s="85"/>
      <c r="D68" s="69"/>
      <c r="E68" s="85"/>
      <c r="F68" s="85"/>
      <c r="G68" s="85"/>
    </row>
    <row r="69" spans="1:7" ht="15.75" x14ac:dyDescent="0.25">
      <c r="A69" s="108" t="s">
        <v>342</v>
      </c>
      <c r="B69" s="107" t="s">
        <v>323</v>
      </c>
      <c r="C69" s="85">
        <v>400</v>
      </c>
      <c r="D69" s="69">
        <v>45</v>
      </c>
      <c r="E69" s="79">
        <f t="shared" ref="E69:E88" si="2">C69*D69</f>
        <v>18000</v>
      </c>
      <c r="F69" s="85"/>
      <c r="G69" s="85"/>
    </row>
    <row r="70" spans="1:7" ht="15.75" x14ac:dyDescent="0.25">
      <c r="A70" s="108" t="s">
        <v>343</v>
      </c>
      <c r="B70" s="107" t="s">
        <v>323</v>
      </c>
      <c r="C70" s="85">
        <v>360</v>
      </c>
      <c r="D70" s="69">
        <v>65</v>
      </c>
      <c r="E70" s="79">
        <f t="shared" si="2"/>
        <v>23400</v>
      </c>
      <c r="F70" s="85"/>
      <c r="G70" s="85"/>
    </row>
    <row r="71" spans="1:7" ht="15.75" x14ac:dyDescent="0.25">
      <c r="A71" s="108" t="s">
        <v>344</v>
      </c>
      <c r="B71" s="107" t="s">
        <v>323</v>
      </c>
      <c r="C71" s="85">
        <v>134</v>
      </c>
      <c r="D71" s="69">
        <v>250</v>
      </c>
      <c r="E71" s="79">
        <f t="shared" si="2"/>
        <v>33500</v>
      </c>
      <c r="F71" s="85"/>
      <c r="G71" s="85"/>
    </row>
    <row r="72" spans="1:7" ht="15.75" x14ac:dyDescent="0.25">
      <c r="A72" s="108" t="s">
        <v>345</v>
      </c>
      <c r="B72" s="107" t="s">
        <v>323</v>
      </c>
      <c r="C72" s="85">
        <v>342</v>
      </c>
      <c r="D72" s="69">
        <v>200</v>
      </c>
      <c r="E72" s="79">
        <f t="shared" si="2"/>
        <v>68400</v>
      </c>
      <c r="F72" s="85"/>
      <c r="G72" s="85"/>
    </row>
    <row r="73" spans="1:7" ht="15.75" x14ac:dyDescent="0.25">
      <c r="A73" s="108" t="s">
        <v>518</v>
      </c>
      <c r="B73" s="107" t="s">
        <v>323</v>
      </c>
      <c r="C73" s="85">
        <v>40</v>
      </c>
      <c r="D73" s="69">
        <v>160</v>
      </c>
      <c r="E73" s="79">
        <f t="shared" si="2"/>
        <v>6400</v>
      </c>
      <c r="F73" s="85"/>
      <c r="G73" s="85"/>
    </row>
    <row r="74" spans="1:7" ht="15.75" x14ac:dyDescent="0.25">
      <c r="A74" s="108" t="s">
        <v>519</v>
      </c>
      <c r="B74" s="107" t="s">
        <v>323</v>
      </c>
      <c r="C74" s="85">
        <v>300</v>
      </c>
      <c r="D74" s="69">
        <v>7.06</v>
      </c>
      <c r="E74" s="79">
        <f t="shared" si="2"/>
        <v>2118</v>
      </c>
      <c r="F74" s="85"/>
      <c r="G74" s="85"/>
    </row>
    <row r="75" spans="1:7" ht="15.75" x14ac:dyDescent="0.25">
      <c r="A75" s="108" t="s">
        <v>346</v>
      </c>
      <c r="B75" s="107" t="s">
        <v>347</v>
      </c>
      <c r="C75" s="85">
        <v>40</v>
      </c>
      <c r="D75" s="69">
        <v>139</v>
      </c>
      <c r="E75" s="79">
        <f t="shared" si="2"/>
        <v>5560</v>
      </c>
      <c r="F75" s="85"/>
      <c r="G75" s="85"/>
    </row>
    <row r="76" spans="1:7" ht="15.75" x14ac:dyDescent="0.25">
      <c r="A76" s="7"/>
      <c r="B76" s="10"/>
      <c r="C76" s="85"/>
      <c r="D76" s="69"/>
      <c r="E76" s="74">
        <f>SUM(E69:E75)</f>
        <v>157378</v>
      </c>
      <c r="F76" s="89">
        <f>E76/2</f>
        <v>78689</v>
      </c>
      <c r="G76" s="89">
        <f>E76/2</f>
        <v>78689</v>
      </c>
    </row>
    <row r="77" spans="1:7" x14ac:dyDescent="0.25">
      <c r="A77" s="70" t="s">
        <v>348</v>
      </c>
      <c r="B77" s="10"/>
      <c r="C77" s="85"/>
      <c r="D77" s="69"/>
      <c r="E77" s="79"/>
      <c r="F77" s="85"/>
      <c r="G77" s="85"/>
    </row>
    <row r="78" spans="1:7" ht="15.75" x14ac:dyDescent="0.25">
      <c r="A78" s="108" t="s">
        <v>349</v>
      </c>
      <c r="B78" s="107" t="s">
        <v>323</v>
      </c>
      <c r="C78" s="85">
        <v>6</v>
      </c>
      <c r="D78" s="69">
        <v>316</v>
      </c>
      <c r="E78" s="79">
        <f t="shared" si="2"/>
        <v>1896</v>
      </c>
      <c r="F78" s="85"/>
      <c r="G78" s="85"/>
    </row>
    <row r="79" spans="1:7" ht="15.75" x14ac:dyDescent="0.25">
      <c r="A79" s="108" t="s">
        <v>350</v>
      </c>
      <c r="B79" s="107" t="s">
        <v>323</v>
      </c>
      <c r="C79" s="85">
        <v>6</v>
      </c>
      <c r="D79" s="69">
        <v>1800</v>
      </c>
      <c r="E79" s="79">
        <f t="shared" si="2"/>
        <v>10800</v>
      </c>
      <c r="F79" s="86"/>
      <c r="G79" s="86"/>
    </row>
    <row r="80" spans="1:7" ht="15.75" x14ac:dyDescent="0.25">
      <c r="A80" s="108" t="s">
        <v>351</v>
      </c>
      <c r="B80" s="107" t="s">
        <v>323</v>
      </c>
      <c r="C80" s="85">
        <v>6</v>
      </c>
      <c r="D80" s="69">
        <v>42</v>
      </c>
      <c r="E80" s="79">
        <f t="shared" si="2"/>
        <v>252</v>
      </c>
      <c r="F80" s="85"/>
      <c r="G80" s="85"/>
    </row>
    <row r="81" spans="1:7" ht="15.75" x14ac:dyDescent="0.25">
      <c r="A81" s="108" t="s">
        <v>352</v>
      </c>
      <c r="B81" s="107" t="s">
        <v>323</v>
      </c>
      <c r="C81" s="85">
        <v>6</v>
      </c>
      <c r="D81" s="69">
        <v>44</v>
      </c>
      <c r="E81" s="79">
        <f t="shared" si="2"/>
        <v>264</v>
      </c>
      <c r="F81" s="85"/>
      <c r="G81" s="85"/>
    </row>
    <row r="82" spans="1:7" ht="15.75" x14ac:dyDescent="0.25">
      <c r="A82" s="108" t="s">
        <v>353</v>
      </c>
      <c r="B82" s="107" t="s">
        <v>323</v>
      </c>
      <c r="C82" s="85">
        <v>6</v>
      </c>
      <c r="D82" s="69">
        <v>149</v>
      </c>
      <c r="E82" s="79">
        <f t="shared" si="2"/>
        <v>894</v>
      </c>
      <c r="F82" s="76"/>
      <c r="G82" s="76"/>
    </row>
    <row r="83" spans="1:7" ht="15.75" x14ac:dyDescent="0.25">
      <c r="A83" s="108" t="s">
        <v>354</v>
      </c>
      <c r="B83" s="107" t="s">
        <v>323</v>
      </c>
      <c r="C83" s="85">
        <v>6</v>
      </c>
      <c r="D83" s="79">
        <v>73</v>
      </c>
      <c r="E83" s="79">
        <f t="shared" si="2"/>
        <v>438</v>
      </c>
      <c r="F83" s="85"/>
      <c r="G83" s="85"/>
    </row>
    <row r="84" spans="1:7" ht="15.75" x14ac:dyDescent="0.25">
      <c r="A84" s="108" t="s">
        <v>355</v>
      </c>
      <c r="B84" s="107" t="s">
        <v>323</v>
      </c>
      <c r="C84" s="85">
        <v>6</v>
      </c>
      <c r="D84" s="79">
        <v>78</v>
      </c>
      <c r="E84" s="79">
        <f t="shared" si="2"/>
        <v>468</v>
      </c>
      <c r="F84" s="85"/>
      <c r="G84" s="85"/>
    </row>
    <row r="85" spans="1:7" ht="15.75" x14ac:dyDescent="0.25">
      <c r="A85" s="108" t="s">
        <v>356</v>
      </c>
      <c r="B85" s="107" t="s">
        <v>357</v>
      </c>
      <c r="C85" s="85">
        <v>6</v>
      </c>
      <c r="D85" s="79">
        <v>56</v>
      </c>
      <c r="E85" s="79">
        <f t="shared" si="2"/>
        <v>336</v>
      </c>
      <c r="F85" s="91"/>
      <c r="G85" s="85"/>
    </row>
    <row r="86" spans="1:7" ht="15.75" x14ac:dyDescent="0.25">
      <c r="A86" s="108" t="s">
        <v>358</v>
      </c>
      <c r="B86" s="107" t="s">
        <v>323</v>
      </c>
      <c r="C86" s="85">
        <v>6</v>
      </c>
      <c r="D86" s="79">
        <v>734</v>
      </c>
      <c r="E86" s="79">
        <f t="shared" si="2"/>
        <v>4404</v>
      </c>
      <c r="F86" s="85"/>
      <c r="G86" s="85"/>
    </row>
    <row r="87" spans="1:7" ht="15.75" x14ac:dyDescent="0.25">
      <c r="A87" s="108" t="s">
        <v>359</v>
      </c>
      <c r="B87" s="107" t="s">
        <v>323</v>
      </c>
      <c r="C87" s="85">
        <v>6</v>
      </c>
      <c r="D87" s="79">
        <v>569</v>
      </c>
      <c r="E87" s="79">
        <f t="shared" si="2"/>
        <v>3414</v>
      </c>
      <c r="F87" s="85"/>
      <c r="G87" s="85"/>
    </row>
    <row r="88" spans="1:7" ht="15.75" x14ac:dyDescent="0.25">
      <c r="A88" s="108" t="s">
        <v>360</v>
      </c>
      <c r="B88" s="107" t="s">
        <v>323</v>
      </c>
      <c r="C88" s="85">
        <v>2</v>
      </c>
      <c r="D88" s="79">
        <v>315</v>
      </c>
      <c r="E88" s="79">
        <f t="shared" si="2"/>
        <v>630</v>
      </c>
      <c r="F88" s="85"/>
      <c r="G88" s="85"/>
    </row>
    <row r="89" spans="1:7" ht="15.75" x14ac:dyDescent="0.25">
      <c r="A89" s="108" t="s">
        <v>361</v>
      </c>
      <c r="B89" s="107" t="s">
        <v>323</v>
      </c>
      <c r="C89" s="85">
        <v>18</v>
      </c>
      <c r="D89" s="79">
        <v>209</v>
      </c>
      <c r="E89" s="79">
        <f>C89*D89</f>
        <v>3762</v>
      </c>
      <c r="F89" s="86"/>
      <c r="G89" s="86"/>
    </row>
    <row r="90" spans="1:7" ht="15.75" x14ac:dyDescent="0.25">
      <c r="A90" s="108"/>
      <c r="B90" s="107"/>
      <c r="C90" s="85"/>
      <c r="D90" s="79"/>
      <c r="E90" s="74">
        <f>SUM(E78:E89)</f>
        <v>27558</v>
      </c>
      <c r="F90" s="92">
        <f>E90/2</f>
        <v>13779</v>
      </c>
      <c r="G90" s="92">
        <f>E90/2</f>
        <v>13779</v>
      </c>
    </row>
    <row r="91" spans="1:7" ht="15.75" x14ac:dyDescent="0.25">
      <c r="A91" s="108" t="s">
        <v>437</v>
      </c>
      <c r="B91" s="107"/>
      <c r="C91" s="93"/>
      <c r="D91" s="93"/>
      <c r="E91" s="74">
        <v>100000</v>
      </c>
      <c r="F91" s="89">
        <v>50000</v>
      </c>
      <c r="G91" s="89">
        <v>50000</v>
      </c>
    </row>
    <row r="92" spans="1:7" ht="15.75" x14ac:dyDescent="0.25">
      <c r="A92" s="108"/>
      <c r="B92" s="107"/>
      <c r="C92" s="93"/>
      <c r="D92" s="93"/>
      <c r="E92" s="94"/>
      <c r="F92" s="85"/>
      <c r="G92" s="85"/>
    </row>
    <row r="93" spans="1:7" ht="15.75" x14ac:dyDescent="0.25">
      <c r="A93" s="95" t="s">
        <v>401</v>
      </c>
      <c r="B93" s="10"/>
      <c r="C93" s="93"/>
      <c r="D93" s="93"/>
      <c r="E93" s="74">
        <v>100000</v>
      </c>
      <c r="F93" s="89">
        <f>E93/2</f>
        <v>50000</v>
      </c>
      <c r="G93" s="89">
        <f>E93/2</f>
        <v>50000</v>
      </c>
    </row>
    <row r="95" spans="1:7" ht="15.75" x14ac:dyDescent="0.25">
      <c r="A95" s="7"/>
      <c r="B95" s="10"/>
      <c r="C95" s="93"/>
      <c r="D95" s="93"/>
      <c r="E95" s="94"/>
      <c r="F95" s="85"/>
      <c r="G95" s="85"/>
    </row>
    <row r="97" spans="1:7" ht="15.75" x14ac:dyDescent="0.25">
      <c r="A97" s="90" t="s">
        <v>273</v>
      </c>
      <c r="B97" s="10"/>
      <c r="C97" s="93"/>
      <c r="D97" s="93"/>
      <c r="E97" s="65">
        <f>SUM(E39,E67,E76,E90,E91,E93)</f>
        <v>707375.28</v>
      </c>
      <c r="F97" s="65">
        <f>F91+F90+F76+F67+F39+F20</f>
        <v>303687.64</v>
      </c>
      <c r="G97" s="65">
        <f>G91+G90+G76+G67+G39+G20</f>
        <v>303687.64</v>
      </c>
    </row>
    <row r="98" spans="1:7" x14ac:dyDescent="0.25">
      <c r="A98" t="s">
        <v>254</v>
      </c>
      <c r="G98" t="s">
        <v>255</v>
      </c>
    </row>
    <row r="99" spans="1:7" x14ac:dyDescent="0.25">
      <c r="A99" t="s">
        <v>256</v>
      </c>
      <c r="G99" t="s">
        <v>257</v>
      </c>
    </row>
  </sheetData>
  <mergeCells count="1">
    <mergeCell ref="A2:G2"/>
  </mergeCells>
  <pageMargins left="0.7" right="0.7" top="0.75" bottom="0.75" header="0.3" footer="0.3"/>
  <pageSetup paperSize="9" scale="7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A22" workbookViewId="0">
      <selection activeCell="B2" sqref="B2:H2"/>
    </sheetView>
  </sheetViews>
  <sheetFormatPr defaultRowHeight="15" x14ac:dyDescent="0.25"/>
  <cols>
    <col min="1" max="1" width="3.140625" customWidth="1"/>
    <col min="2" max="2" width="37.140625" customWidth="1"/>
    <col min="6" max="6" width="13.7109375" customWidth="1"/>
    <col min="7" max="7" width="13.28515625" customWidth="1"/>
    <col min="8" max="8" width="12.85546875" customWidth="1"/>
    <col min="9" max="9" width="10" bestFit="1" customWidth="1"/>
  </cols>
  <sheetData>
    <row r="1" spans="1:8" x14ac:dyDescent="0.25">
      <c r="H1" t="s">
        <v>716</v>
      </c>
    </row>
    <row r="2" spans="1:8" ht="15.75" x14ac:dyDescent="0.25">
      <c r="B2" s="483" t="s">
        <v>364</v>
      </c>
      <c r="C2" s="483"/>
      <c r="D2" s="483"/>
      <c r="E2" s="483"/>
      <c r="F2" s="483"/>
      <c r="G2" s="483"/>
      <c r="H2" s="483"/>
    </row>
    <row r="4" spans="1:8" ht="56.25" customHeight="1" x14ac:dyDescent="0.25">
      <c r="A4" s="41"/>
      <c r="B4" s="96" t="s">
        <v>319</v>
      </c>
      <c r="C4" s="97" t="s">
        <v>365</v>
      </c>
      <c r="D4" s="98" t="s">
        <v>321</v>
      </c>
      <c r="E4" s="98" t="s">
        <v>322</v>
      </c>
      <c r="F4" s="98" t="s">
        <v>287</v>
      </c>
      <c r="G4" s="98" t="s">
        <v>288</v>
      </c>
      <c r="H4" s="98" t="s">
        <v>289</v>
      </c>
    </row>
    <row r="5" spans="1:8" ht="15.75" x14ac:dyDescent="0.25">
      <c r="A5" s="41"/>
      <c r="B5" s="90" t="s">
        <v>366</v>
      </c>
      <c r="C5" s="10"/>
      <c r="D5" s="83"/>
      <c r="E5" s="83"/>
      <c r="F5" s="83"/>
      <c r="G5" s="83"/>
      <c r="H5" s="10"/>
    </row>
    <row r="6" spans="1:8" x14ac:dyDescent="0.25">
      <c r="A6" s="41"/>
      <c r="B6" s="7" t="s">
        <v>367</v>
      </c>
      <c r="C6" s="10" t="s">
        <v>323</v>
      </c>
      <c r="D6" s="83">
        <v>200</v>
      </c>
      <c r="E6" s="84">
        <v>4.75</v>
      </c>
      <c r="F6" s="69">
        <f t="shared" ref="F6:F32" si="0">D6*E6</f>
        <v>950</v>
      </c>
      <c r="G6" s="83"/>
      <c r="H6" s="10"/>
    </row>
    <row r="7" spans="1:8" x14ac:dyDescent="0.25">
      <c r="A7" s="41"/>
      <c r="B7" s="7" t="s">
        <v>368</v>
      </c>
      <c r="C7" s="10" t="s">
        <v>323</v>
      </c>
      <c r="D7" s="83">
        <v>100</v>
      </c>
      <c r="E7" s="84">
        <v>4.05</v>
      </c>
      <c r="F7" s="69">
        <f t="shared" si="0"/>
        <v>405</v>
      </c>
      <c r="G7" s="10"/>
      <c r="H7" s="10"/>
    </row>
    <row r="8" spans="1:8" x14ac:dyDescent="0.25">
      <c r="A8" s="41"/>
      <c r="B8" s="7" t="s">
        <v>369</v>
      </c>
      <c r="C8" s="10" t="s">
        <v>323</v>
      </c>
      <c r="D8" s="83">
        <v>60</v>
      </c>
      <c r="E8" s="84">
        <v>14.21</v>
      </c>
      <c r="F8" s="69">
        <f t="shared" si="0"/>
        <v>852.6</v>
      </c>
      <c r="G8" s="10"/>
      <c r="H8" s="10"/>
    </row>
    <row r="9" spans="1:8" x14ac:dyDescent="0.25">
      <c r="A9" s="41"/>
      <c r="B9" s="7" t="s">
        <v>370</v>
      </c>
      <c r="C9" s="10" t="s">
        <v>323</v>
      </c>
      <c r="D9" s="83">
        <v>60</v>
      </c>
      <c r="E9" s="84">
        <v>6.97</v>
      </c>
      <c r="F9" s="69">
        <f t="shared" si="0"/>
        <v>418.2</v>
      </c>
      <c r="G9" s="10"/>
      <c r="H9" s="10"/>
    </row>
    <row r="10" spans="1:8" x14ac:dyDescent="0.25">
      <c r="A10" s="41"/>
      <c r="B10" s="7" t="s">
        <v>371</v>
      </c>
      <c r="C10" s="10" t="s">
        <v>323</v>
      </c>
      <c r="D10" s="85">
        <v>60</v>
      </c>
      <c r="E10" s="69">
        <v>7.25</v>
      </c>
      <c r="F10" s="69">
        <f t="shared" si="0"/>
        <v>435</v>
      </c>
      <c r="G10" s="10"/>
      <c r="H10" s="10"/>
    </row>
    <row r="11" spans="1:8" x14ac:dyDescent="0.25">
      <c r="A11" s="41"/>
      <c r="B11" s="7" t="s">
        <v>372</v>
      </c>
      <c r="C11" s="10" t="s">
        <v>323</v>
      </c>
      <c r="D11" s="85">
        <v>200</v>
      </c>
      <c r="E11" s="69">
        <v>10.5</v>
      </c>
      <c r="F11" s="69">
        <f t="shared" si="0"/>
        <v>2100</v>
      </c>
      <c r="G11" s="10"/>
      <c r="H11" s="10"/>
    </row>
    <row r="12" spans="1:8" x14ac:dyDescent="0.25">
      <c r="A12" s="41"/>
      <c r="B12" s="7" t="s">
        <v>373</v>
      </c>
      <c r="C12" s="10" t="s">
        <v>323</v>
      </c>
      <c r="D12" s="83">
        <v>300</v>
      </c>
      <c r="E12" s="84">
        <v>0.61</v>
      </c>
      <c r="F12" s="69">
        <f t="shared" si="0"/>
        <v>183</v>
      </c>
      <c r="G12" s="10"/>
      <c r="H12" s="10"/>
    </row>
    <row r="13" spans="1:8" x14ac:dyDescent="0.25">
      <c r="A13" s="41"/>
      <c r="B13" s="7" t="s">
        <v>374</v>
      </c>
      <c r="C13" s="10" t="s">
        <v>323</v>
      </c>
      <c r="D13" s="83">
        <v>300</v>
      </c>
      <c r="E13" s="84">
        <v>5.8</v>
      </c>
      <c r="F13" s="69">
        <f t="shared" si="0"/>
        <v>1740</v>
      </c>
      <c r="G13" s="10"/>
      <c r="H13" s="10"/>
    </row>
    <row r="14" spans="1:8" x14ac:dyDescent="0.25">
      <c r="A14" s="41"/>
      <c r="B14" s="7" t="s">
        <v>375</v>
      </c>
      <c r="C14" s="10" t="s">
        <v>376</v>
      </c>
      <c r="D14" s="83">
        <v>120</v>
      </c>
      <c r="E14" s="11">
        <v>7.4</v>
      </c>
      <c r="F14" s="69">
        <f t="shared" si="0"/>
        <v>888</v>
      </c>
      <c r="G14" s="10"/>
      <c r="H14" s="10"/>
    </row>
    <row r="15" spans="1:8" x14ac:dyDescent="0.25">
      <c r="A15" s="41"/>
      <c r="B15" s="7" t="s">
        <v>377</v>
      </c>
      <c r="C15" s="10" t="s">
        <v>376</v>
      </c>
      <c r="D15" s="83">
        <v>120</v>
      </c>
      <c r="E15" s="11">
        <v>15.77</v>
      </c>
      <c r="F15" s="69">
        <f t="shared" si="0"/>
        <v>1892.3999999999999</v>
      </c>
      <c r="G15" s="10"/>
      <c r="H15" s="10"/>
    </row>
    <row r="16" spans="1:8" x14ac:dyDescent="0.25">
      <c r="A16" s="41"/>
      <c r="B16" s="7" t="s">
        <v>378</v>
      </c>
      <c r="C16" s="10" t="s">
        <v>323</v>
      </c>
      <c r="D16" s="85">
        <v>120</v>
      </c>
      <c r="E16" s="69">
        <v>4.05</v>
      </c>
      <c r="F16" s="69">
        <f t="shared" si="0"/>
        <v>486</v>
      </c>
      <c r="G16" s="86"/>
      <c r="H16" s="86"/>
    </row>
    <row r="17" spans="1:8" x14ac:dyDescent="0.25">
      <c r="A17" s="41"/>
      <c r="B17" s="7" t="s">
        <v>379</v>
      </c>
      <c r="C17" s="10" t="s">
        <v>376</v>
      </c>
      <c r="D17" s="85">
        <v>120</v>
      </c>
      <c r="E17" s="69">
        <v>4.1500000000000004</v>
      </c>
      <c r="F17" s="69">
        <f t="shared" si="0"/>
        <v>498.00000000000006</v>
      </c>
      <c r="G17" s="86"/>
      <c r="H17" s="86"/>
    </row>
    <row r="18" spans="1:8" x14ac:dyDescent="0.25">
      <c r="A18" s="41"/>
      <c r="B18" s="7" t="s">
        <v>380</v>
      </c>
      <c r="C18" s="10" t="s">
        <v>323</v>
      </c>
      <c r="D18" s="85">
        <v>12</v>
      </c>
      <c r="E18" s="69">
        <v>54.8</v>
      </c>
      <c r="F18" s="69">
        <f t="shared" si="0"/>
        <v>657.59999999999991</v>
      </c>
      <c r="G18" s="88"/>
      <c r="H18" s="88"/>
    </row>
    <row r="19" spans="1:8" x14ac:dyDescent="0.25">
      <c r="A19" s="41"/>
      <c r="B19" s="7" t="s">
        <v>381</v>
      </c>
      <c r="C19" s="10" t="s">
        <v>323</v>
      </c>
      <c r="D19" s="85">
        <v>60</v>
      </c>
      <c r="E19" s="69">
        <v>38.72</v>
      </c>
      <c r="F19" s="69">
        <f t="shared" si="0"/>
        <v>2323.1999999999998</v>
      </c>
      <c r="G19" s="88"/>
      <c r="H19" s="88"/>
    </row>
    <row r="20" spans="1:8" x14ac:dyDescent="0.25">
      <c r="A20" s="41"/>
      <c r="B20" s="7" t="s">
        <v>382</v>
      </c>
      <c r="C20" s="10" t="s">
        <v>323</v>
      </c>
      <c r="D20" s="85">
        <v>60</v>
      </c>
      <c r="E20" s="69">
        <v>5.33</v>
      </c>
      <c r="F20" s="69">
        <f t="shared" si="0"/>
        <v>319.8</v>
      </c>
      <c r="G20" s="88"/>
      <c r="H20" s="88"/>
    </row>
    <row r="21" spans="1:8" x14ac:dyDescent="0.25">
      <c r="A21" s="41"/>
      <c r="B21" s="7" t="s">
        <v>383</v>
      </c>
      <c r="C21" s="10" t="s">
        <v>323</v>
      </c>
      <c r="D21" s="85">
        <v>1000</v>
      </c>
      <c r="E21" s="69">
        <v>4.2</v>
      </c>
      <c r="F21" s="69">
        <f t="shared" si="0"/>
        <v>4200</v>
      </c>
      <c r="G21" s="86"/>
      <c r="H21" s="86"/>
    </row>
    <row r="22" spans="1:8" x14ac:dyDescent="0.25">
      <c r="A22" s="41"/>
      <c r="B22" s="7" t="s">
        <v>384</v>
      </c>
      <c r="C22" s="10" t="s">
        <v>323</v>
      </c>
      <c r="D22" s="85">
        <v>1500</v>
      </c>
      <c r="E22" s="69">
        <v>5</v>
      </c>
      <c r="F22" s="69">
        <f t="shared" si="0"/>
        <v>7500</v>
      </c>
      <c r="G22" s="85"/>
      <c r="H22" s="85"/>
    </row>
    <row r="23" spans="1:8" ht="0.75" hidden="1" customHeight="1" x14ac:dyDescent="0.25">
      <c r="A23" s="41"/>
      <c r="B23" s="7"/>
      <c r="C23" s="10"/>
      <c r="D23" s="85"/>
      <c r="E23" s="69"/>
      <c r="F23" s="69"/>
      <c r="G23" s="85"/>
      <c r="H23" s="85"/>
    </row>
    <row r="24" spans="1:8" x14ac:dyDescent="0.25">
      <c r="A24" s="41"/>
      <c r="B24" s="7" t="s">
        <v>386</v>
      </c>
      <c r="C24" s="10" t="s">
        <v>376</v>
      </c>
      <c r="D24" s="85">
        <v>120</v>
      </c>
      <c r="E24" s="69">
        <v>62.35</v>
      </c>
      <c r="F24" s="69">
        <f t="shared" si="0"/>
        <v>7482</v>
      </c>
      <c r="G24" s="85"/>
      <c r="H24" s="85"/>
    </row>
    <row r="25" spans="1:8" x14ac:dyDescent="0.25">
      <c r="A25" s="41"/>
      <c r="B25" s="7" t="s">
        <v>387</v>
      </c>
      <c r="C25" s="10" t="s">
        <v>376</v>
      </c>
      <c r="D25" s="85">
        <v>12</v>
      </c>
      <c r="E25" s="69">
        <v>50.3</v>
      </c>
      <c r="F25" s="69">
        <f t="shared" si="0"/>
        <v>603.59999999999991</v>
      </c>
      <c r="G25" s="85"/>
      <c r="H25" s="85"/>
    </row>
    <row r="26" spans="1:8" x14ac:dyDescent="0.25">
      <c r="A26" s="41"/>
      <c r="B26" s="7" t="s">
        <v>388</v>
      </c>
      <c r="C26" s="10" t="s">
        <v>323</v>
      </c>
      <c r="D26" s="85">
        <v>200</v>
      </c>
      <c r="E26" s="69">
        <v>49.54</v>
      </c>
      <c r="F26" s="69">
        <f t="shared" si="0"/>
        <v>9908</v>
      </c>
      <c r="G26" s="85"/>
      <c r="H26" s="85"/>
    </row>
    <row r="27" spans="1:8" x14ac:dyDescent="0.25">
      <c r="A27" s="41"/>
      <c r="B27" s="7" t="s">
        <v>389</v>
      </c>
      <c r="C27" s="10" t="s">
        <v>323</v>
      </c>
      <c r="D27" s="99">
        <v>12</v>
      </c>
      <c r="E27" s="69">
        <v>38.4</v>
      </c>
      <c r="F27" s="69">
        <f t="shared" si="0"/>
        <v>460.79999999999995</v>
      </c>
      <c r="G27" s="86"/>
      <c r="H27" s="86"/>
    </row>
    <row r="28" spans="1:8" x14ac:dyDescent="0.25">
      <c r="A28" s="41"/>
      <c r="B28" s="7" t="s">
        <v>390</v>
      </c>
      <c r="C28" s="10" t="s">
        <v>323</v>
      </c>
      <c r="D28" s="85">
        <v>200</v>
      </c>
      <c r="E28" s="69">
        <v>3.25</v>
      </c>
      <c r="F28" s="69">
        <f t="shared" si="0"/>
        <v>650</v>
      </c>
      <c r="G28" s="85"/>
      <c r="H28" s="85"/>
    </row>
    <row r="29" spans="1:8" x14ac:dyDescent="0.25">
      <c r="A29" s="41"/>
      <c r="B29" s="7" t="s">
        <v>391</v>
      </c>
      <c r="C29" s="10" t="s">
        <v>323</v>
      </c>
      <c r="D29" s="85">
        <v>12</v>
      </c>
      <c r="E29" s="69">
        <v>58.61</v>
      </c>
      <c r="F29" s="69">
        <f t="shared" si="0"/>
        <v>703.31999999999994</v>
      </c>
      <c r="G29" s="85"/>
      <c r="H29" s="85"/>
    </row>
    <row r="30" spans="1:8" x14ac:dyDescent="0.25">
      <c r="A30" s="41"/>
      <c r="B30" s="7" t="s">
        <v>392</v>
      </c>
      <c r="C30" s="10" t="s">
        <v>323</v>
      </c>
      <c r="D30" s="85">
        <v>6</v>
      </c>
      <c r="E30" s="69">
        <v>64.3</v>
      </c>
      <c r="F30" s="69">
        <f t="shared" si="0"/>
        <v>385.79999999999995</v>
      </c>
      <c r="G30" s="76"/>
      <c r="H30" s="76"/>
    </row>
    <row r="31" spans="1:8" x14ac:dyDescent="0.25">
      <c r="A31" s="41"/>
      <c r="B31" s="7" t="s">
        <v>393</v>
      </c>
      <c r="C31" s="10" t="s">
        <v>323</v>
      </c>
      <c r="D31" s="85">
        <v>4000</v>
      </c>
      <c r="E31" s="69">
        <v>0.2</v>
      </c>
      <c r="F31" s="69">
        <f t="shared" si="0"/>
        <v>800</v>
      </c>
      <c r="G31" s="76"/>
      <c r="H31" s="76"/>
    </row>
    <row r="32" spans="1:8" x14ac:dyDescent="0.25">
      <c r="A32" s="41"/>
      <c r="B32" s="7" t="s">
        <v>394</v>
      </c>
      <c r="C32" s="10" t="s">
        <v>323</v>
      </c>
      <c r="D32" s="85">
        <v>800</v>
      </c>
      <c r="E32" s="69">
        <v>1.1000000000000001</v>
      </c>
      <c r="F32" s="69">
        <f t="shared" si="0"/>
        <v>880.00000000000011</v>
      </c>
      <c r="G32" s="76"/>
      <c r="H32" s="65"/>
    </row>
    <row r="33" spans="1:9" x14ac:dyDescent="0.25">
      <c r="A33" s="41"/>
      <c r="B33" s="7"/>
      <c r="C33" s="10"/>
      <c r="D33" s="85"/>
      <c r="E33" s="69"/>
      <c r="F33" s="89">
        <f>SUM(F6:F32)</f>
        <v>47722.320000000007</v>
      </c>
      <c r="G33" s="65">
        <f>F33/2</f>
        <v>23861.160000000003</v>
      </c>
      <c r="H33" s="65">
        <f>F33/2</f>
        <v>23861.160000000003</v>
      </c>
    </row>
    <row r="34" spans="1:9" x14ac:dyDescent="0.25">
      <c r="A34" s="41"/>
      <c r="B34" s="7"/>
      <c r="C34" s="10"/>
      <c r="D34" s="85"/>
      <c r="E34" s="69"/>
      <c r="F34" s="89"/>
      <c r="G34" s="65"/>
      <c r="H34" s="65"/>
    </row>
    <row r="35" spans="1:9" x14ac:dyDescent="0.25">
      <c r="A35" s="41"/>
      <c r="B35" s="9" t="s">
        <v>385</v>
      </c>
      <c r="C35" s="87" t="s">
        <v>376</v>
      </c>
      <c r="D35" s="93">
        <v>7500</v>
      </c>
      <c r="E35" s="89">
        <v>87.5</v>
      </c>
      <c r="F35" s="89">
        <f>D35*E35</f>
        <v>656250</v>
      </c>
      <c r="G35" s="65">
        <f>F35</f>
        <v>656250</v>
      </c>
      <c r="H35" s="65"/>
    </row>
    <row r="36" spans="1:9" x14ac:dyDescent="0.25">
      <c r="A36" s="41"/>
      <c r="B36" s="27"/>
      <c r="C36" s="10"/>
      <c r="D36" s="85"/>
      <c r="E36" s="85"/>
      <c r="F36" s="85"/>
      <c r="G36" s="85"/>
      <c r="H36" s="85"/>
    </row>
    <row r="37" spans="1:9" ht="15.75" x14ac:dyDescent="0.25">
      <c r="A37" s="41"/>
      <c r="B37" s="90" t="s">
        <v>395</v>
      </c>
      <c r="C37" s="10"/>
      <c r="D37" s="91"/>
      <c r="E37" s="91"/>
      <c r="F37" s="91"/>
      <c r="G37" s="91"/>
      <c r="H37" s="85"/>
    </row>
    <row r="38" spans="1:9" x14ac:dyDescent="0.25">
      <c r="A38" s="41"/>
      <c r="B38" s="7" t="s">
        <v>396</v>
      </c>
      <c r="C38" s="10" t="s">
        <v>323</v>
      </c>
      <c r="D38" s="85">
        <v>15</v>
      </c>
      <c r="E38" s="85">
        <v>1800</v>
      </c>
      <c r="F38" s="85">
        <f>D38*E38</f>
        <v>27000</v>
      </c>
      <c r="G38" s="85"/>
      <c r="H38" s="85"/>
    </row>
    <row r="39" spans="1:9" x14ac:dyDescent="0.25">
      <c r="A39" s="41"/>
      <c r="B39" s="7" t="s">
        <v>397</v>
      </c>
      <c r="C39" s="10" t="s">
        <v>323</v>
      </c>
      <c r="D39" s="85">
        <v>15</v>
      </c>
      <c r="E39" s="85">
        <v>2500</v>
      </c>
      <c r="F39" s="85">
        <f>D39*E39</f>
        <v>37500</v>
      </c>
      <c r="G39" s="85"/>
      <c r="H39" s="85"/>
    </row>
    <row r="40" spans="1:9" x14ac:dyDescent="0.25">
      <c r="A40" s="41"/>
      <c r="B40" s="7" t="s">
        <v>398</v>
      </c>
      <c r="C40" s="10" t="s">
        <v>323</v>
      </c>
      <c r="D40" s="85">
        <v>15</v>
      </c>
      <c r="E40" s="85">
        <v>1950</v>
      </c>
      <c r="F40" s="85">
        <f>D40*E40</f>
        <v>29250</v>
      </c>
      <c r="G40" s="85"/>
      <c r="H40" s="85"/>
    </row>
    <row r="41" spans="1:9" ht="1.5" hidden="1" customHeight="1" x14ac:dyDescent="0.25">
      <c r="A41" s="41"/>
      <c r="B41" s="7"/>
      <c r="C41" s="10"/>
      <c r="D41" s="85"/>
      <c r="E41" s="85"/>
      <c r="F41" s="85"/>
      <c r="G41" s="85"/>
      <c r="H41" s="85"/>
    </row>
    <row r="42" spans="1:9" x14ac:dyDescent="0.25">
      <c r="A42" s="41"/>
      <c r="B42" s="7" t="s">
        <v>399</v>
      </c>
      <c r="C42" s="10" t="s">
        <v>323</v>
      </c>
      <c r="D42" s="85">
        <v>76</v>
      </c>
      <c r="E42" s="85">
        <v>650</v>
      </c>
      <c r="F42" s="85">
        <f>D42*E42</f>
        <v>49400</v>
      </c>
      <c r="G42" s="85"/>
      <c r="H42" s="85"/>
    </row>
    <row r="43" spans="1:9" hidden="1" x14ac:dyDescent="0.25">
      <c r="A43" s="41"/>
      <c r="B43" s="7"/>
      <c r="C43" s="10"/>
      <c r="D43" s="85"/>
      <c r="E43" s="85"/>
      <c r="F43" s="85"/>
      <c r="G43" s="93"/>
      <c r="H43" s="85"/>
    </row>
    <row r="44" spans="1:9" x14ac:dyDescent="0.25">
      <c r="A44" s="41"/>
      <c r="B44" s="7"/>
      <c r="C44" s="10"/>
      <c r="D44" s="85"/>
      <c r="E44" s="85"/>
      <c r="F44" s="89">
        <f>SUM(F38:F42)</f>
        <v>143150</v>
      </c>
      <c r="G44" s="89">
        <f>F44/2</f>
        <v>71575</v>
      </c>
      <c r="H44" s="89">
        <f>F44/2</f>
        <v>71575</v>
      </c>
    </row>
    <row r="45" spans="1:9" ht="10.5" customHeight="1" x14ac:dyDescent="0.25">
      <c r="A45" s="41"/>
      <c r="B45" s="100"/>
      <c r="C45" s="10"/>
      <c r="D45" s="85"/>
      <c r="E45" s="85"/>
      <c r="F45" s="85"/>
      <c r="G45" s="85"/>
      <c r="H45" s="85"/>
    </row>
    <row r="46" spans="1:9" hidden="1" x14ac:dyDescent="0.25">
      <c r="A46" s="41"/>
      <c r="B46" s="101"/>
      <c r="C46" s="10"/>
      <c r="D46" s="85"/>
      <c r="E46" s="85"/>
      <c r="F46" s="102"/>
      <c r="G46" s="89"/>
      <c r="H46" s="89"/>
    </row>
    <row r="47" spans="1:9" x14ac:dyDescent="0.25">
      <c r="A47" s="41"/>
      <c r="B47" s="101" t="s">
        <v>400</v>
      </c>
      <c r="C47" s="41"/>
      <c r="D47" s="41"/>
      <c r="E47" s="41"/>
      <c r="F47" s="103">
        <f>F33+F35+F44</f>
        <v>847122.32000000007</v>
      </c>
      <c r="G47" s="103">
        <f>F47/2</f>
        <v>423561.16000000003</v>
      </c>
      <c r="H47" s="103">
        <f>F47/2</f>
        <v>423561.16000000003</v>
      </c>
      <c r="I47" s="106"/>
    </row>
    <row r="48" spans="1:9" x14ac:dyDescent="0.25">
      <c r="A48" s="41"/>
      <c r="B48" s="7"/>
      <c r="C48" s="10"/>
      <c r="D48" s="104"/>
      <c r="E48" s="104"/>
      <c r="F48" s="105"/>
      <c r="G48" s="85"/>
      <c r="H48" s="85"/>
    </row>
    <row r="49" spans="1:8" ht="29.25" x14ac:dyDescent="0.25">
      <c r="A49" s="41"/>
      <c r="B49" s="95" t="s">
        <v>362</v>
      </c>
      <c r="C49" s="10"/>
      <c r="D49" s="104"/>
      <c r="E49" s="104"/>
      <c r="F49" s="270">
        <v>50000</v>
      </c>
      <c r="G49" s="270">
        <f>F49/2</f>
        <v>25000</v>
      </c>
      <c r="H49" s="270">
        <f>F49/2</f>
        <v>25000</v>
      </c>
    </row>
    <row r="50" spans="1:8" x14ac:dyDescent="0.25">
      <c r="A50" s="41"/>
      <c r="B50" s="7"/>
      <c r="C50" s="10"/>
      <c r="D50" s="85"/>
      <c r="E50" s="85"/>
      <c r="F50" s="85"/>
      <c r="G50" s="85"/>
      <c r="H50" s="85"/>
    </row>
    <row r="51" spans="1:8" x14ac:dyDescent="0.25">
      <c r="A51" s="41"/>
      <c r="B51" s="27"/>
      <c r="C51" s="10"/>
      <c r="D51" s="91"/>
      <c r="E51" s="91"/>
      <c r="F51" s="91">
        <f>G51+H51</f>
        <v>897122.32000000007</v>
      </c>
      <c r="G51" s="69">
        <f>G47+G49</f>
        <v>448561.16000000003</v>
      </c>
      <c r="H51" s="69">
        <f>H49+H47</f>
        <v>448561.16000000003</v>
      </c>
    </row>
    <row r="52" spans="1:8" x14ac:dyDescent="0.25">
      <c r="F52" s="106"/>
    </row>
    <row r="53" spans="1:8" x14ac:dyDescent="0.25">
      <c r="B53" t="s">
        <v>254</v>
      </c>
      <c r="H53" t="s">
        <v>255</v>
      </c>
    </row>
    <row r="54" spans="1:8" x14ac:dyDescent="0.25">
      <c r="B54" t="s">
        <v>256</v>
      </c>
      <c r="H54" t="s">
        <v>257</v>
      </c>
    </row>
  </sheetData>
  <mergeCells count="1">
    <mergeCell ref="B2:H2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фін.план 2021 зведений</vt:lpstr>
      <vt:lpstr>Плановані доходи від НСЗУ</vt:lpstr>
      <vt:lpstr>комунальні</vt:lpstr>
      <vt:lpstr>Капітальні інвестиції</vt:lpstr>
      <vt:lpstr>Обладнання для КДЛ</vt:lpstr>
      <vt:lpstr>Поточні ремонти.</vt:lpstr>
      <vt:lpstr>Оплата послуг (окрім комунальни</vt:lpstr>
      <vt:lpstr>Господарські товари</vt:lpstr>
      <vt:lpstr>Канцтовари</vt:lpstr>
      <vt:lpstr>Медикаменти та перевязувальні м</vt:lpstr>
      <vt:lpstr>Лікарські засоби.</vt:lpstr>
      <vt:lpstr>Страхування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2021-07-23T12:17:46Z</dcterms:modified>
</cp:coreProperties>
</file>