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5\"/>
    </mc:Choice>
  </mc:AlternateContent>
  <bookViews>
    <workbookView xWindow="0" yWindow="0" windowWidth="28800" windowHeight="12300" tabRatio="0"/>
  </bookViews>
  <sheets>
    <sheet name="TDSheet" sheetId="1" r:id="rId1"/>
  </sheets>
  <definedNames>
    <definedName name="_xlnm.Print_Titles" localSheetId="0">TDSheet!$6:$9</definedName>
    <definedName name="_xlnm.Print_Area" localSheetId="0">TDSheet!$A$1:$R$294</definedName>
  </definedNames>
  <calcPr calcId="162913" refMode="R1C1"/>
</workbook>
</file>

<file path=xl/calcChain.xml><?xml version="1.0" encoding="utf-8"?>
<calcChain xmlns="http://schemas.openxmlformats.org/spreadsheetml/2006/main">
  <c r="G278" i="1" l="1"/>
  <c r="G230" i="1"/>
  <c r="G228" i="1"/>
  <c r="G281" i="1" l="1"/>
  <c r="G46" i="1"/>
  <c r="G166" i="1" l="1"/>
  <c r="G85" i="1" l="1"/>
  <c r="P93" i="1" l="1"/>
  <c r="P94" i="1"/>
  <c r="P95" i="1"/>
  <c r="P96" i="1"/>
  <c r="P97" i="1"/>
  <c r="P98" i="1"/>
  <c r="P99" i="1"/>
  <c r="P100" i="1"/>
  <c r="P101" i="1"/>
  <c r="P102" i="1"/>
  <c r="P103" i="1"/>
  <c r="P104" i="1"/>
  <c r="Q93" i="1"/>
  <c r="E52" i="1" l="1"/>
  <c r="E282" i="1"/>
  <c r="M143" i="1" l="1"/>
  <c r="J143" i="1"/>
  <c r="H143" i="1"/>
  <c r="E143" i="1"/>
  <c r="G146" i="1"/>
  <c r="F146" i="1" s="1"/>
  <c r="I146" i="1" s="1"/>
  <c r="F147" i="1"/>
  <c r="Q147" i="1" s="1"/>
  <c r="I147" i="1" l="1"/>
  <c r="R147" i="1" l="1"/>
  <c r="G12" i="1"/>
  <c r="P138" i="1" l="1"/>
  <c r="K138" i="1"/>
  <c r="O138" i="1" s="1"/>
  <c r="F134" i="1"/>
  <c r="F135" i="1"/>
  <c r="I135" i="1" s="1"/>
  <c r="F136" i="1"/>
  <c r="I136" i="1" s="1"/>
  <c r="F137" i="1"/>
  <c r="I137" i="1" s="1"/>
  <c r="F138" i="1"/>
  <c r="Q138" i="1" l="1"/>
  <c r="I138" i="1"/>
  <c r="E130" i="1"/>
  <c r="R138" i="1" l="1"/>
  <c r="G151" i="1"/>
  <c r="G150" i="1"/>
  <c r="G61" i="1" l="1"/>
  <c r="E51" i="1" l="1"/>
  <c r="P51" i="1"/>
  <c r="E50" i="1"/>
  <c r="P50" i="1" s="1"/>
  <c r="F50" i="1"/>
  <c r="Q50" i="1" s="1"/>
  <c r="F51" i="1"/>
  <c r="Q51" i="1" s="1"/>
  <c r="I51" i="1" l="1"/>
  <c r="I50" i="1"/>
  <c r="R50" i="1" l="1"/>
  <c r="R51" i="1"/>
  <c r="G130" i="1"/>
  <c r="G116" i="1" l="1"/>
  <c r="G115" i="1"/>
  <c r="G114" i="1"/>
  <c r="G185" i="1"/>
  <c r="G184" i="1"/>
  <c r="G170" i="1"/>
  <c r="F170" i="1" s="1"/>
  <c r="M167" i="1"/>
  <c r="J167" i="1"/>
  <c r="H167" i="1"/>
  <c r="E167" i="1"/>
  <c r="G172" i="1"/>
  <c r="F172" i="1" s="1"/>
  <c r="G171" i="1"/>
  <c r="F171" i="1" s="1"/>
  <c r="I171" i="1" s="1"/>
  <c r="P171" i="1"/>
  <c r="P172" i="1"/>
  <c r="F173" i="1"/>
  <c r="I173" i="1" s="1"/>
  <c r="R171" i="1" l="1"/>
  <c r="Q172" i="1"/>
  <c r="I172" i="1"/>
  <c r="Q171" i="1"/>
  <c r="G152" i="1"/>
  <c r="G153" i="1"/>
  <c r="G143" i="1" l="1"/>
  <c r="R172" i="1"/>
  <c r="G88" i="1"/>
  <c r="G76" i="1"/>
  <c r="G75" i="1"/>
  <c r="G68" i="1"/>
  <c r="G59" i="1"/>
  <c r="P288" i="1" l="1"/>
  <c r="P287" i="1"/>
  <c r="P286" i="1"/>
  <c r="R285" i="1"/>
  <c r="Q285" i="1"/>
  <c r="P285" i="1"/>
  <c r="P283" i="1"/>
  <c r="P280" i="1"/>
  <c r="P279" i="1"/>
  <c r="P278" i="1"/>
  <c r="P277" i="1"/>
  <c r="P276" i="1"/>
  <c r="P274" i="1"/>
  <c r="P273" i="1"/>
  <c r="P270" i="1"/>
  <c r="P269" i="1"/>
  <c r="P267" i="1"/>
  <c r="P264" i="1"/>
  <c r="P263" i="1"/>
  <c r="P262" i="1"/>
  <c r="P261" i="1"/>
  <c r="P258" i="1"/>
  <c r="P257" i="1"/>
  <c r="P256" i="1"/>
  <c r="P255" i="1"/>
  <c r="P254" i="1"/>
  <c r="P253" i="1"/>
  <c r="P251" i="1"/>
  <c r="P250" i="1"/>
  <c r="P249" i="1"/>
  <c r="P248" i="1"/>
  <c r="P247" i="1"/>
  <c r="P246" i="1"/>
  <c r="P245" i="1"/>
  <c r="P244" i="1"/>
  <c r="P241" i="1"/>
  <c r="P240" i="1"/>
  <c r="P239" i="1"/>
  <c r="P238" i="1"/>
  <c r="P237" i="1"/>
  <c r="P235" i="1"/>
  <c r="P233" i="1"/>
  <c r="P230" i="1"/>
  <c r="P229" i="1"/>
  <c r="P228" i="1"/>
  <c r="P227" i="1"/>
  <c r="P226" i="1"/>
  <c r="P225" i="1"/>
  <c r="P223" i="1"/>
  <c r="P220" i="1"/>
  <c r="P219" i="1"/>
  <c r="P218" i="1"/>
  <c r="P217" i="1"/>
  <c r="P216" i="1"/>
  <c r="P213" i="1"/>
  <c r="P212" i="1"/>
  <c r="P211" i="1"/>
  <c r="P210" i="1"/>
  <c r="P209" i="1"/>
  <c r="P208" i="1"/>
  <c r="P207" i="1"/>
  <c r="P206" i="1"/>
  <c r="P203" i="1"/>
  <c r="P202" i="1"/>
  <c r="P200" i="1"/>
  <c r="P199" i="1"/>
  <c r="P198" i="1"/>
  <c r="P197" i="1"/>
  <c r="P196" i="1"/>
  <c r="P195" i="1"/>
  <c r="P194" i="1"/>
  <c r="P193" i="1"/>
  <c r="P192" i="1"/>
  <c r="P189" i="1"/>
  <c r="P188" i="1"/>
  <c r="P187" i="1"/>
  <c r="P186" i="1"/>
  <c r="P185" i="1"/>
  <c r="P184" i="1"/>
  <c r="P183" i="1"/>
  <c r="P182" i="1"/>
  <c r="P179" i="1"/>
  <c r="P178" i="1"/>
  <c r="P177" i="1"/>
  <c r="P176" i="1"/>
  <c r="P175" i="1"/>
  <c r="P174" i="1"/>
  <c r="P173" i="1"/>
  <c r="P170" i="1"/>
  <c r="P169" i="1"/>
  <c r="P166" i="1"/>
  <c r="P165" i="1"/>
  <c r="P164" i="1"/>
  <c r="P163" i="1"/>
  <c r="P162" i="1"/>
  <c r="P161" i="1"/>
  <c r="P160" i="1"/>
  <c r="P159" i="1"/>
  <c r="P158" i="1"/>
  <c r="P155" i="1"/>
  <c r="P154" i="1"/>
  <c r="P153" i="1"/>
  <c r="P152" i="1"/>
  <c r="P151" i="1"/>
  <c r="P150" i="1"/>
  <c r="P149" i="1"/>
  <c r="P148" i="1"/>
  <c r="P146" i="1"/>
  <c r="P145" i="1"/>
  <c r="P142" i="1"/>
  <c r="P141" i="1"/>
  <c r="P137" i="1"/>
  <c r="P136" i="1"/>
  <c r="P135" i="1"/>
  <c r="P134" i="1"/>
  <c r="P133" i="1"/>
  <c r="P132" i="1"/>
  <c r="P131" i="1"/>
  <c r="P129" i="1"/>
  <c r="P127" i="1"/>
  <c r="P126" i="1"/>
  <c r="P125" i="1"/>
  <c r="P124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8" i="1"/>
  <c r="P91" i="1"/>
  <c r="P90" i="1"/>
  <c r="P89" i="1"/>
  <c r="P88" i="1"/>
  <c r="P87" i="1"/>
  <c r="P86" i="1"/>
  <c r="P85" i="1"/>
  <c r="P84" i="1"/>
  <c r="P83" i="1"/>
  <c r="P82" i="1"/>
  <c r="P81" i="1"/>
  <c r="P80" i="1"/>
  <c r="P78" i="1"/>
  <c r="P77" i="1"/>
  <c r="P76" i="1"/>
  <c r="P75" i="1"/>
  <c r="P73" i="1"/>
  <c r="P72" i="1"/>
  <c r="P71" i="1"/>
  <c r="P70" i="1"/>
  <c r="P68" i="1"/>
  <c r="P67" i="1"/>
  <c r="P66" i="1"/>
  <c r="P65" i="1"/>
  <c r="P64" i="1"/>
  <c r="P62" i="1"/>
  <c r="P61" i="1"/>
  <c r="P59" i="1"/>
  <c r="P58" i="1"/>
  <c r="R57" i="1"/>
  <c r="Q57" i="1"/>
  <c r="P57" i="1"/>
  <c r="P56" i="1"/>
  <c r="P55" i="1"/>
  <c r="P49" i="1"/>
  <c r="P48" i="1"/>
  <c r="P46" i="1"/>
  <c r="P45" i="1"/>
  <c r="P43" i="1"/>
  <c r="P42" i="1"/>
  <c r="P40" i="1"/>
  <c r="P39" i="1"/>
  <c r="P38" i="1"/>
  <c r="P36" i="1"/>
  <c r="P35" i="1"/>
  <c r="P34" i="1"/>
  <c r="P33" i="1"/>
  <c r="P31" i="1"/>
  <c r="P30" i="1"/>
  <c r="P29" i="1"/>
  <c r="P28" i="1"/>
  <c r="P27" i="1"/>
  <c r="P26" i="1"/>
  <c r="P25" i="1"/>
  <c r="P23" i="1"/>
  <c r="P22" i="1"/>
  <c r="P21" i="1"/>
  <c r="P20" i="1"/>
  <c r="P19" i="1"/>
  <c r="P18" i="1"/>
  <c r="P17" i="1"/>
  <c r="P16" i="1"/>
  <c r="P15" i="1"/>
  <c r="P14" i="1"/>
  <c r="N252" i="1"/>
  <c r="K245" i="1"/>
  <c r="O245" i="1" s="1"/>
  <c r="K246" i="1"/>
  <c r="O246" i="1" s="1"/>
  <c r="K248" i="1"/>
  <c r="O248" i="1" s="1"/>
  <c r="K249" i="1"/>
  <c r="K250" i="1"/>
  <c r="O250" i="1" s="1"/>
  <c r="K253" i="1"/>
  <c r="O249" i="1"/>
  <c r="L67" i="1"/>
  <c r="N66" i="1"/>
  <c r="K66" i="1" s="1"/>
  <c r="O66" i="1" s="1"/>
  <c r="L66" i="1"/>
  <c r="N67" i="1"/>
  <c r="K67" i="1" s="1"/>
  <c r="O67" i="1" s="1"/>
  <c r="L252" i="1"/>
  <c r="N247" i="1"/>
  <c r="K247" i="1" s="1"/>
  <c r="O247" i="1" s="1"/>
  <c r="L247" i="1"/>
  <c r="N199" i="1"/>
  <c r="L199" i="1"/>
  <c r="N195" i="1"/>
  <c r="L195" i="1"/>
  <c r="N177" i="1"/>
  <c r="K177" i="1" s="1"/>
  <c r="L177" i="1"/>
  <c r="N176" i="1"/>
  <c r="K176" i="1" s="1"/>
  <c r="Q176" i="1" s="1"/>
  <c r="L176" i="1"/>
  <c r="N89" i="1"/>
  <c r="K89" i="1" s="1"/>
  <c r="Q89" i="1" s="1"/>
  <c r="L89" i="1"/>
  <c r="N61" i="1"/>
  <c r="L61" i="1"/>
  <c r="N288" i="1"/>
  <c r="K288" i="1" s="1"/>
  <c r="Q288" i="1" s="1"/>
  <c r="N287" i="1"/>
  <c r="K287" i="1" s="1"/>
  <c r="N286" i="1"/>
  <c r="K286" i="1" s="1"/>
  <c r="Q286" i="1" s="1"/>
  <c r="L288" i="1"/>
  <c r="J289" i="1"/>
  <c r="J284" i="1" s="1"/>
  <c r="L286" i="1"/>
  <c r="L287" i="1"/>
  <c r="K289" i="1"/>
  <c r="Q289" i="1" s="1"/>
  <c r="M284" i="1"/>
  <c r="K273" i="1"/>
  <c r="O273" i="1" s="1"/>
  <c r="K274" i="1"/>
  <c r="O274" i="1" s="1"/>
  <c r="K276" i="1"/>
  <c r="K277" i="1"/>
  <c r="O277" i="1" s="1"/>
  <c r="N275" i="1"/>
  <c r="L275" i="1"/>
  <c r="N261" i="1"/>
  <c r="L261" i="1"/>
  <c r="N251" i="1"/>
  <c r="K251" i="1" s="1"/>
  <c r="N244" i="1"/>
  <c r="N256" i="1"/>
  <c r="N255" i="1"/>
  <c r="L256" i="1"/>
  <c r="L255" i="1"/>
  <c r="L251" i="1"/>
  <c r="L244" i="1"/>
  <c r="Q232" i="1"/>
  <c r="Q222" i="1"/>
  <c r="N233" i="1"/>
  <c r="N238" i="1"/>
  <c r="L238" i="1"/>
  <c r="L233" i="1"/>
  <c r="K217" i="1"/>
  <c r="O217" i="1" s="1"/>
  <c r="K220" i="1"/>
  <c r="N219" i="1"/>
  <c r="K219" i="1" s="1"/>
  <c r="Q219" i="1" s="1"/>
  <c r="N218" i="1"/>
  <c r="K218" i="1" s="1"/>
  <c r="L219" i="1"/>
  <c r="L218" i="1"/>
  <c r="K207" i="1"/>
  <c r="K208" i="1"/>
  <c r="K209" i="1"/>
  <c r="O209" i="1" s="1"/>
  <c r="K212" i="1"/>
  <c r="N213" i="1"/>
  <c r="K213" i="1" s="1"/>
  <c r="Q213" i="1" s="1"/>
  <c r="N211" i="1"/>
  <c r="K211" i="1" s="1"/>
  <c r="Q211" i="1" s="1"/>
  <c r="N210" i="1"/>
  <c r="K210" i="1" s="1"/>
  <c r="Q210" i="1" s="1"/>
  <c r="L213" i="1"/>
  <c r="L211" i="1"/>
  <c r="L210" i="1"/>
  <c r="N201" i="1"/>
  <c r="N200" i="1"/>
  <c r="N198" i="1"/>
  <c r="N197" i="1"/>
  <c r="N196" i="1"/>
  <c r="L201" i="1"/>
  <c r="J201" i="1"/>
  <c r="P201" i="1" s="1"/>
  <c r="L200" i="1"/>
  <c r="L198" i="1"/>
  <c r="L197" i="1"/>
  <c r="L196" i="1"/>
  <c r="N194" i="1"/>
  <c r="L194" i="1"/>
  <c r="N192" i="1"/>
  <c r="L192" i="1"/>
  <c r="J180" i="1"/>
  <c r="N187" i="1"/>
  <c r="L187" i="1"/>
  <c r="N186" i="1"/>
  <c r="L186" i="1"/>
  <c r="K175" i="1"/>
  <c r="O175" i="1" s="1"/>
  <c r="K178" i="1"/>
  <c r="N174" i="1"/>
  <c r="L174" i="1"/>
  <c r="K152" i="1"/>
  <c r="O152" i="1" s="1"/>
  <c r="K153" i="1"/>
  <c r="O153" i="1" s="1"/>
  <c r="N154" i="1"/>
  <c r="K154" i="1" s="1"/>
  <c r="L154" i="1"/>
  <c r="N151" i="1"/>
  <c r="K151" i="1" s="1"/>
  <c r="L151" i="1"/>
  <c r="N145" i="1"/>
  <c r="L145" i="1"/>
  <c r="N141" i="1"/>
  <c r="L141" i="1"/>
  <c r="N136" i="1"/>
  <c r="K136" i="1" s="1"/>
  <c r="Q136" i="1" s="1"/>
  <c r="N135" i="1"/>
  <c r="K135" i="1" s="1"/>
  <c r="Q135" i="1" s="1"/>
  <c r="L136" i="1"/>
  <c r="L135" i="1"/>
  <c r="M92" i="1"/>
  <c r="J105" i="1"/>
  <c r="K105" i="1"/>
  <c r="Q105" i="1" s="1"/>
  <c r="O101" i="1"/>
  <c r="N103" i="1"/>
  <c r="K103" i="1" s="1"/>
  <c r="Q103" i="1" s="1"/>
  <c r="L103" i="1"/>
  <c r="N99" i="1"/>
  <c r="L99" i="1"/>
  <c r="N95" i="1"/>
  <c r="L95" i="1"/>
  <c r="K86" i="1"/>
  <c r="K87" i="1"/>
  <c r="O87" i="1" s="1"/>
  <c r="K88" i="1"/>
  <c r="O88" i="1" s="1"/>
  <c r="K90" i="1"/>
  <c r="O90" i="1" s="1"/>
  <c r="O86" i="1"/>
  <c r="N76" i="1"/>
  <c r="L76" i="1"/>
  <c r="N73" i="1"/>
  <c r="L73" i="1"/>
  <c r="N68" i="1"/>
  <c r="L68" i="1"/>
  <c r="N59" i="1"/>
  <c r="L59" i="1"/>
  <c r="N46" i="1"/>
  <c r="K46" i="1" s="1"/>
  <c r="O46" i="1" s="1"/>
  <c r="L46" i="1"/>
  <c r="N34" i="1"/>
  <c r="K34" i="1" s="1"/>
  <c r="O34" i="1" s="1"/>
  <c r="L34" i="1"/>
  <c r="N26" i="1"/>
  <c r="K26" i="1" s="1"/>
  <c r="O26" i="1" s="1"/>
  <c r="L26" i="1"/>
  <c r="N22" i="1"/>
  <c r="K22" i="1" s="1"/>
  <c r="O22" i="1" s="1"/>
  <c r="L22" i="1"/>
  <c r="N21" i="1"/>
  <c r="K21" i="1" s="1"/>
  <c r="O21" i="1" s="1"/>
  <c r="L21" i="1"/>
  <c r="K14" i="1"/>
  <c r="O14" i="1" s="1"/>
  <c r="K15" i="1"/>
  <c r="O15" i="1" s="1"/>
  <c r="K16" i="1"/>
  <c r="O16" i="1" s="1"/>
  <c r="K17" i="1"/>
  <c r="O17" i="1" s="1"/>
  <c r="K18" i="1"/>
  <c r="O18" i="1" s="1"/>
  <c r="K20" i="1"/>
  <c r="O20" i="1" s="1"/>
  <c r="K23" i="1"/>
  <c r="O23" i="1" s="1"/>
  <c r="K25" i="1"/>
  <c r="O25" i="1" s="1"/>
  <c r="K27" i="1"/>
  <c r="O27" i="1" s="1"/>
  <c r="K28" i="1"/>
  <c r="O28" i="1" s="1"/>
  <c r="K29" i="1"/>
  <c r="O29" i="1" s="1"/>
  <c r="K30" i="1"/>
  <c r="O30" i="1" s="1"/>
  <c r="K31" i="1"/>
  <c r="O31" i="1" s="1"/>
  <c r="K33" i="1"/>
  <c r="O33" i="1" s="1"/>
  <c r="K35" i="1"/>
  <c r="O35" i="1" s="1"/>
  <c r="K36" i="1"/>
  <c r="O36" i="1" s="1"/>
  <c r="K38" i="1"/>
  <c r="O38" i="1" s="1"/>
  <c r="K39" i="1"/>
  <c r="O39" i="1" s="1"/>
  <c r="K40" i="1"/>
  <c r="O40" i="1" s="1"/>
  <c r="K42" i="1"/>
  <c r="O42" i="1" s="1"/>
  <c r="K43" i="1"/>
  <c r="O43" i="1" s="1"/>
  <c r="K45" i="1"/>
  <c r="O45" i="1" s="1"/>
  <c r="K48" i="1"/>
  <c r="O48" i="1" s="1"/>
  <c r="K49" i="1"/>
  <c r="O49" i="1" s="1"/>
  <c r="K52" i="1"/>
  <c r="O52" i="1" s="1"/>
  <c r="N19" i="1"/>
  <c r="K19" i="1" s="1"/>
  <c r="O19" i="1" s="1"/>
  <c r="N12" i="1"/>
  <c r="L19" i="1"/>
  <c r="L12" i="1"/>
  <c r="K85" i="1"/>
  <c r="O85" i="1" s="1"/>
  <c r="R21" i="1" l="1"/>
  <c r="R101" i="1"/>
  <c r="R14" i="1"/>
  <c r="R22" i="1"/>
  <c r="J92" i="1"/>
  <c r="P105" i="1"/>
  <c r="L143" i="1"/>
  <c r="L167" i="1"/>
  <c r="P143" i="1"/>
  <c r="N92" i="1"/>
  <c r="N143" i="1"/>
  <c r="R274" i="1"/>
  <c r="P190" i="1"/>
  <c r="P214" i="1"/>
  <c r="P167" i="1"/>
  <c r="N167" i="1"/>
  <c r="P284" i="1"/>
  <c r="L242" i="1"/>
  <c r="O276" i="1"/>
  <c r="Q276" i="1"/>
  <c r="O287" i="1"/>
  <c r="Q287" i="1"/>
  <c r="Q251" i="1"/>
  <c r="O251" i="1"/>
  <c r="P289" i="1"/>
  <c r="O289" i="1"/>
  <c r="P180" i="1"/>
  <c r="L92" i="1"/>
  <c r="L284" i="1"/>
  <c r="P259" i="1"/>
  <c r="Q274" i="1"/>
  <c r="Q21" i="1"/>
  <c r="O105" i="1"/>
  <c r="P156" i="1"/>
  <c r="O154" i="1"/>
  <c r="Q154" i="1"/>
  <c r="O89" i="1"/>
  <c r="Q22" i="1"/>
  <c r="Q33" i="1"/>
  <c r="Q38" i="1"/>
  <c r="P139" i="1"/>
  <c r="P204" i="1"/>
  <c r="O288" i="1"/>
  <c r="O286" i="1"/>
  <c r="N284" i="1"/>
  <c r="K284" i="1"/>
  <c r="Q284" i="1" s="1"/>
  <c r="O135" i="1"/>
  <c r="O213" i="1"/>
  <c r="O219" i="1"/>
  <c r="O136" i="1"/>
  <c r="O103" i="1"/>
  <c r="O210" i="1"/>
  <c r="O176" i="1"/>
  <c r="O220" i="1"/>
  <c r="O212" i="1"/>
  <c r="O208" i="1"/>
  <c r="O211" i="1"/>
  <c r="O207" i="1"/>
  <c r="O218" i="1"/>
  <c r="R289" i="1" l="1"/>
  <c r="R211" i="1"/>
  <c r="R219" i="1"/>
  <c r="R89" i="1"/>
  <c r="R105" i="1"/>
  <c r="R287" i="1"/>
  <c r="R136" i="1"/>
  <c r="R210" i="1"/>
  <c r="R286" i="1"/>
  <c r="R251" i="1"/>
  <c r="R176" i="1"/>
  <c r="R213" i="1"/>
  <c r="R103" i="1"/>
  <c r="R135" i="1"/>
  <c r="R288" i="1"/>
  <c r="R154" i="1"/>
  <c r="R276" i="1"/>
  <c r="O284" i="1"/>
  <c r="M264" i="1"/>
  <c r="K258" i="1"/>
  <c r="O258" i="1" s="1"/>
  <c r="F258" i="1"/>
  <c r="K203" i="1"/>
  <c r="Q203" i="1" s="1"/>
  <c r="L190" i="1"/>
  <c r="M190" i="1"/>
  <c r="N190" i="1"/>
  <c r="J190" i="1"/>
  <c r="K202" i="1"/>
  <c r="O202" i="1" s="1"/>
  <c r="F202" i="1"/>
  <c r="L180" i="1"/>
  <c r="N180" i="1"/>
  <c r="K189" i="1"/>
  <c r="O189" i="1" s="1"/>
  <c r="F189" i="1"/>
  <c r="M188" i="1"/>
  <c r="M180" i="1" s="1"/>
  <c r="N91" i="1"/>
  <c r="K91" i="1" s="1"/>
  <c r="Q91" i="1" s="1"/>
  <c r="R189" i="1" l="1"/>
  <c r="R202" i="1"/>
  <c r="R284" i="1"/>
  <c r="R258" i="1"/>
  <c r="Q189" i="1"/>
  <c r="Q202" i="1"/>
  <c r="Q258" i="1"/>
  <c r="O203" i="1"/>
  <c r="O91" i="1"/>
  <c r="J214" i="1"/>
  <c r="L214" i="1"/>
  <c r="M214" i="1"/>
  <c r="N214" i="1"/>
  <c r="N204" i="1"/>
  <c r="M204" i="1"/>
  <c r="L204" i="1"/>
  <c r="J204" i="1"/>
  <c r="K195" i="1"/>
  <c r="K196" i="1"/>
  <c r="Q196" i="1" s="1"/>
  <c r="K197" i="1"/>
  <c r="K198" i="1"/>
  <c r="Q198" i="1" s="1"/>
  <c r="K199" i="1"/>
  <c r="K183" i="1"/>
  <c r="O183" i="1" s="1"/>
  <c r="K184" i="1"/>
  <c r="O184" i="1" s="1"/>
  <c r="K185" i="1"/>
  <c r="O185" i="1" s="1"/>
  <c r="K186" i="1"/>
  <c r="Q186" i="1" s="1"/>
  <c r="K187" i="1"/>
  <c r="Q187" i="1" s="1"/>
  <c r="J60" i="1"/>
  <c r="R203" i="1" l="1"/>
  <c r="R91" i="1"/>
  <c r="O197" i="1"/>
  <c r="Q197" i="1"/>
  <c r="O195" i="1"/>
  <c r="Q195" i="1"/>
  <c r="O187" i="1"/>
  <c r="O186" i="1"/>
  <c r="O198" i="1"/>
  <c r="O196" i="1"/>
  <c r="R195" i="1" l="1"/>
  <c r="R196" i="1"/>
  <c r="R198" i="1"/>
  <c r="R186" i="1"/>
  <c r="R187" i="1"/>
  <c r="R197" i="1"/>
  <c r="G92" i="1"/>
  <c r="F101" i="1" l="1"/>
  <c r="Q101" i="1" s="1"/>
  <c r="F99" i="1"/>
  <c r="P130" i="1" l="1"/>
  <c r="F121" i="1"/>
  <c r="I121" i="1" l="1"/>
  <c r="Q121" i="1"/>
  <c r="F229" i="1"/>
  <c r="F230" i="1"/>
  <c r="P282" i="1"/>
  <c r="R121" i="1" l="1"/>
  <c r="I230" i="1"/>
  <c r="I229" i="1"/>
  <c r="F58" i="1"/>
  <c r="F85" i="1"/>
  <c r="Q85" i="1" s="1"/>
  <c r="G79" i="1"/>
  <c r="H79" i="1"/>
  <c r="E79" i="1"/>
  <c r="F82" i="1"/>
  <c r="G67" i="1"/>
  <c r="F67" i="1" s="1"/>
  <c r="Q67" i="1" s="1"/>
  <c r="G66" i="1"/>
  <c r="F66" i="1" s="1"/>
  <c r="Q66" i="1" s="1"/>
  <c r="G62" i="1"/>
  <c r="I67" i="1" l="1"/>
  <c r="I82" i="1"/>
  <c r="Q82" i="1"/>
  <c r="I58" i="1"/>
  <c r="Q58" i="1"/>
  <c r="I85" i="1"/>
  <c r="I66" i="1"/>
  <c r="G74" i="1"/>
  <c r="G256" i="1"/>
  <c r="G252" i="1" s="1"/>
  <c r="G242" i="1" s="1"/>
  <c r="G108" i="1"/>
  <c r="G263" i="1"/>
  <c r="G259" i="1" s="1"/>
  <c r="G169" i="1"/>
  <c r="F169" i="1" s="1"/>
  <c r="G182" i="1"/>
  <c r="F182" i="1" s="1"/>
  <c r="G223" i="1"/>
  <c r="E281" i="1"/>
  <c r="P281" i="1" s="1"/>
  <c r="G267" i="1"/>
  <c r="F267" i="1" s="1"/>
  <c r="G56" i="1"/>
  <c r="P52" i="1"/>
  <c r="G49" i="1"/>
  <c r="G47" i="1" s="1"/>
  <c r="G44" i="1"/>
  <c r="G43" i="1"/>
  <c r="G41" i="1" s="1"/>
  <c r="G34" i="1"/>
  <c r="G27" i="1"/>
  <c r="G19" i="1"/>
  <c r="F19" i="1" s="1"/>
  <c r="Q19" i="1" s="1"/>
  <c r="G214" i="1"/>
  <c r="H214" i="1"/>
  <c r="E214" i="1"/>
  <c r="G275" i="1"/>
  <c r="G271" i="1" s="1"/>
  <c r="H275" i="1"/>
  <c r="H271" i="1" s="1"/>
  <c r="J275" i="1"/>
  <c r="L271" i="1"/>
  <c r="M275" i="1"/>
  <c r="N271" i="1"/>
  <c r="E275" i="1"/>
  <c r="G268" i="1"/>
  <c r="H268" i="1"/>
  <c r="H265" i="1" s="1"/>
  <c r="J268" i="1"/>
  <c r="J265" i="1" s="1"/>
  <c r="L268" i="1"/>
  <c r="L265" i="1" s="1"/>
  <c r="M268" i="1"/>
  <c r="M265" i="1" s="1"/>
  <c r="N268" i="1"/>
  <c r="N265" i="1" s="1"/>
  <c r="E268" i="1"/>
  <c r="K270" i="1"/>
  <c r="K268" i="1" s="1"/>
  <c r="F270" i="1"/>
  <c r="K269" i="1"/>
  <c r="O269" i="1" s="1"/>
  <c r="F269" i="1"/>
  <c r="K267" i="1"/>
  <c r="O267" i="1" s="1"/>
  <c r="H259" i="1"/>
  <c r="J259" i="1"/>
  <c r="L259" i="1"/>
  <c r="M259" i="1"/>
  <c r="N259" i="1"/>
  <c r="E259" i="1"/>
  <c r="H252" i="1"/>
  <c r="H242" i="1" s="1"/>
  <c r="J252" i="1"/>
  <c r="M252" i="1"/>
  <c r="N242" i="1"/>
  <c r="K257" i="1"/>
  <c r="F257" i="1"/>
  <c r="K256" i="1"/>
  <c r="O256" i="1" s="1"/>
  <c r="F256" i="1"/>
  <c r="Q256" i="1" s="1"/>
  <c r="K255" i="1"/>
  <c r="O255" i="1" s="1"/>
  <c r="F255" i="1"/>
  <c r="K254" i="1"/>
  <c r="O254" i="1" s="1"/>
  <c r="F254" i="1"/>
  <c r="Q254" i="1" s="1"/>
  <c r="F253" i="1"/>
  <c r="F250" i="1"/>
  <c r="F249" i="1"/>
  <c r="Q249" i="1" s="1"/>
  <c r="F248" i="1"/>
  <c r="Q248" i="1" s="1"/>
  <c r="F247" i="1"/>
  <c r="Q247" i="1" s="1"/>
  <c r="F246" i="1"/>
  <c r="F245" i="1"/>
  <c r="Q245" i="1" s="1"/>
  <c r="E252" i="1"/>
  <c r="F183" i="1"/>
  <c r="F184" i="1"/>
  <c r="F185" i="1"/>
  <c r="F188" i="1"/>
  <c r="F175" i="1"/>
  <c r="Q175" i="1" s="1"/>
  <c r="F177" i="1"/>
  <c r="Q177" i="1" s="1"/>
  <c r="F178" i="1"/>
  <c r="Q178" i="1" s="1"/>
  <c r="F179" i="1"/>
  <c r="F192" i="1"/>
  <c r="F193" i="1"/>
  <c r="F194" i="1"/>
  <c r="F199" i="1"/>
  <c r="Q199" i="1" s="1"/>
  <c r="F200" i="1"/>
  <c r="F212" i="1"/>
  <c r="Q212" i="1" s="1"/>
  <c r="F241" i="1"/>
  <c r="F240" i="1"/>
  <c r="F239" i="1"/>
  <c r="F238" i="1"/>
  <c r="F235" i="1"/>
  <c r="F233" i="1"/>
  <c r="F228" i="1"/>
  <c r="F227" i="1"/>
  <c r="F226" i="1"/>
  <c r="F223" i="1"/>
  <c r="F220" i="1"/>
  <c r="Q220" i="1" s="1"/>
  <c r="G236" i="1"/>
  <c r="H236" i="1"/>
  <c r="J236" i="1"/>
  <c r="L236" i="1"/>
  <c r="M236" i="1"/>
  <c r="N236" i="1"/>
  <c r="E236" i="1"/>
  <c r="P236" i="1" s="1"/>
  <c r="G234" i="1"/>
  <c r="H234" i="1"/>
  <c r="J234" i="1"/>
  <c r="L234" i="1"/>
  <c r="M234" i="1"/>
  <c r="N234" i="1"/>
  <c r="E234" i="1"/>
  <c r="P234" i="1" s="1"/>
  <c r="K241" i="1"/>
  <c r="O241" i="1" s="1"/>
  <c r="K240" i="1"/>
  <c r="O240" i="1" s="1"/>
  <c r="K239" i="1"/>
  <c r="O239" i="1" s="1"/>
  <c r="K238" i="1"/>
  <c r="K237" i="1"/>
  <c r="Q237" i="1" s="1"/>
  <c r="I237" i="1"/>
  <c r="K235" i="1"/>
  <c r="O235" i="1" s="1"/>
  <c r="O234" i="1" s="1"/>
  <c r="I235" i="1"/>
  <c r="K233" i="1"/>
  <c r="O233" i="1" s="1"/>
  <c r="E224" i="1"/>
  <c r="G224" i="1"/>
  <c r="G221" i="1" s="1"/>
  <c r="H224" i="1"/>
  <c r="H221" i="1" s="1"/>
  <c r="J224" i="1"/>
  <c r="J221" i="1" s="1"/>
  <c r="L224" i="1"/>
  <c r="L221" i="1" s="1"/>
  <c r="M224" i="1"/>
  <c r="M221" i="1" s="1"/>
  <c r="N224" i="1"/>
  <c r="N221" i="1" s="1"/>
  <c r="K230" i="1"/>
  <c r="Q230" i="1" s="1"/>
  <c r="K229" i="1"/>
  <c r="Q229" i="1" s="1"/>
  <c r="K228" i="1"/>
  <c r="O228" i="1" s="1"/>
  <c r="K227" i="1"/>
  <c r="O227" i="1" s="1"/>
  <c r="K226" i="1"/>
  <c r="O226" i="1" s="1"/>
  <c r="O224" i="1" s="1"/>
  <c r="K225" i="1"/>
  <c r="Q225" i="1" s="1"/>
  <c r="I225" i="1"/>
  <c r="K223" i="1"/>
  <c r="O223" i="1" s="1"/>
  <c r="G204" i="1"/>
  <c r="H204" i="1"/>
  <c r="E204" i="1"/>
  <c r="O199" i="1"/>
  <c r="G190" i="1"/>
  <c r="H190" i="1"/>
  <c r="E190" i="1"/>
  <c r="G180" i="1"/>
  <c r="H180" i="1"/>
  <c r="E180" i="1"/>
  <c r="K188" i="1"/>
  <c r="K182" i="1"/>
  <c r="G156" i="1"/>
  <c r="H156" i="1"/>
  <c r="J156" i="1"/>
  <c r="L156" i="1"/>
  <c r="M156" i="1"/>
  <c r="N156" i="1"/>
  <c r="E156" i="1"/>
  <c r="O150" i="1"/>
  <c r="G139" i="1"/>
  <c r="H139" i="1"/>
  <c r="J139" i="1"/>
  <c r="L139" i="1"/>
  <c r="M139" i="1"/>
  <c r="N139" i="1"/>
  <c r="E139" i="1"/>
  <c r="G128" i="1"/>
  <c r="H128" i="1"/>
  <c r="J128" i="1"/>
  <c r="L128" i="1"/>
  <c r="M128" i="1"/>
  <c r="N128" i="1"/>
  <c r="E128" i="1"/>
  <c r="P128" i="1" s="1"/>
  <c r="H123" i="1"/>
  <c r="H122" i="1" s="1"/>
  <c r="J123" i="1"/>
  <c r="L123" i="1"/>
  <c r="N123" i="1"/>
  <c r="E123" i="1"/>
  <c r="P123" i="1" s="1"/>
  <c r="G109" i="1"/>
  <c r="H109" i="1"/>
  <c r="J109" i="1"/>
  <c r="L109" i="1"/>
  <c r="M109" i="1"/>
  <c r="N109" i="1"/>
  <c r="E109" i="1"/>
  <c r="P109" i="1" s="1"/>
  <c r="H92" i="1"/>
  <c r="E92" i="1"/>
  <c r="P92" i="1" s="1"/>
  <c r="J74" i="1"/>
  <c r="E63" i="1"/>
  <c r="G63" i="1"/>
  <c r="H63" i="1"/>
  <c r="J63" i="1"/>
  <c r="L63" i="1"/>
  <c r="M63" i="1"/>
  <c r="N63" i="1"/>
  <c r="G60" i="1"/>
  <c r="H60" i="1"/>
  <c r="L60" i="1"/>
  <c r="M60" i="1"/>
  <c r="N60" i="1"/>
  <c r="E60" i="1"/>
  <c r="P60" i="1" s="1"/>
  <c r="E69" i="1"/>
  <c r="E74" i="1"/>
  <c r="J79" i="1"/>
  <c r="P79" i="1" s="1"/>
  <c r="L79" i="1"/>
  <c r="M79" i="1"/>
  <c r="N79" i="1"/>
  <c r="H74" i="1"/>
  <c r="L74" i="1"/>
  <c r="M74" i="1"/>
  <c r="N74" i="1"/>
  <c r="G69" i="1"/>
  <c r="H69" i="1"/>
  <c r="J69" i="1"/>
  <c r="L69" i="1"/>
  <c r="M69" i="1"/>
  <c r="N69" i="1"/>
  <c r="K56" i="1"/>
  <c r="K59" i="1"/>
  <c r="K61" i="1"/>
  <c r="K62" i="1"/>
  <c r="K64" i="1"/>
  <c r="K65" i="1"/>
  <c r="K68" i="1"/>
  <c r="K70" i="1"/>
  <c r="K71" i="1"/>
  <c r="K72" i="1"/>
  <c r="K73" i="1"/>
  <c r="K75" i="1"/>
  <c r="K76" i="1"/>
  <c r="K77" i="1"/>
  <c r="K78" i="1"/>
  <c r="K80" i="1"/>
  <c r="K81" i="1"/>
  <c r="K83" i="1"/>
  <c r="K84" i="1"/>
  <c r="F56" i="1"/>
  <c r="F59" i="1"/>
  <c r="F61" i="1"/>
  <c r="F62" i="1"/>
  <c r="F64" i="1"/>
  <c r="F65" i="1"/>
  <c r="F68" i="1"/>
  <c r="F70" i="1"/>
  <c r="F71" i="1"/>
  <c r="F72" i="1"/>
  <c r="F73" i="1"/>
  <c r="F75" i="1"/>
  <c r="F76" i="1"/>
  <c r="F77" i="1"/>
  <c r="F78" i="1"/>
  <c r="F80" i="1"/>
  <c r="F81" i="1"/>
  <c r="F83" i="1"/>
  <c r="F84" i="1"/>
  <c r="F86" i="1"/>
  <c r="Q86" i="1" s="1"/>
  <c r="F87" i="1"/>
  <c r="Q87" i="1" s="1"/>
  <c r="F88" i="1"/>
  <c r="Q88" i="1" s="1"/>
  <c r="F90" i="1"/>
  <c r="Q90" i="1" s="1"/>
  <c r="H47" i="1"/>
  <c r="J47" i="1"/>
  <c r="L47" i="1"/>
  <c r="M47" i="1"/>
  <c r="N47" i="1"/>
  <c r="H44" i="1"/>
  <c r="J44" i="1"/>
  <c r="L44" i="1"/>
  <c r="M44" i="1"/>
  <c r="N44" i="1"/>
  <c r="H41" i="1"/>
  <c r="J41" i="1"/>
  <c r="L41" i="1"/>
  <c r="M41" i="1"/>
  <c r="N41" i="1"/>
  <c r="F40" i="1"/>
  <c r="Q40" i="1" s="1"/>
  <c r="F42" i="1"/>
  <c r="Q42" i="1" s="1"/>
  <c r="F45" i="1"/>
  <c r="Q45" i="1" s="1"/>
  <c r="F48" i="1"/>
  <c r="Q48" i="1" s="1"/>
  <c r="F52" i="1"/>
  <c r="F39" i="1"/>
  <c r="Q39" i="1" s="1"/>
  <c r="E37" i="1"/>
  <c r="G37" i="1"/>
  <c r="H37" i="1"/>
  <c r="J37" i="1"/>
  <c r="L37" i="1"/>
  <c r="M37" i="1"/>
  <c r="K37" i="1" s="1"/>
  <c r="N37" i="1"/>
  <c r="F36" i="1"/>
  <c r="Q36" i="1" s="1"/>
  <c r="F35" i="1"/>
  <c r="Q35" i="1" s="1"/>
  <c r="J32" i="1"/>
  <c r="L32" i="1"/>
  <c r="M32" i="1"/>
  <c r="N32" i="1"/>
  <c r="F31" i="1"/>
  <c r="Q31" i="1" s="1"/>
  <c r="F29" i="1"/>
  <c r="Q29" i="1" s="1"/>
  <c r="F28" i="1"/>
  <c r="Q28" i="1" s="1"/>
  <c r="F27" i="1"/>
  <c r="Q27" i="1" s="1"/>
  <c r="F26" i="1"/>
  <c r="Q26" i="1" s="1"/>
  <c r="F14" i="1"/>
  <c r="Q14" i="1" s="1"/>
  <c r="F15" i="1"/>
  <c r="Q15" i="1" s="1"/>
  <c r="F16" i="1"/>
  <c r="Q16" i="1" s="1"/>
  <c r="F17" i="1"/>
  <c r="Q17" i="1" s="1"/>
  <c r="F18" i="1"/>
  <c r="Q18" i="1" s="1"/>
  <c r="F20" i="1"/>
  <c r="Q20" i="1" s="1"/>
  <c r="F23" i="1"/>
  <c r="Q23" i="1" s="1"/>
  <c r="J24" i="1"/>
  <c r="L24" i="1"/>
  <c r="M24" i="1"/>
  <c r="N24" i="1"/>
  <c r="E24" i="1"/>
  <c r="P24" i="1" s="1"/>
  <c r="E47" i="1"/>
  <c r="E44" i="1"/>
  <c r="E41" i="1"/>
  <c r="P41" i="1" s="1"/>
  <c r="H13" i="1"/>
  <c r="J13" i="1"/>
  <c r="L13" i="1"/>
  <c r="M13" i="1"/>
  <c r="N13" i="1"/>
  <c r="N10" i="1" s="1"/>
  <c r="E13" i="1"/>
  <c r="R82" i="1" l="1"/>
  <c r="P74" i="1"/>
  <c r="K180" i="1"/>
  <c r="R199" i="1"/>
  <c r="R235" i="1"/>
  <c r="R67" i="1"/>
  <c r="R58" i="1"/>
  <c r="K24" i="1"/>
  <c r="K32" i="1"/>
  <c r="P37" i="1"/>
  <c r="K44" i="1"/>
  <c r="P63" i="1"/>
  <c r="Q239" i="1"/>
  <c r="Q269" i="1"/>
  <c r="R66" i="1"/>
  <c r="R85" i="1"/>
  <c r="Q83" i="1"/>
  <c r="Q77" i="1"/>
  <c r="Q72" i="1"/>
  <c r="Q65" i="1"/>
  <c r="Q59" i="1"/>
  <c r="P47" i="1"/>
  <c r="L10" i="1"/>
  <c r="P44" i="1"/>
  <c r="M10" i="1"/>
  <c r="P13" i="1"/>
  <c r="J10" i="1"/>
  <c r="K47" i="1"/>
  <c r="O47" i="1" s="1"/>
  <c r="M53" i="1"/>
  <c r="J122" i="1"/>
  <c r="Q227" i="1"/>
  <c r="Q238" i="1"/>
  <c r="I246" i="1"/>
  <c r="Q246" i="1"/>
  <c r="I250" i="1"/>
  <c r="Q250" i="1"/>
  <c r="Q255" i="1"/>
  <c r="I257" i="1"/>
  <c r="Q257" i="1"/>
  <c r="J242" i="1"/>
  <c r="F268" i="1"/>
  <c r="Q268" i="1" s="1"/>
  <c r="Q270" i="1"/>
  <c r="Q182" i="1"/>
  <c r="P69" i="1"/>
  <c r="P53" i="1" s="1"/>
  <c r="E221" i="1"/>
  <c r="P224" i="1"/>
  <c r="P221" i="1" s="1"/>
  <c r="Q228" i="1"/>
  <c r="I183" i="1"/>
  <c r="Q183" i="1"/>
  <c r="I253" i="1"/>
  <c r="Q253" i="1"/>
  <c r="Q267" i="1"/>
  <c r="Q223" i="1"/>
  <c r="Q233" i="1"/>
  <c r="Q240" i="1"/>
  <c r="I188" i="1"/>
  <c r="Q188" i="1"/>
  <c r="E242" i="1"/>
  <c r="P252" i="1"/>
  <c r="P242" i="1" s="1"/>
  <c r="P231" i="1"/>
  <c r="Q226" i="1"/>
  <c r="Q235" i="1"/>
  <c r="Q241" i="1"/>
  <c r="M242" i="1"/>
  <c r="K252" i="1"/>
  <c r="O252" i="1" s="1"/>
  <c r="E265" i="1"/>
  <c r="P268" i="1"/>
  <c r="P265" i="1" s="1"/>
  <c r="E271" i="1"/>
  <c r="P275" i="1"/>
  <c r="P271" i="1" s="1"/>
  <c r="I185" i="1"/>
  <c r="Q185" i="1"/>
  <c r="I184" i="1"/>
  <c r="Q184" i="1"/>
  <c r="Q81" i="1"/>
  <c r="Q76" i="1"/>
  <c r="Q64" i="1"/>
  <c r="Q80" i="1"/>
  <c r="Q75" i="1"/>
  <c r="Q70" i="1"/>
  <c r="Q62" i="1"/>
  <c r="Q71" i="1"/>
  <c r="Q56" i="1"/>
  <c r="I52" i="1"/>
  <c r="Q52" i="1"/>
  <c r="Q84" i="1"/>
  <c r="Q78" i="1"/>
  <c r="Q73" i="1"/>
  <c r="Q68" i="1"/>
  <c r="Q61" i="1"/>
  <c r="I220" i="1"/>
  <c r="I228" i="1"/>
  <c r="I239" i="1"/>
  <c r="O24" i="1"/>
  <c r="F46" i="1"/>
  <c r="O225" i="1"/>
  <c r="R225" i="1" s="1"/>
  <c r="O229" i="1"/>
  <c r="I223" i="1"/>
  <c r="I240" i="1"/>
  <c r="J106" i="1"/>
  <c r="F224" i="1"/>
  <c r="F221" i="1" s="1"/>
  <c r="F234" i="1"/>
  <c r="I241" i="1"/>
  <c r="I178" i="1"/>
  <c r="O237" i="1"/>
  <c r="R237" i="1" s="1"/>
  <c r="I233" i="1"/>
  <c r="L122" i="1"/>
  <c r="L106" i="1" s="1"/>
  <c r="O230" i="1"/>
  <c r="I227" i="1"/>
  <c r="I238" i="1"/>
  <c r="I212" i="1"/>
  <c r="J271" i="1"/>
  <c r="M271" i="1"/>
  <c r="K275" i="1"/>
  <c r="K13" i="1"/>
  <c r="O13" i="1" s="1"/>
  <c r="G13" i="1"/>
  <c r="O37" i="1"/>
  <c r="K41" i="1"/>
  <c r="O41" i="1" s="1"/>
  <c r="O44" i="1"/>
  <c r="L53" i="1"/>
  <c r="O32" i="1"/>
  <c r="I71" i="1"/>
  <c r="E53" i="1"/>
  <c r="H53" i="1"/>
  <c r="N53" i="1"/>
  <c r="J53" i="1"/>
  <c r="G265" i="1"/>
  <c r="G53" i="1"/>
  <c r="I226" i="1"/>
  <c r="F49" i="1"/>
  <c r="F43" i="1"/>
  <c r="F37" i="1"/>
  <c r="Q37" i="1" s="1"/>
  <c r="F79" i="1"/>
  <c r="K265" i="1"/>
  <c r="I270" i="1"/>
  <c r="O270" i="1"/>
  <c r="O268" i="1" s="1"/>
  <c r="O265" i="1" s="1"/>
  <c r="F265" i="1"/>
  <c r="F180" i="1"/>
  <c r="I269" i="1"/>
  <c r="I182" i="1"/>
  <c r="O253" i="1"/>
  <c r="F236" i="1"/>
  <c r="O257" i="1"/>
  <c r="F252" i="1"/>
  <c r="Q252" i="1" s="1"/>
  <c r="I248" i="1"/>
  <c r="I255" i="1"/>
  <c r="I245" i="1"/>
  <c r="I247" i="1"/>
  <c r="I249" i="1"/>
  <c r="I254" i="1"/>
  <c r="I256" i="1"/>
  <c r="H231" i="1"/>
  <c r="J231" i="1"/>
  <c r="G231" i="1"/>
  <c r="K236" i="1"/>
  <c r="M231" i="1"/>
  <c r="K234" i="1"/>
  <c r="O238" i="1"/>
  <c r="O236" i="1" s="1"/>
  <c r="O231" i="1" s="1"/>
  <c r="N231" i="1"/>
  <c r="L231" i="1"/>
  <c r="O221" i="1"/>
  <c r="E231" i="1"/>
  <c r="I234" i="1"/>
  <c r="K224" i="1"/>
  <c r="K221" i="1" s="1"/>
  <c r="O182" i="1"/>
  <c r="O188" i="1"/>
  <c r="N122" i="1"/>
  <c r="N106" i="1" s="1"/>
  <c r="H106" i="1"/>
  <c r="E122" i="1"/>
  <c r="F74" i="1"/>
  <c r="F69" i="1"/>
  <c r="K74" i="1"/>
  <c r="K63" i="1"/>
  <c r="K60" i="1"/>
  <c r="F63" i="1"/>
  <c r="F60" i="1"/>
  <c r="K79" i="1"/>
  <c r="K69" i="1"/>
  <c r="R234" i="1" l="1"/>
  <c r="R256" i="1"/>
  <c r="R245" i="1"/>
  <c r="R269" i="1"/>
  <c r="R212" i="1"/>
  <c r="R241" i="1"/>
  <c r="R240" i="1"/>
  <c r="R220" i="1"/>
  <c r="R185" i="1"/>
  <c r="R254" i="1"/>
  <c r="R255" i="1"/>
  <c r="R233" i="1"/>
  <c r="R223" i="1"/>
  <c r="R246" i="1"/>
  <c r="R249" i="1"/>
  <c r="R248" i="1"/>
  <c r="R227" i="1"/>
  <c r="R229" i="1"/>
  <c r="R239" i="1"/>
  <c r="R184" i="1"/>
  <c r="Q265" i="1"/>
  <c r="R183" i="1"/>
  <c r="R247" i="1"/>
  <c r="R230" i="1"/>
  <c r="R52" i="1"/>
  <c r="R250" i="1"/>
  <c r="Q74" i="1"/>
  <c r="F13" i="1"/>
  <c r="Q13" i="1" s="1"/>
  <c r="Q63" i="1"/>
  <c r="Q69" i="1"/>
  <c r="R182" i="1"/>
  <c r="E106" i="1"/>
  <c r="P122" i="1"/>
  <c r="P106" i="1" s="1"/>
  <c r="Q79" i="1"/>
  <c r="I224" i="1"/>
  <c r="R226" i="1"/>
  <c r="R253" i="1"/>
  <c r="R257" i="1"/>
  <c r="O275" i="1"/>
  <c r="R238" i="1"/>
  <c r="Q234" i="1"/>
  <c r="I268" i="1"/>
  <c r="R270" i="1"/>
  <c r="Q224" i="1"/>
  <c r="Q221" i="1" s="1"/>
  <c r="Q236" i="1"/>
  <c r="O180" i="1"/>
  <c r="I221" i="1"/>
  <c r="R228" i="1"/>
  <c r="R188" i="1"/>
  <c r="R180" i="1" s="1"/>
  <c r="I180" i="1"/>
  <c r="Q180" i="1"/>
  <c r="I49" i="1"/>
  <c r="Q49" i="1"/>
  <c r="F41" i="1"/>
  <c r="Q41" i="1" s="1"/>
  <c r="Q43" i="1"/>
  <c r="Q60" i="1"/>
  <c r="F44" i="1"/>
  <c r="Q44" i="1" s="1"/>
  <c r="Q46" i="1"/>
  <c r="I236" i="1"/>
  <c r="F231" i="1"/>
  <c r="K231" i="1"/>
  <c r="F47" i="1"/>
  <c r="Q47" i="1" s="1"/>
  <c r="N290" i="1"/>
  <c r="J290" i="1"/>
  <c r="L290" i="1"/>
  <c r="I267" i="1"/>
  <c r="I252" i="1"/>
  <c r="I48" i="1"/>
  <c r="R48" i="1" l="1"/>
  <c r="R267" i="1"/>
  <c r="R265" i="1" s="1"/>
  <c r="R268" i="1"/>
  <c r="R252" i="1"/>
  <c r="R236" i="1"/>
  <c r="R231" i="1" s="1"/>
  <c r="R224" i="1"/>
  <c r="R221" i="1" s="1"/>
  <c r="I231" i="1"/>
  <c r="Q231" i="1"/>
  <c r="I47" i="1"/>
  <c r="R49" i="1"/>
  <c r="I265" i="1"/>
  <c r="I46" i="1"/>
  <c r="I45" i="1"/>
  <c r="R47" i="1" l="1"/>
  <c r="R45" i="1"/>
  <c r="I44" i="1"/>
  <c r="R46" i="1"/>
  <c r="I43" i="1"/>
  <c r="R44" i="1" l="1"/>
  <c r="I41" i="1"/>
  <c r="R43" i="1"/>
  <c r="I42" i="1"/>
  <c r="R41" i="1" l="1"/>
  <c r="R42" i="1"/>
  <c r="I40" i="1"/>
  <c r="I39" i="1"/>
  <c r="R39" i="1" l="1"/>
  <c r="R40" i="1"/>
  <c r="I37" i="1"/>
  <c r="I38" i="1"/>
  <c r="R38" i="1" l="1"/>
  <c r="R37" i="1"/>
  <c r="I36" i="1"/>
  <c r="I35" i="1"/>
  <c r="R35" i="1" l="1"/>
  <c r="R36" i="1"/>
  <c r="I31" i="1"/>
  <c r="I33" i="1"/>
  <c r="R33" i="1" l="1"/>
  <c r="R31" i="1"/>
  <c r="F282" i="1"/>
  <c r="F283" i="1"/>
  <c r="G125" i="1" l="1"/>
  <c r="G123" i="1" s="1"/>
  <c r="G122" i="1" s="1"/>
  <c r="G106" i="1" s="1"/>
  <c r="K200" i="1" l="1"/>
  <c r="Q200" i="1" s="1"/>
  <c r="O200" i="1" l="1"/>
  <c r="R200" i="1" l="1"/>
  <c r="K149" i="1"/>
  <c r="O149" i="1" s="1"/>
  <c r="F149" i="1"/>
  <c r="I149" i="1" l="1"/>
  <c r="Q149" i="1"/>
  <c r="I84" i="1"/>
  <c r="R149" i="1" l="1"/>
  <c r="K155" i="1"/>
  <c r="F155" i="1"/>
  <c r="O75" i="1"/>
  <c r="O76" i="1"/>
  <c r="O77" i="1"/>
  <c r="O61" i="1"/>
  <c r="O62" i="1"/>
  <c r="M125" i="1"/>
  <c r="M123" i="1" s="1"/>
  <c r="M122" i="1" s="1"/>
  <c r="O155" i="1" l="1"/>
  <c r="Q155" i="1"/>
  <c r="M106" i="1"/>
  <c r="M290" i="1" s="1"/>
  <c r="O74" i="1"/>
  <c r="O60" i="1"/>
  <c r="I155" i="1"/>
  <c r="R155" i="1" l="1"/>
  <c r="K148" i="1"/>
  <c r="O148" i="1" s="1"/>
  <c r="F148" i="1"/>
  <c r="Q148" i="1" l="1"/>
  <c r="I148" i="1"/>
  <c r="R148" i="1" l="1"/>
  <c r="F97" i="1"/>
  <c r="F98" i="1"/>
  <c r="I99" i="1"/>
  <c r="E32" i="1"/>
  <c r="E10" i="1" s="1"/>
  <c r="E290" i="1" l="1"/>
  <c r="P32" i="1"/>
  <c r="I98" i="1"/>
  <c r="I97" i="1"/>
  <c r="I62" i="1"/>
  <c r="R62" i="1" l="1"/>
  <c r="K98" i="1"/>
  <c r="Q98" i="1" s="1"/>
  <c r="O98" i="1" l="1"/>
  <c r="R98" i="1" l="1"/>
  <c r="F263" i="1"/>
  <c r="K179" i="1" l="1"/>
  <c r="Q179" i="1" s="1"/>
  <c r="F34" i="1" l="1"/>
  <c r="Q34" i="1" s="1"/>
  <c r="G32" i="1"/>
  <c r="O179" i="1"/>
  <c r="O84" i="1"/>
  <c r="R179" i="1" l="1"/>
  <c r="R84" i="1"/>
  <c r="F30" i="1"/>
  <c r="Q30" i="1" s="1"/>
  <c r="G24" i="1"/>
  <c r="G10" i="1" s="1"/>
  <c r="F32" i="1"/>
  <c r="Q32" i="1" s="1"/>
  <c r="I34" i="1"/>
  <c r="I32" i="1" l="1"/>
  <c r="R34" i="1"/>
  <c r="O177" i="1"/>
  <c r="O178" i="1"/>
  <c r="K124" i="1"/>
  <c r="Q124" i="1" s="1"/>
  <c r="K96" i="1"/>
  <c r="O96" i="1" s="1"/>
  <c r="K97" i="1"/>
  <c r="Q97" i="1" s="1"/>
  <c r="K99" i="1"/>
  <c r="Q99" i="1" s="1"/>
  <c r="O73" i="1"/>
  <c r="R178" i="1" l="1"/>
  <c r="R32" i="1"/>
  <c r="O99" i="1"/>
  <c r="O97" i="1"/>
  <c r="O124" i="1"/>
  <c r="R124" i="1" l="1"/>
  <c r="R97" i="1"/>
  <c r="R99" i="1"/>
  <c r="I19" i="1"/>
  <c r="R19" i="1" l="1"/>
  <c r="I70" i="1"/>
  <c r="I69" i="1" l="1"/>
  <c r="I61" i="1"/>
  <c r="K126" i="1"/>
  <c r="O126" i="1" s="1"/>
  <c r="I60" i="1" l="1"/>
  <c r="R61" i="1"/>
  <c r="O68" i="1"/>
  <c r="O70" i="1"/>
  <c r="O71" i="1"/>
  <c r="R71" i="1" l="1"/>
  <c r="R60" i="1"/>
  <c r="R70" i="1"/>
  <c r="O69" i="1"/>
  <c r="F112" i="1"/>
  <c r="R69" i="1" l="1"/>
  <c r="K12" i="1"/>
  <c r="O12" i="1" l="1"/>
  <c r="O10" i="1" s="1"/>
  <c r="K10" i="1"/>
  <c r="I86" i="1"/>
  <c r="R86" i="1" l="1"/>
  <c r="I283" i="1"/>
  <c r="F281" i="1"/>
  <c r="F279" i="1"/>
  <c r="F278" i="1"/>
  <c r="F277" i="1"/>
  <c r="Q277" i="1" s="1"/>
  <c r="F273" i="1"/>
  <c r="Q273" i="1" s="1"/>
  <c r="F244" i="1"/>
  <c r="F153" i="1"/>
  <c r="Q153" i="1" s="1"/>
  <c r="F152" i="1"/>
  <c r="F151" i="1"/>
  <c r="F150" i="1"/>
  <c r="I150" i="1" s="1"/>
  <c r="F145" i="1"/>
  <c r="H34" i="1"/>
  <c r="H32" i="1" s="1"/>
  <c r="H30" i="1" s="1"/>
  <c r="I27" i="1"/>
  <c r="F25" i="1"/>
  <c r="I23" i="1"/>
  <c r="I20" i="1"/>
  <c r="I18" i="1"/>
  <c r="I17" i="1"/>
  <c r="F12" i="1"/>
  <c r="R27" i="1" l="1"/>
  <c r="R23" i="1"/>
  <c r="F143" i="1"/>
  <c r="R18" i="1"/>
  <c r="R20" i="1"/>
  <c r="R17" i="1"/>
  <c r="F242" i="1"/>
  <c r="I279" i="1"/>
  <c r="I25" i="1"/>
  <c r="Q25" i="1"/>
  <c r="I152" i="1"/>
  <c r="Q152" i="1"/>
  <c r="I151" i="1"/>
  <c r="Q151" i="1"/>
  <c r="R150" i="1"/>
  <c r="Q150" i="1"/>
  <c r="I277" i="1"/>
  <c r="I145" i="1"/>
  <c r="H24" i="1"/>
  <c r="I26" i="1"/>
  <c r="I15" i="1"/>
  <c r="I273" i="1"/>
  <c r="I12" i="1"/>
  <c r="I16" i="1"/>
  <c r="F280" i="1"/>
  <c r="I282" i="1"/>
  <c r="I244" i="1"/>
  <c r="I29" i="1"/>
  <c r="I278" i="1"/>
  <c r="I281" i="1"/>
  <c r="I153" i="1"/>
  <c r="I28" i="1"/>
  <c r="R273" i="1" l="1"/>
  <c r="I143" i="1"/>
  <c r="R15" i="1"/>
  <c r="R277" i="1"/>
  <c r="R25" i="1"/>
  <c r="R28" i="1"/>
  <c r="R29" i="1"/>
  <c r="R16" i="1"/>
  <c r="R26" i="1"/>
  <c r="R153" i="1"/>
  <c r="R152" i="1"/>
  <c r="H10" i="1"/>
  <c r="H290" i="1" s="1"/>
  <c r="F275" i="1"/>
  <c r="I242" i="1"/>
  <c r="I30" i="1"/>
  <c r="F24" i="1"/>
  <c r="F10" i="1" s="1"/>
  <c r="I13" i="1"/>
  <c r="I280" i="1"/>
  <c r="R13" i="1" l="1"/>
  <c r="F271" i="1"/>
  <c r="Q275" i="1"/>
  <c r="I275" i="1"/>
  <c r="Q24" i="1"/>
  <c r="I24" i="1"/>
  <c r="R30" i="1"/>
  <c r="R24" i="1" l="1"/>
  <c r="I10" i="1"/>
  <c r="I271" i="1"/>
  <c r="R275" i="1"/>
  <c r="K201" i="1"/>
  <c r="O201" i="1" s="1"/>
  <c r="K173" i="1"/>
  <c r="Q173" i="1" s="1"/>
  <c r="K158" i="1"/>
  <c r="K108" i="1"/>
  <c r="K104" i="1"/>
  <c r="K100" i="1"/>
  <c r="O80" i="1"/>
  <c r="O78" i="1"/>
  <c r="O56" i="1"/>
  <c r="K55" i="1"/>
  <c r="K53" i="1" s="1"/>
  <c r="O59" i="1"/>
  <c r="O65" i="1"/>
  <c r="O72" i="1"/>
  <c r="O81" i="1"/>
  <c r="O83" i="1"/>
  <c r="K94" i="1"/>
  <c r="K102" i="1"/>
  <c r="O102" i="1" s="1"/>
  <c r="K110" i="1"/>
  <c r="O110" i="1" s="1"/>
  <c r="K111" i="1"/>
  <c r="K112" i="1"/>
  <c r="K113" i="1"/>
  <c r="O113" i="1" s="1"/>
  <c r="K114" i="1"/>
  <c r="O114" i="1" s="1"/>
  <c r="K115" i="1"/>
  <c r="O115" i="1" s="1"/>
  <c r="K116" i="1"/>
  <c r="O116" i="1" s="1"/>
  <c r="K117" i="1"/>
  <c r="O117" i="1" s="1"/>
  <c r="K119" i="1"/>
  <c r="O119" i="1" s="1"/>
  <c r="K120" i="1"/>
  <c r="O120" i="1" s="1"/>
  <c r="K127" i="1"/>
  <c r="O127" i="1" s="1"/>
  <c r="K129" i="1"/>
  <c r="O129" i="1" s="1"/>
  <c r="K130" i="1"/>
  <c r="K131" i="1"/>
  <c r="K132" i="1"/>
  <c r="O132" i="1" s="1"/>
  <c r="K133" i="1"/>
  <c r="O133" i="1" s="1"/>
  <c r="K134" i="1"/>
  <c r="O134" i="1" s="1"/>
  <c r="K137" i="1"/>
  <c r="O137" i="1" s="1"/>
  <c r="K141" i="1"/>
  <c r="K142" i="1"/>
  <c r="K145" i="1"/>
  <c r="O151" i="1"/>
  <c r="K159" i="1"/>
  <c r="O159" i="1" s="1"/>
  <c r="K161" i="1"/>
  <c r="O161" i="1" s="1"/>
  <c r="K162" i="1"/>
  <c r="O162" i="1" s="1"/>
  <c r="K163" i="1"/>
  <c r="O163" i="1" s="1"/>
  <c r="K164" i="1"/>
  <c r="O164" i="1" s="1"/>
  <c r="K166" i="1"/>
  <c r="O166" i="1" s="1"/>
  <c r="K169" i="1"/>
  <c r="K170" i="1"/>
  <c r="K174" i="1"/>
  <c r="K191" i="1"/>
  <c r="O191" i="1" s="1"/>
  <c r="K192" i="1"/>
  <c r="Q192" i="1" s="1"/>
  <c r="K193" i="1"/>
  <c r="K205" i="1"/>
  <c r="O205" i="1" s="1"/>
  <c r="K206" i="1"/>
  <c r="K204" i="1" s="1"/>
  <c r="K216" i="1"/>
  <c r="K244" i="1"/>
  <c r="K261" i="1"/>
  <c r="K262" i="1"/>
  <c r="O262" i="1" s="1"/>
  <c r="K263" i="1"/>
  <c r="K264" i="1"/>
  <c r="O264" i="1" s="1"/>
  <c r="K278" i="1"/>
  <c r="K279" i="1"/>
  <c r="K280" i="1"/>
  <c r="K281" i="1"/>
  <c r="K282" i="1"/>
  <c r="K283" i="1"/>
  <c r="R151" i="1" l="1"/>
  <c r="Q145" i="1"/>
  <c r="O104" i="1"/>
  <c r="K167" i="1"/>
  <c r="O280" i="1"/>
  <c r="Q280" i="1"/>
  <c r="O282" i="1"/>
  <c r="Q282" i="1"/>
  <c r="O278" i="1"/>
  <c r="Q278" i="1"/>
  <c r="O281" i="1"/>
  <c r="K271" i="1"/>
  <c r="Q281" i="1"/>
  <c r="K242" i="1"/>
  <c r="Q244" i="1"/>
  <c r="Q242" i="1" s="1"/>
  <c r="O193" i="1"/>
  <c r="Q193" i="1"/>
  <c r="O263" i="1"/>
  <c r="Q263" i="1"/>
  <c r="O283" i="1"/>
  <c r="Q283" i="1"/>
  <c r="O279" i="1"/>
  <c r="Q279" i="1"/>
  <c r="O170" i="1"/>
  <c r="Q170" i="1"/>
  <c r="O100" i="1"/>
  <c r="O142" i="1"/>
  <c r="O174" i="1"/>
  <c r="O112" i="1"/>
  <c r="Q112" i="1"/>
  <c r="O94" i="1"/>
  <c r="O216" i="1"/>
  <c r="O214" i="1" s="1"/>
  <c r="K259" i="1"/>
  <c r="O192" i="1"/>
  <c r="O173" i="1"/>
  <c r="O158" i="1"/>
  <c r="O145" i="1"/>
  <c r="O141" i="1"/>
  <c r="K139" i="1"/>
  <c r="O111" i="1"/>
  <c r="O109" i="1" s="1"/>
  <c r="K109" i="1"/>
  <c r="O130" i="1"/>
  <c r="K128" i="1"/>
  <c r="O79" i="1"/>
  <c r="O55" i="1"/>
  <c r="O169" i="1"/>
  <c r="O131" i="1"/>
  <c r="K125" i="1"/>
  <c r="O64" i="1"/>
  <c r="O63" i="1" s="1"/>
  <c r="O261" i="1"/>
  <c r="O259" i="1" s="1"/>
  <c r="K165" i="1"/>
  <c r="O165" i="1" s="1"/>
  <c r="K146" i="1"/>
  <c r="K143" i="1" s="1"/>
  <c r="O206" i="1"/>
  <c r="O204" i="1" s="1"/>
  <c r="O108" i="1"/>
  <c r="O244" i="1"/>
  <c r="K95" i="1"/>
  <c r="K92" i="1" s="1"/>
  <c r="K194" i="1"/>
  <c r="R283" i="1" l="1"/>
  <c r="R282" i="1"/>
  <c r="R279" i="1"/>
  <c r="R278" i="1"/>
  <c r="R280" i="1"/>
  <c r="O139" i="1"/>
  <c r="O242" i="1"/>
  <c r="R244" i="1"/>
  <c r="R242" i="1" s="1"/>
  <c r="O167" i="1"/>
  <c r="Q271" i="1"/>
  <c r="K190" i="1"/>
  <c r="Q194" i="1"/>
  <c r="O271" i="1"/>
  <c r="R281" i="1"/>
  <c r="R271" i="1" s="1"/>
  <c r="O53" i="1"/>
  <c r="R145" i="1"/>
  <c r="O146" i="1"/>
  <c r="Q146" i="1"/>
  <c r="Q143" i="1" s="1"/>
  <c r="K214" i="1"/>
  <c r="O194" i="1"/>
  <c r="O190" i="1" s="1"/>
  <c r="K156" i="1"/>
  <c r="O156" i="1"/>
  <c r="O125" i="1"/>
  <c r="O123" i="1" s="1"/>
  <c r="K123" i="1"/>
  <c r="K122" i="1" s="1"/>
  <c r="K106" i="1" s="1"/>
  <c r="O128" i="1"/>
  <c r="O95" i="1"/>
  <c r="O92" i="1" s="1"/>
  <c r="R146" i="1" l="1"/>
  <c r="R143" i="1"/>
  <c r="O143" i="1"/>
  <c r="O122" i="1"/>
  <c r="K290" i="1"/>
  <c r="F160" i="1"/>
  <c r="O106" i="1" l="1"/>
  <c r="O290" i="1" s="1"/>
  <c r="I160" i="1"/>
  <c r="Q160" i="1"/>
  <c r="F119" i="1"/>
  <c r="Q119" i="1" s="1"/>
  <c r="F118" i="1"/>
  <c r="Q118" i="1" s="1"/>
  <c r="R160" i="1" l="1"/>
  <c r="I118" i="1"/>
  <c r="R118" i="1" l="1"/>
  <c r="I68" i="1"/>
  <c r="R68" i="1" l="1"/>
  <c r="F100" i="1"/>
  <c r="Q100" i="1" s="1"/>
  <c r="I100" i="1" l="1"/>
  <c r="I77" i="1"/>
  <c r="I73" i="1"/>
  <c r="I76" i="1"/>
  <c r="I75" i="1"/>
  <c r="R76" i="1" l="1"/>
  <c r="R73" i="1"/>
  <c r="R77" i="1"/>
  <c r="R75" i="1"/>
  <c r="R100" i="1"/>
  <c r="I74" i="1"/>
  <c r="R74" i="1" l="1"/>
  <c r="I193" i="1"/>
  <c r="R193" i="1" l="1"/>
  <c r="R205" i="1"/>
  <c r="R191" i="1"/>
  <c r="R272" i="1"/>
  <c r="Q272" i="1"/>
  <c r="P272" i="1"/>
  <c r="R243" i="1"/>
  <c r="Q243" i="1"/>
  <c r="P243" i="1"/>
  <c r="R215" i="1"/>
  <c r="Q215" i="1"/>
  <c r="P215" i="1"/>
  <c r="P205" i="1"/>
  <c r="P191" i="1"/>
  <c r="R168" i="1"/>
  <c r="Q168" i="1"/>
  <c r="P168" i="1"/>
  <c r="R157" i="1"/>
  <c r="Q157" i="1"/>
  <c r="P157" i="1"/>
  <c r="R144" i="1"/>
  <c r="Q144" i="1"/>
  <c r="P144" i="1"/>
  <c r="R140" i="1"/>
  <c r="Q140" i="1"/>
  <c r="P140" i="1"/>
  <c r="R107" i="1"/>
  <c r="Q107" i="1"/>
  <c r="P107" i="1"/>
  <c r="R93" i="1"/>
  <c r="Q54" i="1"/>
  <c r="P54" i="1"/>
  <c r="P12" i="1"/>
  <c r="P10" i="1" s="1"/>
  <c r="I54" i="1"/>
  <c r="F264" i="1"/>
  <c r="Q264" i="1" s="1"/>
  <c r="F262" i="1"/>
  <c r="Q262" i="1" s="1"/>
  <c r="F261" i="1"/>
  <c r="Q261" i="1" s="1"/>
  <c r="F218" i="1"/>
  <c r="Q218" i="1" s="1"/>
  <c r="F217" i="1"/>
  <c r="Q217" i="1" s="1"/>
  <c r="F216" i="1"/>
  <c r="Q216" i="1" s="1"/>
  <c r="F209" i="1"/>
  <c r="Q209" i="1" s="1"/>
  <c r="F208" i="1"/>
  <c r="Q208" i="1" s="1"/>
  <c r="F207" i="1"/>
  <c r="Q207" i="1" s="1"/>
  <c r="F206" i="1"/>
  <c r="Q206" i="1" s="1"/>
  <c r="F201" i="1"/>
  <c r="I177" i="1"/>
  <c r="Q169" i="1"/>
  <c r="F166" i="1"/>
  <c r="Q166" i="1" s="1"/>
  <c r="F165" i="1"/>
  <c r="Q165" i="1" s="1"/>
  <c r="F164" i="1"/>
  <c r="Q164" i="1" s="1"/>
  <c r="F163" i="1"/>
  <c r="Q163" i="1" s="1"/>
  <c r="F162" i="1"/>
  <c r="Q162" i="1" s="1"/>
  <c r="F161" i="1"/>
  <c r="Q161" i="1" s="1"/>
  <c r="F159" i="1"/>
  <c r="Q159" i="1" s="1"/>
  <c r="F158" i="1"/>
  <c r="Q158" i="1" s="1"/>
  <c r="F142" i="1"/>
  <c r="Q142" i="1" s="1"/>
  <c r="F141" i="1"/>
  <c r="Q141" i="1" s="1"/>
  <c r="Q137" i="1"/>
  <c r="Q134" i="1"/>
  <c r="F133" i="1"/>
  <c r="Q133" i="1" s="1"/>
  <c r="F132" i="1"/>
  <c r="Q132" i="1" s="1"/>
  <c r="F131" i="1"/>
  <c r="F130" i="1"/>
  <c r="Q130" i="1" s="1"/>
  <c r="F129" i="1"/>
  <c r="Q129" i="1" s="1"/>
  <c r="F127" i="1"/>
  <c r="Q127" i="1" s="1"/>
  <c r="F126" i="1"/>
  <c r="F125" i="1"/>
  <c r="Q125" i="1" s="1"/>
  <c r="F120" i="1"/>
  <c r="Q120" i="1" s="1"/>
  <c r="F117" i="1"/>
  <c r="Q117" i="1" s="1"/>
  <c r="F116" i="1"/>
  <c r="Q116" i="1" s="1"/>
  <c r="F115" i="1"/>
  <c r="Q115" i="1" s="1"/>
  <c r="F114" i="1"/>
  <c r="Q114" i="1" s="1"/>
  <c r="F113" i="1"/>
  <c r="Q113" i="1" s="1"/>
  <c r="F111" i="1"/>
  <c r="F110" i="1"/>
  <c r="Q110" i="1" s="1"/>
  <c r="F108" i="1"/>
  <c r="Q108" i="1" s="1"/>
  <c r="F104" i="1"/>
  <c r="Q104" i="1" s="1"/>
  <c r="F102" i="1"/>
  <c r="Q102" i="1" s="1"/>
  <c r="F96" i="1"/>
  <c r="Q96" i="1" s="1"/>
  <c r="F95" i="1"/>
  <c r="F94" i="1"/>
  <c r="Q94" i="1" s="1"/>
  <c r="F55" i="1"/>
  <c r="R177" i="1" l="1"/>
  <c r="R54" i="1"/>
  <c r="Q95" i="1"/>
  <c r="F92" i="1"/>
  <c r="Q92" i="1" s="1"/>
  <c r="R92" i="1" s="1"/>
  <c r="Q156" i="1"/>
  <c r="Q214" i="1"/>
  <c r="F190" i="1"/>
  <c r="Q201" i="1"/>
  <c r="Q190" i="1" s="1"/>
  <c r="Q204" i="1"/>
  <c r="Q259" i="1"/>
  <c r="I131" i="1"/>
  <c r="Q131" i="1"/>
  <c r="F53" i="1"/>
  <c r="Q55" i="1"/>
  <c r="Q53" i="1" s="1"/>
  <c r="F109" i="1"/>
  <c r="Q109" i="1" s="1"/>
  <c r="Q111" i="1"/>
  <c r="I126" i="1"/>
  <c r="Q126" i="1"/>
  <c r="F214" i="1"/>
  <c r="F259" i="1"/>
  <c r="F139" i="1"/>
  <c r="F156" i="1"/>
  <c r="F204" i="1"/>
  <c r="I125" i="1"/>
  <c r="F123" i="1"/>
  <c r="Q123" i="1" s="1"/>
  <c r="F128" i="1"/>
  <c r="Q128" i="1" s="1"/>
  <c r="I55" i="1"/>
  <c r="Q205" i="1"/>
  <c r="Q191" i="1"/>
  <c r="I65" i="1"/>
  <c r="I80" i="1"/>
  <c r="I88" i="1"/>
  <c r="I94" i="1"/>
  <c r="I108" i="1"/>
  <c r="I111" i="1"/>
  <c r="I115" i="1"/>
  <c r="I120" i="1"/>
  <c r="I127" i="1"/>
  <c r="I159" i="1"/>
  <c r="I164" i="1"/>
  <c r="I169" i="1"/>
  <c r="I175" i="1"/>
  <c r="I201" i="1"/>
  <c r="I207" i="1"/>
  <c r="I217" i="1"/>
  <c r="I263" i="1"/>
  <c r="I56" i="1"/>
  <c r="I72" i="1"/>
  <c r="I81" i="1"/>
  <c r="I95" i="1"/>
  <c r="I102" i="1"/>
  <c r="I112" i="1"/>
  <c r="I116" i="1"/>
  <c r="I132" i="1"/>
  <c r="R137" i="1"/>
  <c r="I141" i="1"/>
  <c r="I161" i="1"/>
  <c r="I165" i="1"/>
  <c r="I170" i="1"/>
  <c r="I192" i="1"/>
  <c r="I208" i="1"/>
  <c r="I218" i="1"/>
  <c r="I264" i="1"/>
  <c r="I59" i="1"/>
  <c r="I78" i="1"/>
  <c r="I83" i="1"/>
  <c r="I90" i="1"/>
  <c r="I96" i="1"/>
  <c r="I113" i="1"/>
  <c r="I117" i="1"/>
  <c r="I129" i="1"/>
  <c r="I133" i="1"/>
  <c r="I142" i="1"/>
  <c r="I162" i="1"/>
  <c r="I166" i="1"/>
  <c r="R173" i="1"/>
  <c r="I209" i="1"/>
  <c r="I261" i="1"/>
  <c r="I64" i="1"/>
  <c r="I87" i="1"/>
  <c r="I104" i="1"/>
  <c r="I110" i="1"/>
  <c r="I114" i="1"/>
  <c r="I119" i="1"/>
  <c r="I130" i="1"/>
  <c r="I134" i="1"/>
  <c r="I158" i="1"/>
  <c r="I163" i="1"/>
  <c r="I194" i="1"/>
  <c r="I206" i="1"/>
  <c r="I216" i="1"/>
  <c r="I262" i="1"/>
  <c r="Q12" i="1"/>
  <c r="Q10" i="1" s="1"/>
  <c r="R209" i="1" l="1"/>
  <c r="R142" i="1"/>
  <c r="R208" i="1"/>
  <c r="R161" i="1"/>
  <c r="R116" i="1"/>
  <c r="R81" i="1"/>
  <c r="R217" i="1"/>
  <c r="R169" i="1"/>
  <c r="R120" i="1"/>
  <c r="R94" i="1"/>
  <c r="R126" i="1"/>
  <c r="R104" i="1"/>
  <c r="R119" i="1"/>
  <c r="R133" i="1"/>
  <c r="R192" i="1"/>
  <c r="R141" i="1"/>
  <c r="R112" i="1"/>
  <c r="R72" i="1"/>
  <c r="R207" i="1"/>
  <c r="R164" i="1"/>
  <c r="R115" i="1"/>
  <c r="R88" i="1"/>
  <c r="R125" i="1"/>
  <c r="R194" i="1"/>
  <c r="R113" i="1"/>
  <c r="R163" i="1"/>
  <c r="R59" i="1"/>
  <c r="R216" i="1"/>
  <c r="R158" i="1"/>
  <c r="R114" i="1"/>
  <c r="R64" i="1"/>
  <c r="R129" i="1"/>
  <c r="R90" i="1"/>
  <c r="R264" i="1"/>
  <c r="R102" i="1"/>
  <c r="R56" i="1"/>
  <c r="R201" i="1"/>
  <c r="R159" i="1"/>
  <c r="R111" i="1"/>
  <c r="R80" i="1"/>
  <c r="R55" i="1"/>
  <c r="R131" i="1"/>
  <c r="R130" i="1"/>
  <c r="R78" i="1"/>
  <c r="R262" i="1"/>
  <c r="R87" i="1"/>
  <c r="R96" i="1"/>
  <c r="R206" i="1"/>
  <c r="R204" i="1" s="1"/>
  <c r="R134" i="1"/>
  <c r="R110" i="1"/>
  <c r="R261" i="1"/>
  <c r="R162" i="1"/>
  <c r="R156" i="1" s="1"/>
  <c r="R83" i="1"/>
  <c r="R218" i="1"/>
  <c r="R214" i="1" s="1"/>
  <c r="R165" i="1"/>
  <c r="R132" i="1"/>
  <c r="R95" i="1"/>
  <c r="R263" i="1"/>
  <c r="R259" i="1" s="1"/>
  <c r="R175" i="1"/>
  <c r="R127" i="1"/>
  <c r="R65" i="1"/>
  <c r="R166" i="1"/>
  <c r="R108" i="1"/>
  <c r="R117" i="1"/>
  <c r="R190" i="1"/>
  <c r="R170" i="1"/>
  <c r="R139" i="1"/>
  <c r="I214" i="1"/>
  <c r="I92" i="1"/>
  <c r="I79" i="1"/>
  <c r="I259" i="1"/>
  <c r="I204" i="1"/>
  <c r="I190" i="1"/>
  <c r="I156" i="1"/>
  <c r="Q139" i="1"/>
  <c r="I139" i="1"/>
  <c r="F122" i="1"/>
  <c r="Q122" i="1" s="1"/>
  <c r="Q106" i="1" s="1"/>
  <c r="I128" i="1"/>
  <c r="I123" i="1"/>
  <c r="I109" i="1"/>
  <c r="I63" i="1"/>
  <c r="R12" i="1"/>
  <c r="R10" i="1" s="1"/>
  <c r="R79" i="1" l="1"/>
  <c r="R128" i="1"/>
  <c r="R63" i="1"/>
  <c r="R53" i="1" s="1"/>
  <c r="R109" i="1"/>
  <c r="R123" i="1"/>
  <c r="I53" i="1"/>
  <c r="F106" i="1"/>
  <c r="P290" i="1"/>
  <c r="I122" i="1"/>
  <c r="I106" i="1" l="1"/>
  <c r="R122" i="1"/>
  <c r="R106" i="1" s="1"/>
  <c r="G167" i="1" l="1"/>
  <c r="G290" i="1" s="1"/>
  <c r="F174" i="1"/>
  <c r="F167" i="1" s="1"/>
  <c r="F290" i="1" s="1"/>
  <c r="I174" i="1" l="1"/>
  <c r="Q174" i="1"/>
  <c r="Q167" i="1" s="1"/>
  <c r="Q290" i="1" s="1"/>
  <c r="R174" i="1" l="1"/>
  <c r="R167" i="1" s="1"/>
  <c r="R290" i="1" s="1"/>
  <c r="I167" i="1"/>
  <c r="I290" i="1" l="1"/>
</calcChain>
</file>

<file path=xl/sharedStrings.xml><?xml version="1.0" encoding="utf-8"?>
<sst xmlns="http://schemas.openxmlformats.org/spreadsheetml/2006/main" count="839" uniqueCount="543">
  <si>
    <t>(грн.)</t>
  </si>
  <si>
    <t>Всього</t>
  </si>
  <si>
    <t>Виконавчий комітет Івано-Франківської міської ради</t>
  </si>
  <si>
    <t>Компенсацiйнi виплати за пiльговий проїзд окремих категорiй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</si>
  <si>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</si>
  <si>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Охорона та раціональне використання природних ресурсів</t>
  </si>
  <si>
    <t>Сприяння розвитку малого та середнього підприємництва</t>
  </si>
  <si>
    <t>Багатопрофільна стаціонарна медична допомога населенню</t>
  </si>
  <si>
    <t>Внески до статутного капіталу суб'єктів господарювання</t>
  </si>
  <si>
    <t xml:space="preserve">Лікарсько-акушерська допомога вагітним, породіллям та новонародженим  </t>
  </si>
  <si>
    <t>0180</t>
  </si>
  <si>
    <t>Компенсаційні виплати на пільговий проїзд електротранспортом окремим категоріям громадян</t>
  </si>
  <si>
    <t>Реверсна дотація</t>
  </si>
  <si>
    <t>0133</t>
  </si>
  <si>
    <t>0930</t>
  </si>
  <si>
    <t>0511</t>
  </si>
  <si>
    <t>0731</t>
  </si>
  <si>
    <t>0733</t>
  </si>
  <si>
    <t>0721</t>
  </si>
  <si>
    <t>0722</t>
  </si>
  <si>
    <t>0763</t>
  </si>
  <si>
    <t>0111</t>
  </si>
  <si>
    <t>1070</t>
  </si>
  <si>
    <t>0620</t>
  </si>
  <si>
    <t>0490</t>
  </si>
  <si>
    <t>0411</t>
  </si>
  <si>
    <t xml:space="preserve">в тому числі </t>
  </si>
  <si>
    <t>- виконання рішень судів, стягнення судових витрат</t>
  </si>
  <si>
    <t>0910</t>
  </si>
  <si>
    <t>0921</t>
  </si>
  <si>
    <t>0922</t>
  </si>
  <si>
    <t>0960</t>
  </si>
  <si>
    <t>0950</t>
  </si>
  <si>
    <t>0990</t>
  </si>
  <si>
    <t>1040</t>
  </si>
  <si>
    <t>0810</t>
  </si>
  <si>
    <t xml:space="preserve">Проведення навчально-тренувальних зборiв i змагань з олімпійських видів спорту </t>
  </si>
  <si>
    <t>5011</t>
  </si>
  <si>
    <t>- видатки на виконання судових рішень</t>
  </si>
  <si>
    <t>- примусове виконання рішень суду</t>
  </si>
  <si>
    <t>4060</t>
  </si>
  <si>
    <t>0824</t>
  </si>
  <si>
    <t>0828</t>
  </si>
  <si>
    <t>0829</t>
  </si>
  <si>
    <t>0830</t>
  </si>
  <si>
    <t>1030</t>
  </si>
  <si>
    <t>1060</t>
  </si>
  <si>
    <t>1010</t>
  </si>
  <si>
    <t>1020</t>
  </si>
  <si>
    <t>1090</t>
  </si>
  <si>
    <t>0821</t>
  </si>
  <si>
    <t>видатки розвитку</t>
  </si>
  <si>
    <t>Компенсаційні виплати на пільговий проїзд автомобільним транспортом окремим категоріям громодян</t>
  </si>
  <si>
    <t>Пільгове медичне обслуговування осіб, які постраждали внаслідок Чорнобильської катастрофи</t>
  </si>
  <si>
    <t>Програма "Партиципаторне бюджетування (бюджет участі) у м. Івано-Франківську</t>
  </si>
  <si>
    <t>Утримання та  навчально-тренувальна робота комунальних дитячо-юнацьких  спортивних шкіл</t>
  </si>
  <si>
    <t>0320</t>
  </si>
  <si>
    <t xml:space="preserve">Проведення навчально-тренувальних зборiв i змагань з неолімпійських видів спорту </t>
  </si>
  <si>
    <t>5012</t>
  </si>
  <si>
    <t>0160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</si>
  <si>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</si>
  <si>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</si>
  <si>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5021</t>
  </si>
  <si>
    <t>5022</t>
  </si>
  <si>
    <t>5031</t>
  </si>
  <si>
    <t>5061</t>
  </si>
  <si>
    <t>Забезпечення діяльності місцевих центрів фізичного здоров'я населення «Спорт для всіх» та проведення 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</si>
  <si>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</si>
  <si>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</si>
  <si>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4010</t>
  </si>
  <si>
    <t>Фінансова підтримка театрів</t>
  </si>
  <si>
    <t>4030</t>
  </si>
  <si>
    <t>Забезпечення діяльності бiблiотек</t>
  </si>
  <si>
    <t>Забезпечення діяльності палаців і будинків культури, клубів, центрів дозвілля та інші клубних закладів</t>
  </si>
  <si>
    <t>8410</t>
  </si>
  <si>
    <t>Фінансова підтримка засобів масової інформації</t>
  </si>
  <si>
    <t>8130</t>
  </si>
  <si>
    <t>Забезпечення діяльності місцевої пожежної охорони</t>
  </si>
  <si>
    <t>7670</t>
  </si>
  <si>
    <t>Надання дошкільної освіти</t>
  </si>
  <si>
    <t>Підвищення кваліфікації, перепідготовка кадрів закладами післядипломної освіти</t>
  </si>
  <si>
    <t>1150</t>
  </si>
  <si>
    <t>1160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</si>
  <si>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</si>
  <si>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</si>
  <si>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</si>
  <si>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</si>
  <si>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Управління охорони здоров'я Івано-Франківської міської ради </t>
  </si>
  <si>
    <t>2030</t>
  </si>
  <si>
    <t>2080</t>
  </si>
  <si>
    <t>2100</t>
  </si>
  <si>
    <t>Стоматологічна допомога населенню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</si>
  <si>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</si>
  <si>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</si>
  <si>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</si>
  <si>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</si>
  <si>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8311</t>
  </si>
  <si>
    <t>Реалізація інших заходів щодо соціально-економічного розвитку територій</t>
  </si>
  <si>
    <t>7610</t>
  </si>
  <si>
    <t>8600</t>
  </si>
  <si>
    <t>Обслуговування  місцевого боргу</t>
  </si>
  <si>
    <t>0170</t>
  </si>
  <si>
    <t>9110</t>
  </si>
  <si>
    <t>Надання інших пільг окремим категоріям громадян відповідно до законодавства</t>
  </si>
  <si>
    <t>3032</t>
  </si>
  <si>
    <t>3121</t>
  </si>
  <si>
    <t>0600000</t>
  </si>
  <si>
    <t>0700000</t>
  </si>
  <si>
    <t>0710000</t>
  </si>
  <si>
    <t>0710160</t>
  </si>
  <si>
    <t>0712010</t>
  </si>
  <si>
    <t>0712030</t>
  </si>
  <si>
    <t>0712080</t>
  </si>
  <si>
    <t>0712100</t>
  </si>
  <si>
    <t>0800000</t>
  </si>
  <si>
    <t>0900000</t>
  </si>
  <si>
    <t>1000000</t>
  </si>
  <si>
    <t>3700000</t>
  </si>
  <si>
    <t>3710000</t>
  </si>
  <si>
    <t>3710160</t>
  </si>
  <si>
    <t>3718600</t>
  </si>
  <si>
    <t>1200000</t>
  </si>
  <si>
    <t>1210000</t>
  </si>
  <si>
    <t>1210160</t>
  </si>
  <si>
    <t>1216030</t>
  </si>
  <si>
    <t>1217670</t>
  </si>
  <si>
    <t>0810160</t>
  </si>
  <si>
    <t>0813031</t>
  </si>
  <si>
    <t>0813032</t>
  </si>
  <si>
    <t>0813050</t>
  </si>
  <si>
    <t>0813090</t>
  </si>
  <si>
    <t>0813104</t>
  </si>
  <si>
    <t>0813121</t>
  </si>
  <si>
    <t>0810000</t>
  </si>
  <si>
    <t>0218130</t>
  </si>
  <si>
    <t>0610000</t>
  </si>
  <si>
    <t>0610160</t>
  </si>
  <si>
    <t>0611010</t>
  </si>
  <si>
    <t>0611020</t>
  </si>
  <si>
    <t>0611070</t>
  </si>
  <si>
    <t>0611090</t>
  </si>
  <si>
    <t>0611140</t>
  </si>
  <si>
    <t>0611150</t>
  </si>
  <si>
    <t>0611160</t>
  </si>
  <si>
    <t>0613132</t>
  </si>
  <si>
    <t>0613140</t>
  </si>
  <si>
    <t>0615031</t>
  </si>
  <si>
    <t>0910000</t>
  </si>
  <si>
    <t>0910160</t>
  </si>
  <si>
    <t>1010000</t>
  </si>
  <si>
    <t>1010160</t>
  </si>
  <si>
    <t>1014010</t>
  </si>
  <si>
    <t>1014030</t>
  </si>
  <si>
    <t>1014060</t>
  </si>
  <si>
    <t>1900000</t>
  </si>
  <si>
    <t>1910000</t>
  </si>
  <si>
    <t>1910160</t>
  </si>
  <si>
    <t>1916030</t>
  </si>
  <si>
    <t>0813033</t>
  </si>
  <si>
    <t>3033</t>
  </si>
  <si>
    <t>0813035</t>
  </si>
  <si>
    <t>3035</t>
  </si>
  <si>
    <t>0813036</t>
  </si>
  <si>
    <t>3036</t>
  </si>
  <si>
    <t>0210180</t>
  </si>
  <si>
    <t>Інша діяльність у сфері державного управління</t>
  </si>
  <si>
    <t>0217680</t>
  </si>
  <si>
    <t>7680</t>
  </si>
  <si>
    <t>0218210</t>
  </si>
  <si>
    <t>8210</t>
  </si>
  <si>
    <t>0380</t>
  </si>
  <si>
    <t>Муніципальні формування з охорони громадського порядку</t>
  </si>
  <si>
    <t>видатки на утримання Громадського формування з охорони громадського порядку "Штаб"</t>
  </si>
  <si>
    <t>0218220</t>
  </si>
  <si>
    <t>8220</t>
  </si>
  <si>
    <t>0218110</t>
  </si>
  <si>
    <t>8110</t>
  </si>
  <si>
    <t>8230</t>
  </si>
  <si>
    <t>0218230</t>
  </si>
  <si>
    <t>- відшкодування комунальних послуг за призовну дільницю</t>
  </si>
  <si>
    <t xml:space="preserve">у тому числі: </t>
  </si>
  <si>
    <t>Членські внески до асоціацій органів місцевого самоврядування</t>
  </si>
  <si>
    <t>3719110</t>
  </si>
  <si>
    <t>3710180</t>
  </si>
  <si>
    <t>Іншi діяльність у сфері державного управління</t>
  </si>
  <si>
    <t>Інші заходи громадського порядку та безпеки</t>
  </si>
  <si>
    <t>Заходи та роботи з мобілізаційної підготовки місцевого значення</t>
  </si>
  <si>
    <t>7622</t>
  </si>
  <si>
    <t>0470</t>
  </si>
  <si>
    <t>2710000</t>
  </si>
  <si>
    <t>2710160</t>
  </si>
  <si>
    <t>2717693</t>
  </si>
  <si>
    <t>Заходи з енергозбереження</t>
  </si>
  <si>
    <t>2717640</t>
  </si>
  <si>
    <t>7640</t>
  </si>
  <si>
    <t>Інші заходи, пов'язані з економічною діяльністю</t>
  </si>
  <si>
    <t>у тому числі:</t>
  </si>
  <si>
    <t>2717610</t>
  </si>
  <si>
    <t>2700000</t>
  </si>
  <si>
    <t>3100000</t>
  </si>
  <si>
    <t>3110000</t>
  </si>
  <si>
    <t>3110160</t>
  </si>
  <si>
    <t>3117130</t>
  </si>
  <si>
    <t>7130</t>
  </si>
  <si>
    <t>0421</t>
  </si>
  <si>
    <t>Здійснення заходів із землеустрою</t>
  </si>
  <si>
    <t>3110180</t>
  </si>
  <si>
    <t>Іншi програми, заклади та заходи у сфері освіти</t>
  </si>
  <si>
    <t>7350</t>
  </si>
  <si>
    <t>0443</t>
  </si>
  <si>
    <t>Розроблення схем планування та забудови територій (містобудівної документації)</t>
  </si>
  <si>
    <t>1600000</t>
  </si>
  <si>
    <t>1610000</t>
  </si>
  <si>
    <t>1610160</t>
  </si>
  <si>
    <t>1617350</t>
  </si>
  <si>
    <t>Організація та проведення громадських робіт</t>
  </si>
  <si>
    <t>1050</t>
  </si>
  <si>
    <t xml:space="preserve"> за рахунок субвенції з обласного бюджету</t>
  </si>
  <si>
    <t>Містечко милосердя Святого Миколая""</t>
  </si>
  <si>
    <t>Центр соціально-психологічної реабілітації "Дивосвіт"</t>
  </si>
  <si>
    <t>Будинок нічного перебування</t>
  </si>
  <si>
    <t>в тому числі :Програми і заходи цнтру  служб для сім'ї, дітей та молоді</t>
  </si>
  <si>
    <t>1500000</t>
  </si>
  <si>
    <t>1510000</t>
  </si>
  <si>
    <t>1510160</t>
  </si>
  <si>
    <t>1910180</t>
  </si>
  <si>
    <t>1210180</t>
  </si>
  <si>
    <t>0210160</t>
  </si>
  <si>
    <t>7340</t>
  </si>
  <si>
    <t>0453</t>
  </si>
  <si>
    <t>1510180</t>
  </si>
  <si>
    <t>1917422</t>
  </si>
  <si>
    <t>7422</t>
  </si>
  <si>
    <t>Регулювання цін на послуги місцевого наземного електротранспорту</t>
  </si>
  <si>
    <t>6011</t>
  </si>
  <si>
    <t>Експлуатація та технічне обслуговування житлового фонду</t>
  </si>
  <si>
    <t>7310</t>
  </si>
  <si>
    <t>1517310</t>
  </si>
  <si>
    <t>1517330</t>
  </si>
  <si>
    <t>7330</t>
  </si>
  <si>
    <t>1517340</t>
  </si>
  <si>
    <t>Проектування, реставрація та охорона пам'яток архітектури</t>
  </si>
  <si>
    <t>Утримання та фінансова підтримка спортивних споруд</t>
  </si>
  <si>
    <t>5041</t>
  </si>
  <si>
    <t>8010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</si>
  <si>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послуг.</t>
  </si>
  <si>
    <t>0813180</t>
  </si>
  <si>
    <t>3180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</si>
  <si>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</si>
  <si>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</si>
  <si>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</si>
  <si>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0813240</t>
  </si>
  <si>
    <t>3240</t>
  </si>
  <si>
    <t>0813242</t>
  </si>
  <si>
    <t>3242</t>
  </si>
  <si>
    <t>Інші заходи у сфері соціального захисту і соціального забезпечення</t>
  </si>
  <si>
    <t>в тому числі :</t>
  </si>
  <si>
    <t xml:space="preserve">інші видатки на соціальний захист населення </t>
  </si>
  <si>
    <t>0813160</t>
  </si>
  <si>
    <t>3160</t>
  </si>
  <si>
    <t>Надання соціальних гарантій фізичним особам , які надають соціальні послуги громадянам похилого віку, особам з інвалідністю , дітям з інвалідністю, хворим , які не здатні до самообслуговування і потребують сторонньої допомоги.</t>
  </si>
  <si>
    <t>Амбулаторно-поліклінічна допомога населенню, крім первинної медичної допомоги</t>
  </si>
  <si>
    <t>Утримання центрів фізичної культури і спорту осіб з інвалідністю і реабілітаційних шкіл</t>
  </si>
  <si>
    <t>Проведення навчально-тренувальних зборiв i змагань та заходiв зі спорту осіб з інвалідністю</t>
  </si>
  <si>
    <t>4081</t>
  </si>
  <si>
    <t>1014081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</si>
  <si>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</si>
  <si>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</si>
  <si>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</si>
  <si>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</si>
  <si>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</si>
  <si>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</si>
  <si>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</si>
  <si>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0617691</t>
  </si>
  <si>
    <t>0717691</t>
  </si>
  <si>
    <t>0817691</t>
  </si>
  <si>
    <t>0917691</t>
  </si>
  <si>
    <t>0213210</t>
  </si>
  <si>
    <t>3210</t>
  </si>
  <si>
    <t>Заходи із запобігання та ліквідації надзвичайних ситуацій та наслідків стихійного лиха</t>
  </si>
  <si>
    <t>0810180</t>
  </si>
  <si>
    <t>2717370</t>
  </si>
  <si>
    <t>7370</t>
  </si>
  <si>
    <t xml:space="preserve">Реалізація програм і заходів в галузі туризму та курортів </t>
  </si>
  <si>
    <t>Видатки на поховання учасників бойових дій тата осіб з інвалідністю внаслідок війни.</t>
  </si>
  <si>
    <t>Інші заклади та заходи: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</si>
  <si>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</si>
  <si>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</si>
  <si>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7693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</si>
  <si>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</si>
  <si>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</si>
  <si>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</si>
  <si>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</si>
  <si>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</si>
  <si>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</si>
  <si>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Централізовані заходи з лікування хворих на цукровий та нецукровий діабет</t>
  </si>
  <si>
    <t>0712144</t>
  </si>
  <si>
    <t>2144</t>
  </si>
  <si>
    <t>0712152</t>
  </si>
  <si>
    <t>2152</t>
  </si>
  <si>
    <t>в тому числі</t>
  </si>
  <si>
    <t>Забезпечення діяльності інших  закладів у сфері освіти</t>
  </si>
  <si>
    <t>1218311</t>
  </si>
  <si>
    <t>Програма розвитку системи надання адміністративних послуг в м. Івано-Франківську на 2019-2022 роки</t>
  </si>
  <si>
    <t>Міжнародний проект "Управління та використання міської та природної культурної спадщини в містах Дунайського регіону (URBforDAN)" в рамках грантової Дунайської транснаціональної програми</t>
  </si>
  <si>
    <t>0712111</t>
  </si>
  <si>
    <t>0726</t>
  </si>
  <si>
    <t>Інші програми  та заходи у сфері  охорона здоров'я</t>
  </si>
  <si>
    <t>0217693</t>
  </si>
  <si>
    <t>1610180</t>
  </si>
  <si>
    <t>1014020</t>
  </si>
  <si>
    <t>4020</t>
  </si>
  <si>
    <t>0822</t>
  </si>
  <si>
    <t>Фінансова підтримка філармоній, художніх і музичних колективів, ансамблів, концертних та циркових організацій</t>
  </si>
  <si>
    <t>примусове виконання рішень суду</t>
  </si>
  <si>
    <t>0218420</t>
  </si>
  <si>
    <t>8420</t>
  </si>
  <si>
    <t>Інші заходи у сфері засобів масової інформації</t>
  </si>
  <si>
    <t>Довгострокова програма фінансування мобілізаційних заходів та оборонної роботи Івано-Франківської міської ради на 2019-2023 роки</t>
  </si>
  <si>
    <t>1517370</t>
  </si>
  <si>
    <t>від ________ №________</t>
  </si>
  <si>
    <t>Забезпечення діяльності інклюзивно-ресурсних центрів</t>
  </si>
  <si>
    <t>Управління транспорту та зв'язку Івано-Франківської міської ради</t>
  </si>
  <si>
    <t>Департамент культури  Івано-Франківської міської ради</t>
  </si>
  <si>
    <t>Департамент соціальної політики виконкому Івано-Франківської міської ради</t>
  </si>
  <si>
    <t>Департамент молодіжної політики та спорту Івано-Франківської міської ради</t>
  </si>
  <si>
    <t>Служба у справах дітей виконавчого комітету Івано-Франківської міської ради</t>
  </si>
  <si>
    <t>Департамент освіти та науки  Івано-Франківської міської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</si>
  <si>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</si>
  <si>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3118311</t>
  </si>
  <si>
    <t>1216016</t>
  </si>
  <si>
    <t>6016</t>
  </si>
  <si>
    <t>Впровадження засобів обліку витрат та регулювання споживання води та теплової енергії</t>
  </si>
  <si>
    <t>7322</t>
  </si>
  <si>
    <t>у т.ч</t>
  </si>
  <si>
    <t>КП"Простір Інноваційних Креацій "Палац" (Потоцьких)</t>
  </si>
  <si>
    <t>Співфінансування проекту програми прикордонного співробітництва "Україна - Румунія"  "STEM- освіта у професійних училищах та спеціалізованих школах"</t>
  </si>
  <si>
    <t>Проект "Безпечне майбутнє" в рамках програми транскордонного співробітництва Румунія - Україна 2014-2020 рр.</t>
  </si>
  <si>
    <t xml:space="preserve">Інша діяльність у сфері державного управління </t>
  </si>
  <si>
    <t>Додаток 3</t>
  </si>
  <si>
    <t>Співфінансування проекту в рамках  програми транскордонного співробітництва  Румунія - Україна 2014-2020  "Назад до наших спільних коренів"</t>
  </si>
  <si>
    <t>Програма розвитку місцевого самоврядування та громадянського суспільства в м.Івано-Франківську на 2020-2025 роки</t>
  </si>
  <si>
    <t>Програма "Духовне життя " на 2020-2025 роки</t>
  </si>
  <si>
    <t>Порограма розвитку електронного урядування у виконавчому комітеті Івано-Франківської міської ради на 2020-2021 роки</t>
  </si>
  <si>
    <t>Зміни, що вносяться</t>
  </si>
  <si>
    <t>споживання</t>
  </si>
  <si>
    <t>видатки споживання</t>
  </si>
  <si>
    <t>РАЗОМ  загальний і спеціальний фонди</t>
  </si>
  <si>
    <t>1217693</t>
  </si>
  <si>
    <t>в тому числі:</t>
  </si>
  <si>
    <t>Підпрограма "Доступ громадян до публічної інформації органів місцевого самоврядування м.Івано-Франківська"</t>
  </si>
  <si>
    <t>Затверджено з урахуванням змін</t>
  </si>
  <si>
    <t>Комплексна програма профілактики злочинності в місті до 2024 року</t>
  </si>
  <si>
    <t>в т.ч.</t>
  </si>
  <si>
    <t>Секретар міської ради</t>
  </si>
  <si>
    <t>Розподіл видатків бюджету Івано- Франківської міської  територіальної громади на 2021 рік</t>
  </si>
  <si>
    <t>Цільова програма Івано-Франківської міської територіальної громади організації та відзначення загальнодержавних свят територіальної громади, державних пам'ятних дат, релігійних та історичних подій на 2021-2025 роки</t>
  </si>
  <si>
    <t>Проєкт "Альтернативні терапії в Марамуреші та Івано-Франківську"</t>
  </si>
  <si>
    <t>Програма легалізації заробітної плати та найманої праці  на 2021-2025 роки</t>
  </si>
  <si>
    <t>Програма щодо співпраці між професійно-технічними навчальними закладами та промисловими підприємствами і  МСП Івано-Франківської міської територіальної громади</t>
  </si>
  <si>
    <t>Програма поліпшення стану безпеки, гігєни праці та виробничого середовища на 2020-2023 роки Івано-Франківської ТГ</t>
  </si>
  <si>
    <t xml:space="preserve">Комплексна програма запобігання виникненню надзвичайних ситуації природного і техногенного характеру та підвищення рівня готовності аварійно-рятувальної служби м.Івано-Франківська   </t>
  </si>
  <si>
    <t>видатки на утримання КП "Муніципальна інспенкція " Добродій"</t>
  </si>
  <si>
    <t>0218775</t>
  </si>
  <si>
    <t>8775</t>
  </si>
  <si>
    <t>Інші заходи за рахунок коштів резеврного фонду мвсцевого бюджету</t>
  </si>
  <si>
    <t>Затверджено</t>
  </si>
  <si>
    <t xml:space="preserve">Затверджено </t>
  </si>
  <si>
    <t>Керівництво і управління у відповідній сфері у мстах (місті Києві), селищах, селах, територіальних громадах</t>
  </si>
  <si>
    <t>0610180</t>
  </si>
  <si>
    <t>Надання загальної середньої освіти  за рахунок коштів місцевого бюджету</t>
  </si>
  <si>
    <t>0611021</t>
  </si>
  <si>
    <t>Надання загальної середньої освіти закладами загальної середньої освіти</t>
  </si>
  <si>
    <t>0611025</t>
  </si>
  <si>
    <t>1025</t>
  </si>
  <si>
    <t xml:space="preserve"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 </t>
  </si>
  <si>
    <t>0611030</t>
  </si>
  <si>
    <t>Надання загальної середньої освіти  за рахунок освітньої субвенції</t>
  </si>
  <si>
    <t>0611031</t>
  </si>
  <si>
    <t>1031</t>
  </si>
  <si>
    <t>1035</t>
  </si>
  <si>
    <t>Надання позашкільної освіти 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</si>
  <si>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</si>
  <si>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0611091</t>
  </si>
  <si>
    <t>1091</t>
  </si>
  <si>
    <t>Підготовка кадрів закладами професійної (професійно-технічної) освіти та іншими закладами освіти за рахунок коштів місцевого бюджету</t>
  </si>
  <si>
    <t>0611092</t>
  </si>
  <si>
    <t>1092</t>
  </si>
  <si>
    <t>Підготовка кадрів закладами професійної (професійно-технічної) освіти та іншими закладами освіти за рахунок освітньої субвенції</t>
  </si>
  <si>
    <t>0611120</t>
  </si>
  <si>
    <t>1120</t>
  </si>
  <si>
    <t>0611130</t>
  </si>
  <si>
    <t>1130</t>
  </si>
  <si>
    <t xml:space="preserve">Методичне забезпечення діяльності навчальних закладів </t>
  </si>
  <si>
    <t>1140</t>
  </si>
  <si>
    <t>0611141</t>
  </si>
  <si>
    <t>1141</t>
  </si>
  <si>
    <t>0611142</t>
  </si>
  <si>
    <t>1142</t>
  </si>
  <si>
    <t xml:space="preserve"> Іншi програми та заходи у сфері освіти</t>
  </si>
  <si>
    <t>Програма розвитку дитячо-юнацького футболу Департаменту освіти та науки Івано-Франківської міської ради на 2021-2025 рр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</si>
  <si>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</si>
  <si>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</si>
  <si>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</si>
  <si>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</si>
  <si>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</si>
  <si>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коштів освітньої субвенції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</si>
  <si>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</si>
  <si>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</si>
  <si>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</si>
  <si>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</si>
  <si>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0717322</t>
  </si>
  <si>
    <t>Надання пільг окремим категоріям громадян з оплати послуг зв`язку</t>
  </si>
  <si>
    <t xml:space="preserve">Утримання та забезпечення діяльності центрів  соціальних служб </t>
  </si>
  <si>
    <t>1011080</t>
  </si>
  <si>
    <t>1080</t>
  </si>
  <si>
    <t xml:space="preserve">Надання спеціальної освіти мистецькими школами  </t>
  </si>
  <si>
    <t>Департамент інфраструктури, житлової та комунальної політики  Івано-Франківської міської ради</t>
  </si>
  <si>
    <t>в тому числі за рахунок субвенції з обласного бюджету на виконання Програми розвитку місцевого самоврядування в Івано-Франківській області на 2021 рік</t>
  </si>
  <si>
    <t>1400000</t>
  </si>
  <si>
    <t>Департамент  благоустрою Івано-Франківської міської ради</t>
  </si>
  <si>
    <t>1410000</t>
  </si>
  <si>
    <t>1410160</t>
  </si>
  <si>
    <t>1410180</t>
  </si>
  <si>
    <t>1416011</t>
  </si>
  <si>
    <t>1416030</t>
  </si>
  <si>
    <t>1417691</t>
  </si>
  <si>
    <t>Управління капітального будівництва  Івано-Франківської міської ради</t>
  </si>
  <si>
    <t>Будівництво об'єктів житлово-комунального господарства</t>
  </si>
  <si>
    <t>Будівництво інших об'єктів комунальної власності</t>
  </si>
  <si>
    <t>Департамент містобудування та архітектури  Івано-Франківської міської ради</t>
  </si>
  <si>
    <t>2300000</t>
  </si>
  <si>
    <t>Департамент стратегічного розвитку, цифрових трансформацій, роботи із засобами масової інформації, комунікації з мешканцями Івано-Франківської міської ради</t>
  </si>
  <si>
    <t>2310000</t>
  </si>
  <si>
    <t>2310160</t>
  </si>
  <si>
    <t>2310180</t>
  </si>
  <si>
    <t>2318410</t>
  </si>
  <si>
    <t>2318420</t>
  </si>
  <si>
    <t>2500000</t>
  </si>
  <si>
    <t>Департамент інвестиційної політики, проєктів, міжнародних звязків, туризму та промоцій міста Івано-Франківської міської ради</t>
  </si>
  <si>
    <t>2510000</t>
  </si>
  <si>
    <t>2510160</t>
  </si>
  <si>
    <t>2517622</t>
  </si>
  <si>
    <t>2517693</t>
  </si>
  <si>
    <t>Програма промоції Івано-Франківської міської територіальної громади на 2021-2025 роки</t>
  </si>
  <si>
    <t>Комплексна  програма  сприяння залученню інвестицій в економіку Івано-Франківської міської територіальної громади та проєктної діяльності на  2021 – 2025 роки</t>
  </si>
  <si>
    <t>Програма розвитку міжнародного і транскордонного співробітництва м.Івано-Франківська  на 2018-2022 роки</t>
  </si>
  <si>
    <t>Проект  "Дослідження та збереження єврейської культурної спадщини на прикордонній території"</t>
  </si>
  <si>
    <t>Департамент економічного  розвитку, екології  та енергозбереження Івано-Франківської  міської ради</t>
  </si>
  <si>
    <t>2716013</t>
  </si>
  <si>
    <t>2716030</t>
  </si>
  <si>
    <t>2717310</t>
  </si>
  <si>
    <t>Проєкт Партнерство Румунія - Україна для пом"якшення зміни клімату"</t>
  </si>
  <si>
    <t>Департамент комунальних ресурсів Івано-Франківської міської ради</t>
  </si>
  <si>
    <t>3400000</t>
  </si>
  <si>
    <t>3410000</t>
  </si>
  <si>
    <t>3410160</t>
  </si>
  <si>
    <t>3410180</t>
  </si>
  <si>
    <t>Департамент адміністративних послуг (Центр надання адміністративних послуг) Івано-Франківської міської ради</t>
  </si>
  <si>
    <t>3718710</t>
  </si>
  <si>
    <t>8710</t>
  </si>
  <si>
    <t>Резервний фонд місцевого бюджету</t>
  </si>
  <si>
    <t>Віктор СИНИШИН</t>
  </si>
  <si>
    <t>Фінансове управління Івано-Франківської міської ради</t>
  </si>
  <si>
    <t>0611041</t>
  </si>
  <si>
    <t>1041</t>
  </si>
  <si>
    <t>0611040</t>
  </si>
  <si>
    <t>Надання загальної середньої освіти за рахунок залишку коштів за освітньою субвенцією, що мають цільове призначення, виділених відповідно до рішень Кабінету Міністрів України  у попередньому бюджетному періоді</t>
  </si>
  <si>
    <t>0611153</t>
  </si>
  <si>
    <t>1153</t>
  </si>
  <si>
    <t>Забезпечення діяльності інклюзивно-ресурсних центрів за рахунок залишку коштів за освітньою субвенцією, що мають цільове призначення, виділених відповідно до рішень Кабінету Міністрів України у попередньому бюджетному періоді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</si>
  <si>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</si>
  <si>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</si>
  <si>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</si>
  <si>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Програма забезпечення виконання рішень суду щодо безспірного списання коштів з розпорядника бюджетних коштів Департаменту  освіти та науки Івано-Франківської  міської ради на 2021-2025 роки</t>
  </si>
  <si>
    <t>0813192</t>
  </si>
  <si>
    <t>3192</t>
  </si>
  <si>
    <t>Надання фінансової підтримки громадським організаціям ветеранів та осіб з інвалідністю, діяльність яких має соціальну спрямованість</t>
  </si>
  <si>
    <t>у тому числі за рахунок субвенці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</t>
  </si>
  <si>
    <t>0217330</t>
  </si>
  <si>
    <t>Будівництво інших об'єктів комунальної власності</t>
  </si>
  <si>
    <t>0217670</t>
  </si>
  <si>
    <t>Внески до статутного капіталу суб’єктів господарювання</t>
  </si>
  <si>
    <t>0617321</t>
  </si>
  <si>
    <t>7321</t>
  </si>
  <si>
    <t>Будівництво освітніх установ та закладів</t>
  </si>
  <si>
    <t>Будівництво медичних установ та закладів</t>
  </si>
  <si>
    <t>0718771</t>
  </si>
  <si>
    <t>8771</t>
  </si>
  <si>
    <t>0760</t>
  </si>
  <si>
    <t>Заходи із запобігання поширенню інфекційних захворювань за рахунок коштів резервного фонду місцевого бюджету</t>
  </si>
  <si>
    <t>0817323</t>
  </si>
  <si>
    <t>7323</t>
  </si>
  <si>
    <t>Будівництво установ та закладів соціальної сфери</t>
  </si>
  <si>
    <t>0817330</t>
  </si>
  <si>
    <t>1017324</t>
  </si>
  <si>
    <t>7324</t>
  </si>
  <si>
    <t>Будівництво установ та закладів культури</t>
  </si>
  <si>
    <t>1217310</t>
  </si>
  <si>
    <t>1417310</t>
  </si>
  <si>
    <t>1417670</t>
  </si>
  <si>
    <t>1517321</t>
  </si>
  <si>
    <t>1517322</t>
  </si>
  <si>
    <t>1517324</t>
  </si>
  <si>
    <t>1517325</t>
  </si>
  <si>
    <t>7325</t>
  </si>
  <si>
    <t>Будівництво споруд, установ та закладів фізичної культури і спорту</t>
  </si>
  <si>
    <t>1617330</t>
  </si>
  <si>
    <t>1617340</t>
  </si>
  <si>
    <t>1617670</t>
  </si>
  <si>
    <t>1917310</t>
  </si>
  <si>
    <t>2717670</t>
  </si>
  <si>
    <t>3719770</t>
  </si>
  <si>
    <t>9770</t>
  </si>
  <si>
    <t>Інші субвенції з місцевого бюджету</t>
  </si>
  <si>
    <t>0618311</t>
  </si>
  <si>
    <t>1418311</t>
  </si>
  <si>
    <t>1518311</t>
  </si>
  <si>
    <t>1518312</t>
  </si>
  <si>
    <t>8312</t>
  </si>
  <si>
    <t>Утилізація відходів</t>
  </si>
  <si>
    <t>0512</t>
  </si>
  <si>
    <t>2718311</t>
  </si>
  <si>
    <t>0611035</t>
  </si>
  <si>
    <t>Субвенція обласному бюджету на капітальний ремонт адміністративного приміщення для розміщення територіального підрозділу ЦНАП в с. Братківці Івано-Франківської міської ради</t>
  </si>
  <si>
    <t>Субвенція обласному бюджету на капітальний ремонт тротуару по вул. Шевченка в с. Братківці Івано-Франківської міської ради</t>
  </si>
  <si>
    <t>Субвенція обласному бюджету на капітальний ремонт огорожі на території адміністративного приміщення в с. Братківці Івано-Франківської міської ради</t>
  </si>
  <si>
    <t>Субвенція обласному бюджету на нове будівництво навчально-виховного комплексу з використанням незавершеної будівництвом середньої школи на 11 класів в с. Чукалівка Тисменицького району Івано-Франківської області</t>
  </si>
  <si>
    <t>1216011</t>
  </si>
  <si>
    <t>1216013</t>
  </si>
  <si>
    <t>0610</t>
  </si>
  <si>
    <t>0218761</t>
  </si>
  <si>
    <t>0540</t>
  </si>
  <si>
    <t>8761</t>
  </si>
  <si>
    <t>Заходи із запобігання та ліквідації наслідків надзвичайнолї ситуації внаслідок стихійного лиха за рахунок коштів резервного фонду місцевого бюджету</t>
  </si>
  <si>
    <t>0218771</t>
  </si>
  <si>
    <t>0818751</t>
  </si>
  <si>
    <t>8751</t>
  </si>
  <si>
    <t>інші видатки на соціальний захист населення  за рахунок коштів з резервного фонду міського бюджету</t>
  </si>
  <si>
    <t>Комплексна цільова соціальна програма розвитку цивільного захисту населення і  території Івано-Франківської міської територіальної громади  від надзвичайних ситуацій, забезпечення техногенної та пожежної безпеки на 2021-2025 роки</t>
  </si>
  <si>
    <t>до  рішення ______________міської ради</t>
  </si>
  <si>
    <r>
      <rPr>
        <sz val="9"/>
        <color theme="1"/>
        <rFont val="Times New Roman"/>
        <family val="1"/>
        <charset val="204"/>
      </rPr>
      <t>в т.ч. с</t>
    </r>
    <r>
      <rPr>
        <i/>
        <sz val="9"/>
        <color theme="1"/>
        <rFont val="Times New Roman"/>
        <family val="1"/>
        <charset val="204"/>
      </rPr>
      <t>убвенція з бюджету Угринівської територіальної громади</t>
    </r>
  </si>
  <si>
    <r>
      <rPr>
        <i/>
        <sz val="9"/>
        <color theme="1"/>
        <rFont val="Times New Roman"/>
        <family val="1"/>
        <charset val="204"/>
      </rPr>
      <t xml:space="preserve">у тому числі   </t>
    </r>
    <r>
      <rPr>
        <sz val="9"/>
        <color theme="1"/>
        <rFont val="Times New Roman"/>
        <family val="1"/>
        <charset val="204"/>
      </rPr>
      <t>Програма розвитку туристичної галузі Івано-Франківської міської територіальної громади на 2021-2025 роки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</si>
</sst>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₴_-;\-* #,##0.00\ _₴_-;_-* &quot;-&quot;??\ _₴_-;_-@_-"/>
    <numFmt numFmtId="164" formatCode="_-* #,##0.00\ _₽_-;\-* #,##0.00\ _₽_-;_-* &quot;-&quot;??\ _₽_-;_-@_-"/>
    <numFmt numFmtId="165" formatCode="0000000"/>
    <numFmt numFmtId="166" formatCode="General_)"/>
    <numFmt numFmtId="167" formatCode="0.0"/>
    <numFmt numFmtId="168" formatCode="#,##0.0"/>
    <numFmt numFmtId="169" formatCode="0_ ;[Red]\-0\ "/>
  </numFmts>
  <fonts count="21" x14ac:knownFonts="1">
    <font>
      <sz val="8"/>
      <name val="Arial"/>
    </font>
    <font>
      <sz val="8"/>
      <name val="Arial"/>
      <family val="2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imes New Roman Cyr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166" fontId="2" fillId="0" borderId="0"/>
    <xf numFmtId="0" fontId="1" fillId="0" borderId="0"/>
    <xf numFmtId="0" fontId="4" fillId="0" borderId="0"/>
    <xf numFmtId="0" fontId="6" fillId="0" borderId="0"/>
    <xf numFmtId="43" fontId="10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15" fillId="0" borderId="0"/>
    <xf numFmtId="0" fontId="3" fillId="0" borderId="0"/>
    <xf numFmtId="0" fontId="17" fillId="0" borderId="0"/>
  </cellStyleXfs>
  <cellXfs count="90">
    <xf numFmtId="0" fontId="0" fillId="0" borderId="0" xfId="0"/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left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49" fontId="7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horizontal="left"/>
    </xf>
    <xf numFmtId="166" fontId="7" fillId="2" borderId="0" xfId="0" applyNumberFormat="1" applyFont="1" applyFill="1" applyAlignment="1">
      <alignment horizontal="left"/>
    </xf>
    <xf numFmtId="169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 vertical="center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0" fontId="8" fillId="2" borderId="0" xfId="0" applyFont="1" applyFill="1" applyBorder="1" applyAlignment="1">
      <alignment horizontal="left"/>
    </xf>
    <xf numFmtId="3" fontId="8" fillId="2" borderId="0" xfId="0" applyNumberFormat="1" applyFont="1" applyFill="1" applyBorder="1" applyAlignment="1">
      <alignment horizontal="left"/>
    </xf>
    <xf numFmtId="0" fontId="14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center"/>
    </xf>
    <xf numFmtId="3" fontId="8" fillId="2" borderId="0" xfId="0" applyNumberFormat="1" applyFont="1" applyFill="1" applyAlignment="1">
      <alignment horizontal="center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3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left" vertical="top"/>
    </xf>
    <xf numFmtId="167" fontId="8" fillId="2" borderId="0" xfId="0" applyNumberFormat="1" applyFont="1" applyFill="1" applyBorder="1" applyAlignment="1">
      <alignment horizontal="left" vertical="top"/>
    </xf>
    <xf numFmtId="1" fontId="8" fillId="2" borderId="0" xfId="0" applyNumberFormat="1" applyFont="1" applyFill="1" applyBorder="1" applyAlignment="1">
      <alignment horizontal="left" vertical="top"/>
    </xf>
    <xf numFmtId="3" fontId="8" fillId="2" borderId="0" xfId="0" applyNumberFormat="1" applyFont="1" applyFill="1" applyBorder="1" applyAlignment="1">
      <alignment horizontal="left" vertical="top"/>
    </xf>
    <xf numFmtId="0" fontId="9" fillId="2" borderId="0" xfId="0" applyFont="1" applyFill="1" applyAlignment="1">
      <alignment vertical="top" wrapText="1"/>
    </xf>
    <xf numFmtId="43" fontId="8" fillId="2" borderId="0" xfId="6" applyFont="1" applyFill="1" applyAlignment="1">
      <alignment horizontal="center" vertical="center"/>
    </xf>
    <xf numFmtId="0" fontId="8" fillId="2" borderId="0" xfId="0" applyFont="1" applyFill="1"/>
    <xf numFmtId="3" fontId="8" fillId="2" borderId="0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vertical="top"/>
    </xf>
    <xf numFmtId="3" fontId="14" fillId="2" borderId="0" xfId="0" applyNumberFormat="1" applyFont="1" applyFill="1" applyAlignment="1">
      <alignment wrapText="1"/>
    </xf>
    <xf numFmtId="4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Border="1" applyAlignment="1">
      <alignment horizontal="left" vertical="top"/>
    </xf>
    <xf numFmtId="4" fontId="8" fillId="2" borderId="0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left" vertical="top" wrapText="1"/>
    </xf>
    <xf numFmtId="43" fontId="8" fillId="2" borderId="0" xfId="6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4" fontId="8" fillId="2" borderId="0" xfId="0" applyNumberFormat="1" applyFont="1" applyFill="1" applyAlignment="1">
      <alignment horizontal="left" vertical="top"/>
    </xf>
    <xf numFmtId="3" fontId="8" fillId="2" borderId="0" xfId="0" applyNumberFormat="1" applyFont="1" applyFill="1" applyAlignment="1">
      <alignment horizontal="left" vertical="top"/>
    </xf>
    <xf numFmtId="165" fontId="13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/>
    </xf>
    <xf numFmtId="3" fontId="16" fillId="2" borderId="4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/>
    </xf>
    <xf numFmtId="3" fontId="7" fillId="2" borderId="5" xfId="0" applyNumberFormat="1" applyFont="1" applyFill="1" applyBorder="1" applyAlignment="1">
      <alignment horizontal="center" vertical="center"/>
    </xf>
    <xf numFmtId="3" fontId="16" fillId="2" borderId="6" xfId="0" applyNumberFormat="1" applyFont="1" applyFill="1" applyBorder="1" applyAlignment="1">
      <alignment horizontal="center" vertical="center"/>
    </xf>
    <xf numFmtId="3" fontId="13" fillId="2" borderId="0" xfId="0" applyNumberFormat="1" applyFont="1" applyFill="1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168" fontId="12" fillId="2" borderId="1" xfId="0" applyNumberFormat="1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left" vertical="center" wrapText="1"/>
    </xf>
    <xf numFmtId="167" fontId="7" fillId="2" borderId="1" xfId="4" applyNumberFormat="1" applyFont="1" applyFill="1" applyBorder="1" applyAlignment="1">
      <alignment horizontal="left" vertical="center" wrapText="1"/>
    </xf>
    <xf numFmtId="0" fontId="7" fillId="2" borderId="1" xfId="11" applyFont="1" applyFill="1" applyBorder="1" applyAlignment="1">
      <alignment horizontal="left" vertical="center" wrapText="1"/>
    </xf>
    <xf numFmtId="166" fontId="7" fillId="2" borderId="1" xfId="2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0" fontId="18" fillId="2" borderId="1" xfId="7" applyFont="1" applyFill="1" applyBorder="1" applyAlignment="1">
      <alignment horizontal="left" vertical="center" wrapText="1"/>
    </xf>
    <xf numFmtId="0" fontId="7" fillId="2" borderId="1" xfId="3" applyNumberFormat="1" applyFont="1" applyFill="1" applyBorder="1" applyAlignment="1">
      <alignment horizontal="left" vertical="center" wrapText="1"/>
    </xf>
    <xf numFmtId="49" fontId="7" fillId="2" borderId="1" xfId="5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left" vertical="center" wrapText="1"/>
    </xf>
    <xf numFmtId="0" fontId="19" fillId="2" borderId="0" xfId="0" applyFont="1" applyFill="1"/>
    <xf numFmtId="0" fontId="20" fillId="2" borderId="0" xfId="0" applyFont="1" applyFill="1"/>
    <xf numFmtId="0" fontId="11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12" fillId="2" borderId="2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right" vertical="center"/>
    </xf>
    <xf numFmtId="168" fontId="12" fillId="2" borderId="1" xfId="0" applyNumberFormat="1" applyFont="1" applyFill="1" applyBorder="1" applyAlignment="1">
      <alignment horizontal="center" vertical="center"/>
    </xf>
  </cellXfs>
  <cellStyles count="12">
    <cellStyle name="Звичайний 2" xfId="7"/>
    <cellStyle name="Обычный" xfId="0" builtinId="0"/>
    <cellStyle name="Обычный 2" xfId="10"/>
    <cellStyle name="Обычный 3" xfId="1"/>
    <cellStyle name="Обычный 4" xfId="9"/>
    <cellStyle name="Обычный_osvita" xfId="2"/>
    <cellStyle name="Обычный_TDSheet" xfId="3"/>
    <cellStyle name="Обычный_Лист1" xfId="5"/>
    <cellStyle name="Обычный_СОЦ-ЕКОН.РОЗВ.2009" xfId="11"/>
    <cellStyle name="Стиль 1" xfId="4"/>
    <cellStyle name="Финансовый" xfId="6" builtinId="3"/>
    <cellStyle name="Фінансовий 2" xfId="8"/>
  </cellStyles>
  <dxfs count="0"/>
  <tableStyles count="0" defaultTableStyle="TableStyleMedium9" defaultPivotStyle="PivotStyleLight16"/>
  <colors>
    <mruColors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U319"/>
  <sheetViews>
    <sheetView showZeros="0" tabSelected="1" view="pageBreakPreview" zoomScale="80" zoomScaleNormal="80" zoomScaleSheetLayoutView="80" workbookViewId="0">
      <pane xSplit="4" ySplit="9" topLeftCell="E259" activePane="bottomRight" state="frozen"/>
      <selection pane="topRight" activeCell="E1" sqref="E1"/>
      <selection pane="bottomLeft" activeCell="A10" sqref="A10"/>
      <selection pane="bottomRight" activeCell="C4" sqref="C4"/>
    </sheetView>
  </sheetViews>
  <sheetFormatPr defaultColWidth="9.33203125" defaultRowHeight="11.25" x14ac:dyDescent="0.2"/>
  <cols>
    <col min="1" max="1" width="15.33203125" style="5" customWidth="1"/>
    <col min="2" max="3" width="15.33203125" style="8" customWidth="1"/>
    <col min="4" max="4" width="48.6640625" style="46" customWidth="1"/>
    <col min="5" max="6" width="18.6640625" style="46" customWidth="1"/>
    <col min="7" max="7" width="17.5" style="46" customWidth="1"/>
    <col min="8" max="8" width="15.83203125" style="46" customWidth="1"/>
    <col min="9" max="9" width="17.6640625" style="46" customWidth="1"/>
    <col min="10" max="15" width="15.83203125" style="46" customWidth="1"/>
    <col min="16" max="16" width="15.83203125" style="5" customWidth="1"/>
    <col min="17" max="17" width="16.1640625" style="5" customWidth="1"/>
    <col min="18" max="18" width="20.1640625" style="5" customWidth="1"/>
    <col min="19" max="19" width="19.1640625" style="37" customWidth="1"/>
    <col min="20" max="16384" width="9.33203125" style="37"/>
  </cols>
  <sheetData>
    <row r="1" spans="1:19" s="6" customFormat="1" ht="18.75" x14ac:dyDescent="0.2">
      <c r="A1" s="5"/>
      <c r="B1" s="80" t="s">
        <v>355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P1" s="7"/>
      <c r="Q1" s="5"/>
      <c r="R1" s="5"/>
    </row>
    <row r="2" spans="1:19" s="6" customFormat="1" ht="18.75" x14ac:dyDescent="0.2">
      <c r="A2" s="5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P2" s="7"/>
      <c r="Q2" s="6" t="s">
        <v>339</v>
      </c>
      <c r="R2" s="5"/>
    </row>
    <row r="3" spans="1:19" s="6" customFormat="1" x14ac:dyDescent="0.2">
      <c r="A3" s="5"/>
      <c r="B3" s="8"/>
      <c r="C3" s="8"/>
      <c r="P3" s="6" t="s">
        <v>540</v>
      </c>
      <c r="R3" s="5"/>
    </row>
    <row r="4" spans="1:19" s="6" customFormat="1" x14ac:dyDescent="0.2">
      <c r="A4" s="5"/>
      <c r="B4" s="8"/>
      <c r="C4" s="8"/>
      <c r="N4" s="82"/>
      <c r="O4" s="82"/>
      <c r="P4" s="82" t="s">
        <v>320</v>
      </c>
      <c r="Q4" s="82"/>
      <c r="R4" s="5"/>
    </row>
    <row r="5" spans="1:19" s="6" customFormat="1" ht="12.75" x14ac:dyDescent="0.2">
      <c r="A5" s="83"/>
      <c r="B5" s="83"/>
      <c r="C5" s="86"/>
      <c r="D5" s="87"/>
      <c r="R5" s="5" t="s">
        <v>0</v>
      </c>
    </row>
    <row r="6" spans="1:19" s="9" customFormat="1" ht="27.75" customHeight="1" x14ac:dyDescent="0.2">
      <c r="A6" s="81" t="s">
        <v>290</v>
      </c>
      <c r="B6" s="84" t="s">
        <v>291</v>
      </c>
      <c r="C6" s="84" t="s">
        <v>292</v>
      </c>
      <c r="D6" s="85" t="s">
        <v>328</v>
      </c>
      <c r="E6" s="81" t="s">
        <v>293</v>
      </c>
      <c r="F6" s="81"/>
      <c r="G6" s="81"/>
      <c r="H6" s="81"/>
      <c r="I6" s="81"/>
      <c r="J6" s="81" t="s">
        <v>294</v>
      </c>
      <c r="K6" s="81"/>
      <c r="L6" s="81"/>
      <c r="M6" s="81"/>
      <c r="N6" s="81"/>
      <c r="O6" s="81"/>
      <c r="P6" s="81" t="s">
        <v>347</v>
      </c>
      <c r="Q6" s="81"/>
      <c r="R6" s="81"/>
    </row>
    <row r="7" spans="1:19" s="9" customFormat="1" ht="27.75" customHeight="1" x14ac:dyDescent="0.2">
      <c r="A7" s="81"/>
      <c r="B7" s="84"/>
      <c r="C7" s="84"/>
      <c r="D7" s="85"/>
      <c r="E7" s="81" t="s">
        <v>366</v>
      </c>
      <c r="F7" s="89" t="s">
        <v>344</v>
      </c>
      <c r="G7" s="89"/>
      <c r="H7" s="61"/>
      <c r="I7" s="81" t="s">
        <v>351</v>
      </c>
      <c r="J7" s="81" t="s">
        <v>367</v>
      </c>
      <c r="K7" s="81" t="s">
        <v>344</v>
      </c>
      <c r="L7" s="81"/>
      <c r="M7" s="81"/>
      <c r="N7" s="81"/>
      <c r="O7" s="81" t="s">
        <v>351</v>
      </c>
      <c r="P7" s="81"/>
      <c r="Q7" s="81"/>
      <c r="R7" s="81"/>
    </row>
    <row r="8" spans="1:19" s="9" customFormat="1" ht="27.75" customHeight="1" x14ac:dyDescent="0.2">
      <c r="A8" s="81"/>
      <c r="B8" s="84"/>
      <c r="C8" s="84"/>
      <c r="D8" s="85"/>
      <c r="E8" s="81"/>
      <c r="F8" s="81" t="s">
        <v>1</v>
      </c>
      <c r="G8" s="81" t="s">
        <v>345</v>
      </c>
      <c r="H8" s="81" t="s">
        <v>51</v>
      </c>
      <c r="I8" s="81"/>
      <c r="J8" s="81"/>
      <c r="K8" s="81" t="s">
        <v>1</v>
      </c>
      <c r="L8" s="81" t="s">
        <v>289</v>
      </c>
      <c r="M8" s="81" t="s">
        <v>346</v>
      </c>
      <c r="N8" s="81" t="s">
        <v>51</v>
      </c>
      <c r="O8" s="81"/>
      <c r="P8" s="81"/>
      <c r="Q8" s="81"/>
      <c r="R8" s="81"/>
    </row>
    <row r="9" spans="1:19" s="9" customFormat="1" ht="45.75" customHeight="1" x14ac:dyDescent="0.2">
      <c r="A9" s="81"/>
      <c r="B9" s="84"/>
      <c r="C9" s="84"/>
      <c r="D9" s="85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59" t="s">
        <v>367</v>
      </c>
      <c r="Q9" s="59" t="s">
        <v>344</v>
      </c>
      <c r="R9" s="59" t="s">
        <v>351</v>
      </c>
    </row>
    <row r="10" spans="1:19" s="13" customFormat="1" ht="24" x14ac:dyDescent="0.2">
      <c r="A10" s="49">
        <v>200000</v>
      </c>
      <c r="B10" s="10"/>
      <c r="C10" s="10"/>
      <c r="D10" s="11" t="s">
        <v>2</v>
      </c>
      <c r="E10" s="12">
        <f>E12+E13+E20+E23+E24+E32+E36+E37+E41+E44+E47+E50+E51+E52</f>
        <v>119420300</v>
      </c>
      <c r="F10" s="12">
        <f t="shared" ref="F10:J10" si="0">F12+F13+F20+F23+F24+F32+F36+F37+F41+F44+F47+F50+F51+F52</f>
        <v>-2540887</v>
      </c>
      <c r="G10" s="12">
        <f t="shared" si="0"/>
        <v>-2540887</v>
      </c>
      <c r="H10" s="12">
        <f t="shared" si="0"/>
        <v>0</v>
      </c>
      <c r="I10" s="12">
        <f t="shared" si="0"/>
        <v>116879413</v>
      </c>
      <c r="J10" s="12">
        <f t="shared" si="0"/>
        <v>50000</v>
      </c>
      <c r="K10" s="12">
        <f>K12+K13+K21+K22+K20+K23+K24+K32+K36+K37+K41+K44+K47+K50+K51+K52</f>
        <v>4222328</v>
      </c>
      <c r="L10" s="12">
        <f t="shared" ref="L10:O10" si="1">L12+L13+L21+L22+L20+L23+L24+L32+L36+L37+L41+L44+L47+L50+L51+L52</f>
        <v>4222328</v>
      </c>
      <c r="M10" s="12">
        <f t="shared" si="1"/>
        <v>0</v>
      </c>
      <c r="N10" s="12">
        <f t="shared" si="1"/>
        <v>4222328</v>
      </c>
      <c r="O10" s="12">
        <f t="shared" si="1"/>
        <v>4272328</v>
      </c>
      <c r="P10" s="12">
        <f>P12+P13+P20+P21+P22+P23+P24+P32+P36+P37+P41+P44+P47+P50+P51+P52</f>
        <v>119470300</v>
      </c>
      <c r="Q10" s="12">
        <f t="shared" ref="Q10:R10" si="2">Q12+Q13+Q20+Q21+Q22+Q23+Q24+Q32+Q36+Q37+Q41+Q44+Q47+Q50+Q51+Q52</f>
        <v>1681441</v>
      </c>
      <c r="R10" s="12">
        <f t="shared" si="2"/>
        <v>121151741</v>
      </c>
      <c r="S10" s="58"/>
    </row>
    <row r="11" spans="1:19" s="13" customFormat="1" ht="24" x14ac:dyDescent="0.2">
      <c r="A11" s="49">
        <v>210000</v>
      </c>
      <c r="B11" s="10"/>
      <c r="C11" s="10"/>
      <c r="D11" s="11" t="s">
        <v>2</v>
      </c>
      <c r="E11" s="12"/>
      <c r="F11" s="12"/>
      <c r="G11" s="12"/>
      <c r="H11" s="12"/>
      <c r="I11" s="12"/>
      <c r="J11" s="4"/>
      <c r="K11" s="4"/>
      <c r="L11" s="12"/>
      <c r="M11" s="12"/>
      <c r="N11" s="12"/>
      <c r="O11" s="12"/>
      <c r="P11" s="12"/>
      <c r="Q11" s="4"/>
      <c r="R11" s="4"/>
      <c r="S11" s="58"/>
    </row>
    <row r="12" spans="1:19" s="14" customFormat="1" ht="24" x14ac:dyDescent="0.2">
      <c r="A12" s="1" t="s">
        <v>227</v>
      </c>
      <c r="B12" s="2" t="s">
        <v>59</v>
      </c>
      <c r="C12" s="2" t="s">
        <v>21</v>
      </c>
      <c r="D12" s="3" t="s">
        <v>368</v>
      </c>
      <c r="E12" s="4">
        <v>77008000</v>
      </c>
      <c r="F12" s="4">
        <f>G12</f>
        <v>217035</v>
      </c>
      <c r="G12" s="4">
        <f>149400-149400+49500-49500+99899+49900-149799-36190+98400-98400+104558+28958+119709</f>
        <v>217035</v>
      </c>
      <c r="H12" s="4"/>
      <c r="I12" s="4">
        <f>E12+F12</f>
        <v>77225035</v>
      </c>
      <c r="J12" s="4">
        <v>50000</v>
      </c>
      <c r="K12" s="4">
        <f>M12+N12</f>
        <v>135610</v>
      </c>
      <c r="L12" s="4">
        <f>135610</f>
        <v>135610</v>
      </c>
      <c r="M12" s="4"/>
      <c r="N12" s="4">
        <f>135610</f>
        <v>135610</v>
      </c>
      <c r="O12" s="4">
        <f>J12+K12</f>
        <v>185610</v>
      </c>
      <c r="P12" s="4">
        <f t="shared" ref="P12:P54" si="3">E12+J12</f>
        <v>77058000</v>
      </c>
      <c r="Q12" s="4">
        <f t="shared" ref="Q12:Q54" si="4">F12+K12</f>
        <v>352645</v>
      </c>
      <c r="R12" s="4">
        <f t="shared" ref="R12:R54" si="5">I12+O12</f>
        <v>77410645</v>
      </c>
      <c r="S12" s="58"/>
    </row>
    <row r="13" spans="1:19" s="14" customFormat="1" ht="12" x14ac:dyDescent="0.2">
      <c r="A13" s="1" t="s">
        <v>164</v>
      </c>
      <c r="B13" s="2" t="s">
        <v>10</v>
      </c>
      <c r="C13" s="2" t="s">
        <v>13</v>
      </c>
      <c r="D13" s="3" t="s">
        <v>165</v>
      </c>
      <c r="E13" s="4">
        <f>E15+E16+E17+E18+E19</f>
        <v>4850000</v>
      </c>
      <c r="F13" s="4">
        <f t="shared" ref="F13:F23" si="6">G13</f>
        <v>-849900</v>
      </c>
      <c r="G13" s="4">
        <f t="shared" ref="G13:N13" si="7">G15+G16+G17+G18+G19</f>
        <v>-849900</v>
      </c>
      <c r="H13" s="4">
        <f t="shared" si="7"/>
        <v>0</v>
      </c>
      <c r="I13" s="4">
        <f t="shared" si="7"/>
        <v>4000100</v>
      </c>
      <c r="J13" s="4">
        <f t="shared" si="7"/>
        <v>0</v>
      </c>
      <c r="K13" s="4">
        <f t="shared" ref="K13:K52" si="8">M13+N13</f>
        <v>800000</v>
      </c>
      <c r="L13" s="4">
        <f t="shared" si="7"/>
        <v>800000</v>
      </c>
      <c r="M13" s="4">
        <f t="shared" si="7"/>
        <v>0</v>
      </c>
      <c r="N13" s="4">
        <f t="shared" si="7"/>
        <v>800000</v>
      </c>
      <c r="O13" s="4">
        <f t="shared" ref="O13:O52" si="9">J13+K13</f>
        <v>800000</v>
      </c>
      <c r="P13" s="4">
        <f t="shared" ref="P13:P52" si="10">E13+J13</f>
        <v>4850000</v>
      </c>
      <c r="Q13" s="4">
        <f t="shared" ref="Q13:Q52" si="11">F13+K13</f>
        <v>-49900</v>
      </c>
      <c r="R13" s="4">
        <f t="shared" ref="R13:R52" si="12">I13+O13</f>
        <v>4800100</v>
      </c>
      <c r="S13" s="58"/>
    </row>
    <row r="14" spans="1:19" s="14" customFormat="1" ht="12" x14ac:dyDescent="0.2">
      <c r="A14" s="1"/>
      <c r="B14" s="2"/>
      <c r="C14" s="2"/>
      <c r="D14" s="3" t="s">
        <v>180</v>
      </c>
      <c r="E14" s="4"/>
      <c r="F14" s="4">
        <f t="shared" si="6"/>
        <v>0</v>
      </c>
      <c r="G14" s="4"/>
      <c r="H14" s="4"/>
      <c r="I14" s="4"/>
      <c r="J14" s="4"/>
      <c r="K14" s="4">
        <f t="shared" si="8"/>
        <v>0</v>
      </c>
      <c r="L14" s="4"/>
      <c r="M14" s="4"/>
      <c r="N14" s="4"/>
      <c r="O14" s="4">
        <f t="shared" si="9"/>
        <v>0</v>
      </c>
      <c r="P14" s="4">
        <f t="shared" si="10"/>
        <v>0</v>
      </c>
      <c r="Q14" s="4">
        <f t="shared" si="11"/>
        <v>0</v>
      </c>
      <c r="R14" s="4">
        <f t="shared" si="12"/>
        <v>0</v>
      </c>
      <c r="S14" s="58"/>
    </row>
    <row r="15" spans="1:19" s="14" customFormat="1" ht="12" x14ac:dyDescent="0.2">
      <c r="A15" s="1"/>
      <c r="B15" s="2"/>
      <c r="C15" s="2"/>
      <c r="D15" s="15" t="s">
        <v>38</v>
      </c>
      <c r="E15" s="4">
        <v>750000</v>
      </c>
      <c r="F15" s="4">
        <f t="shared" si="6"/>
        <v>0</v>
      </c>
      <c r="G15" s="4"/>
      <c r="H15" s="4"/>
      <c r="I15" s="4">
        <f t="shared" ref="I15:I52" si="13">E15+F15</f>
        <v>750000</v>
      </c>
      <c r="J15" s="4">
        <v>0</v>
      </c>
      <c r="K15" s="4">
        <f t="shared" si="8"/>
        <v>0</v>
      </c>
      <c r="L15" s="4"/>
      <c r="M15" s="4"/>
      <c r="N15" s="4"/>
      <c r="O15" s="4">
        <f t="shared" si="9"/>
        <v>0</v>
      </c>
      <c r="P15" s="4">
        <f t="shared" si="10"/>
        <v>750000</v>
      </c>
      <c r="Q15" s="4">
        <f t="shared" si="11"/>
        <v>0</v>
      </c>
      <c r="R15" s="4">
        <f t="shared" si="12"/>
        <v>750000</v>
      </c>
      <c r="S15" s="58"/>
    </row>
    <row r="16" spans="1:19" s="14" customFormat="1" ht="12" x14ac:dyDescent="0.2">
      <c r="A16" s="1"/>
      <c r="B16" s="2"/>
      <c r="C16" s="2"/>
      <c r="D16" s="15" t="s">
        <v>39</v>
      </c>
      <c r="E16" s="4">
        <v>550000</v>
      </c>
      <c r="F16" s="4">
        <f t="shared" si="6"/>
        <v>0</v>
      </c>
      <c r="G16" s="4"/>
      <c r="H16" s="4"/>
      <c r="I16" s="4">
        <f t="shared" si="13"/>
        <v>550000</v>
      </c>
      <c r="J16" s="4">
        <v>0</v>
      </c>
      <c r="K16" s="4">
        <f t="shared" si="8"/>
        <v>0</v>
      </c>
      <c r="L16" s="4"/>
      <c r="M16" s="4"/>
      <c r="N16" s="4"/>
      <c r="O16" s="4">
        <f t="shared" si="9"/>
        <v>0</v>
      </c>
      <c r="P16" s="4">
        <f t="shared" si="10"/>
        <v>550000</v>
      </c>
      <c r="Q16" s="4">
        <f t="shared" si="11"/>
        <v>0</v>
      </c>
      <c r="R16" s="4">
        <f t="shared" si="12"/>
        <v>550000</v>
      </c>
      <c r="S16" s="58"/>
    </row>
    <row r="17" spans="1:19" s="14" customFormat="1" ht="24" x14ac:dyDescent="0.2">
      <c r="A17" s="1"/>
      <c r="B17" s="2"/>
      <c r="C17" s="2"/>
      <c r="D17" s="15" t="s">
        <v>179</v>
      </c>
      <c r="E17" s="4">
        <v>350000</v>
      </c>
      <c r="F17" s="4">
        <f t="shared" si="6"/>
        <v>0</v>
      </c>
      <c r="G17" s="4"/>
      <c r="H17" s="4"/>
      <c r="I17" s="4">
        <f t="shared" si="13"/>
        <v>350000</v>
      </c>
      <c r="J17" s="4">
        <v>0</v>
      </c>
      <c r="K17" s="4">
        <f t="shared" si="8"/>
        <v>0</v>
      </c>
      <c r="L17" s="4"/>
      <c r="M17" s="4"/>
      <c r="N17" s="4"/>
      <c r="O17" s="4">
        <f t="shared" si="9"/>
        <v>0</v>
      </c>
      <c r="P17" s="4">
        <f t="shared" si="10"/>
        <v>350000</v>
      </c>
      <c r="Q17" s="4">
        <f t="shared" si="11"/>
        <v>0</v>
      </c>
      <c r="R17" s="4">
        <f t="shared" si="12"/>
        <v>350000</v>
      </c>
      <c r="S17" s="58"/>
    </row>
    <row r="18" spans="1:19" s="14" customFormat="1" ht="60" x14ac:dyDescent="0.2">
      <c r="A18" s="1"/>
      <c r="B18" s="2"/>
      <c r="C18" s="2"/>
      <c r="D18" s="15" t="s">
        <v>356</v>
      </c>
      <c r="E18" s="4">
        <v>1150000</v>
      </c>
      <c r="F18" s="4">
        <f t="shared" si="6"/>
        <v>0</v>
      </c>
      <c r="G18" s="4"/>
      <c r="H18" s="4"/>
      <c r="I18" s="4">
        <f t="shared" si="13"/>
        <v>1150000</v>
      </c>
      <c r="J18" s="4">
        <v>0</v>
      </c>
      <c r="K18" s="4">
        <f t="shared" si="8"/>
        <v>0</v>
      </c>
      <c r="L18" s="4"/>
      <c r="M18" s="4"/>
      <c r="N18" s="4"/>
      <c r="O18" s="4">
        <f t="shared" si="9"/>
        <v>0</v>
      </c>
      <c r="P18" s="4">
        <f t="shared" si="10"/>
        <v>1150000</v>
      </c>
      <c r="Q18" s="4">
        <f t="shared" si="11"/>
        <v>0</v>
      </c>
      <c r="R18" s="4">
        <f t="shared" si="12"/>
        <v>1150000</v>
      </c>
      <c r="S18" s="58"/>
    </row>
    <row r="19" spans="1:19" s="14" customFormat="1" ht="36" x14ac:dyDescent="0.2">
      <c r="A19" s="1"/>
      <c r="B19" s="2"/>
      <c r="C19" s="2"/>
      <c r="D19" s="15" t="s">
        <v>343</v>
      </c>
      <c r="E19" s="4">
        <v>2050000</v>
      </c>
      <c r="F19" s="4">
        <f t="shared" si="6"/>
        <v>-849900</v>
      </c>
      <c r="G19" s="4">
        <f>-800000-49900</f>
        <v>-849900</v>
      </c>
      <c r="H19" s="4"/>
      <c r="I19" s="4">
        <f t="shared" si="13"/>
        <v>1200100</v>
      </c>
      <c r="J19" s="4"/>
      <c r="K19" s="4">
        <f t="shared" si="8"/>
        <v>800000</v>
      </c>
      <c r="L19" s="4">
        <f>800000</f>
        <v>800000</v>
      </c>
      <c r="M19" s="4"/>
      <c r="N19" s="4">
        <f>800000</f>
        <v>800000</v>
      </c>
      <c r="O19" s="4">
        <f t="shared" si="9"/>
        <v>800000</v>
      </c>
      <c r="P19" s="4">
        <f t="shared" si="10"/>
        <v>2050000</v>
      </c>
      <c r="Q19" s="4">
        <f t="shared" si="11"/>
        <v>-49900</v>
      </c>
      <c r="R19" s="4">
        <f t="shared" si="12"/>
        <v>2000100</v>
      </c>
      <c r="S19" s="58"/>
    </row>
    <row r="20" spans="1:19" s="14" customFormat="1" ht="12" x14ac:dyDescent="0.2">
      <c r="A20" s="1" t="s">
        <v>277</v>
      </c>
      <c r="B20" s="2" t="s">
        <v>278</v>
      </c>
      <c r="C20" s="2" t="s">
        <v>216</v>
      </c>
      <c r="D20" s="3" t="s">
        <v>215</v>
      </c>
      <c r="E20" s="4">
        <v>500000</v>
      </c>
      <c r="F20" s="4">
        <f t="shared" si="6"/>
        <v>0</v>
      </c>
      <c r="G20" s="4"/>
      <c r="H20" s="4"/>
      <c r="I20" s="4">
        <f t="shared" si="13"/>
        <v>500000</v>
      </c>
      <c r="J20" s="4">
        <v>0</v>
      </c>
      <c r="K20" s="4">
        <f t="shared" si="8"/>
        <v>0</v>
      </c>
      <c r="L20" s="4"/>
      <c r="M20" s="4"/>
      <c r="N20" s="4"/>
      <c r="O20" s="4">
        <f t="shared" si="9"/>
        <v>0</v>
      </c>
      <c r="P20" s="4">
        <f t="shared" si="10"/>
        <v>500000</v>
      </c>
      <c r="Q20" s="4">
        <f t="shared" si="11"/>
        <v>0</v>
      </c>
      <c r="R20" s="4">
        <f t="shared" si="12"/>
        <v>500000</v>
      </c>
      <c r="S20" s="58"/>
    </row>
    <row r="21" spans="1:19" s="14" customFormat="1" ht="12" x14ac:dyDescent="0.2">
      <c r="A21" s="1" t="s">
        <v>479</v>
      </c>
      <c r="B21" s="2" t="s">
        <v>239</v>
      </c>
      <c r="C21" s="2" t="s">
        <v>209</v>
      </c>
      <c r="D21" s="3" t="s">
        <v>480</v>
      </c>
      <c r="E21" s="4"/>
      <c r="F21" s="4"/>
      <c r="G21" s="4"/>
      <c r="H21" s="4"/>
      <c r="I21" s="4"/>
      <c r="J21" s="4"/>
      <c r="K21" s="4">
        <f t="shared" si="8"/>
        <v>100000</v>
      </c>
      <c r="L21" s="4">
        <f>100000</f>
        <v>100000</v>
      </c>
      <c r="M21" s="4"/>
      <c r="N21" s="4">
        <f>100000</f>
        <v>100000</v>
      </c>
      <c r="O21" s="4">
        <f t="shared" si="9"/>
        <v>100000</v>
      </c>
      <c r="P21" s="4">
        <f t="shared" si="10"/>
        <v>0</v>
      </c>
      <c r="Q21" s="4">
        <f t="shared" si="11"/>
        <v>100000</v>
      </c>
      <c r="R21" s="4">
        <f t="shared" si="12"/>
        <v>100000</v>
      </c>
      <c r="S21" s="58"/>
    </row>
    <row r="22" spans="1:19" s="14" customFormat="1" ht="24" x14ac:dyDescent="0.2">
      <c r="A22" s="2" t="s">
        <v>481</v>
      </c>
      <c r="B22" s="2" t="s">
        <v>78</v>
      </c>
      <c r="C22" s="2" t="s">
        <v>24</v>
      </c>
      <c r="D22" s="62" t="s">
        <v>482</v>
      </c>
      <c r="E22" s="4"/>
      <c r="F22" s="4"/>
      <c r="G22" s="4"/>
      <c r="H22" s="4"/>
      <c r="I22" s="4"/>
      <c r="J22" s="4"/>
      <c r="K22" s="4">
        <f t="shared" si="8"/>
        <v>922106</v>
      </c>
      <c r="L22" s="4">
        <f>922106</f>
        <v>922106</v>
      </c>
      <c r="M22" s="4"/>
      <c r="N22" s="4">
        <f>922106</f>
        <v>922106</v>
      </c>
      <c r="O22" s="4">
        <f t="shared" si="9"/>
        <v>922106</v>
      </c>
      <c r="P22" s="4">
        <f t="shared" si="10"/>
        <v>0</v>
      </c>
      <c r="Q22" s="4">
        <f t="shared" si="11"/>
        <v>922106</v>
      </c>
      <c r="R22" s="4">
        <f t="shared" si="12"/>
        <v>922106</v>
      </c>
      <c r="S22" s="58"/>
    </row>
    <row r="23" spans="1:19" s="14" customFormat="1" ht="24" x14ac:dyDescent="0.2">
      <c r="A23" s="1" t="s">
        <v>166</v>
      </c>
      <c r="B23" s="2" t="s">
        <v>167</v>
      </c>
      <c r="C23" s="2" t="s">
        <v>24</v>
      </c>
      <c r="D23" s="15" t="s">
        <v>181</v>
      </c>
      <c r="E23" s="4">
        <v>1600000</v>
      </c>
      <c r="F23" s="4">
        <f t="shared" si="6"/>
        <v>0</v>
      </c>
      <c r="G23" s="4"/>
      <c r="H23" s="4"/>
      <c r="I23" s="4">
        <f t="shared" si="13"/>
        <v>1600000</v>
      </c>
      <c r="J23" s="4">
        <v>0</v>
      </c>
      <c r="K23" s="4">
        <f t="shared" si="8"/>
        <v>0</v>
      </c>
      <c r="L23" s="4"/>
      <c r="M23" s="4"/>
      <c r="N23" s="4"/>
      <c r="O23" s="4">
        <f t="shared" si="9"/>
        <v>0</v>
      </c>
      <c r="P23" s="4">
        <f t="shared" si="10"/>
        <v>1600000</v>
      </c>
      <c r="Q23" s="4">
        <f t="shared" si="11"/>
        <v>0</v>
      </c>
      <c r="R23" s="4">
        <f t="shared" si="12"/>
        <v>1600000</v>
      </c>
      <c r="S23" s="58"/>
    </row>
    <row r="24" spans="1:19" s="14" customFormat="1" ht="12" x14ac:dyDescent="0.2">
      <c r="A24" s="1" t="s">
        <v>308</v>
      </c>
      <c r="B24" s="1" t="s">
        <v>288</v>
      </c>
      <c r="C24" s="2" t="s">
        <v>24</v>
      </c>
      <c r="D24" s="63" t="s">
        <v>195</v>
      </c>
      <c r="E24" s="4">
        <f>E26+E27+E28+E29+E30+E31</f>
        <v>9930300</v>
      </c>
      <c r="F24" s="4">
        <f t="shared" ref="F24:N24" si="14">F26+F27+F28+F29+F30+F31</f>
        <v>-2214200</v>
      </c>
      <c r="G24" s="4">
        <f t="shared" si="14"/>
        <v>-2214200</v>
      </c>
      <c r="H24" s="4">
        <f t="shared" si="14"/>
        <v>0</v>
      </c>
      <c r="I24" s="4">
        <f t="shared" si="14"/>
        <v>7716100</v>
      </c>
      <c r="J24" s="4">
        <f t="shared" si="14"/>
        <v>0</v>
      </c>
      <c r="K24" s="4">
        <f t="shared" si="8"/>
        <v>2214200</v>
      </c>
      <c r="L24" s="4">
        <f t="shared" si="14"/>
        <v>2214200</v>
      </c>
      <c r="M24" s="4">
        <f t="shared" si="14"/>
        <v>0</v>
      </c>
      <c r="N24" s="4">
        <f t="shared" si="14"/>
        <v>2214200</v>
      </c>
      <c r="O24" s="4">
        <f t="shared" si="9"/>
        <v>2214200</v>
      </c>
      <c r="P24" s="4">
        <f t="shared" si="10"/>
        <v>9930300</v>
      </c>
      <c r="Q24" s="4">
        <f t="shared" si="11"/>
        <v>0</v>
      </c>
      <c r="R24" s="4">
        <f t="shared" si="12"/>
        <v>9930300</v>
      </c>
      <c r="S24" s="58"/>
    </row>
    <row r="25" spans="1:19" s="14" customFormat="1" ht="12" x14ac:dyDescent="0.2">
      <c r="A25" s="1"/>
      <c r="B25" s="1"/>
      <c r="C25" s="2"/>
      <c r="D25" s="63" t="s">
        <v>196</v>
      </c>
      <c r="E25" s="4">
        <v>0</v>
      </c>
      <c r="F25" s="4">
        <f t="shared" ref="F25:F31" si="15">G25</f>
        <v>0</v>
      </c>
      <c r="G25" s="4"/>
      <c r="H25" s="4"/>
      <c r="I25" s="4">
        <f t="shared" si="13"/>
        <v>0</v>
      </c>
      <c r="J25" s="4">
        <v>0</v>
      </c>
      <c r="K25" s="4">
        <f t="shared" si="8"/>
        <v>0</v>
      </c>
      <c r="L25" s="4"/>
      <c r="M25" s="4"/>
      <c r="N25" s="4"/>
      <c r="O25" s="4">
        <f t="shared" si="9"/>
        <v>0</v>
      </c>
      <c r="P25" s="4">
        <f t="shared" si="10"/>
        <v>0</v>
      </c>
      <c r="Q25" s="4">
        <f t="shared" si="11"/>
        <v>0</v>
      </c>
      <c r="R25" s="4">
        <f t="shared" si="12"/>
        <v>0</v>
      </c>
      <c r="S25" s="58"/>
    </row>
    <row r="26" spans="1:19" s="14" customFormat="1" ht="48" x14ac:dyDescent="0.2">
      <c r="A26" s="1"/>
      <c r="B26" s="1"/>
      <c r="C26" s="2"/>
      <c r="D26" s="15" t="s">
        <v>304</v>
      </c>
      <c r="E26" s="4">
        <v>1000000</v>
      </c>
      <c r="F26" s="4">
        <f t="shared" si="15"/>
        <v>0</v>
      </c>
      <c r="G26" s="4"/>
      <c r="H26" s="4"/>
      <c r="I26" s="4">
        <f t="shared" si="13"/>
        <v>1000000</v>
      </c>
      <c r="J26" s="4"/>
      <c r="K26" s="4">
        <f t="shared" si="8"/>
        <v>2214200</v>
      </c>
      <c r="L26" s="4">
        <f>2214200</f>
        <v>2214200</v>
      </c>
      <c r="M26" s="4"/>
      <c r="N26" s="4">
        <f>2214200</f>
        <v>2214200</v>
      </c>
      <c r="O26" s="4">
        <f t="shared" si="9"/>
        <v>2214200</v>
      </c>
      <c r="P26" s="4">
        <f t="shared" si="10"/>
        <v>1000000</v>
      </c>
      <c r="Q26" s="4">
        <f t="shared" si="11"/>
        <v>2214200</v>
      </c>
      <c r="R26" s="4">
        <f t="shared" si="12"/>
        <v>3214200</v>
      </c>
      <c r="S26" s="58"/>
    </row>
    <row r="27" spans="1:19" s="14" customFormat="1" ht="36" x14ac:dyDescent="0.2">
      <c r="A27" s="1"/>
      <c r="B27" s="1"/>
      <c r="C27" s="2"/>
      <c r="D27" s="15" t="s">
        <v>337</v>
      </c>
      <c r="E27" s="4">
        <v>5386900</v>
      </c>
      <c r="F27" s="4">
        <f t="shared" si="15"/>
        <v>-1214200</v>
      </c>
      <c r="G27" s="4">
        <f>-1214200</f>
        <v>-1214200</v>
      </c>
      <c r="H27" s="4"/>
      <c r="I27" s="4">
        <f t="shared" si="13"/>
        <v>4172700</v>
      </c>
      <c r="J27" s="4">
        <v>0</v>
      </c>
      <c r="K27" s="4">
        <f t="shared" si="8"/>
        <v>0</v>
      </c>
      <c r="L27" s="4"/>
      <c r="M27" s="4"/>
      <c r="N27" s="4"/>
      <c r="O27" s="4">
        <f t="shared" si="9"/>
        <v>0</v>
      </c>
      <c r="P27" s="4">
        <f t="shared" si="10"/>
        <v>5386900</v>
      </c>
      <c r="Q27" s="4">
        <f t="shared" si="11"/>
        <v>-1214200</v>
      </c>
      <c r="R27" s="4">
        <f t="shared" si="12"/>
        <v>4172700</v>
      </c>
      <c r="S27" s="58"/>
    </row>
    <row r="28" spans="1:19" s="14" customFormat="1" ht="24" x14ac:dyDescent="0.2">
      <c r="A28" s="1"/>
      <c r="B28" s="1"/>
      <c r="C28" s="2"/>
      <c r="D28" s="15" t="s">
        <v>357</v>
      </c>
      <c r="E28" s="4">
        <v>3364400</v>
      </c>
      <c r="F28" s="4">
        <f t="shared" si="15"/>
        <v>-1000000</v>
      </c>
      <c r="G28" s="4">
        <v>-1000000</v>
      </c>
      <c r="H28" s="4"/>
      <c r="I28" s="4">
        <f t="shared" si="13"/>
        <v>2364400</v>
      </c>
      <c r="J28" s="4">
        <v>0</v>
      </c>
      <c r="K28" s="4">
        <f t="shared" si="8"/>
        <v>0</v>
      </c>
      <c r="L28" s="4"/>
      <c r="M28" s="4"/>
      <c r="N28" s="4"/>
      <c r="O28" s="4">
        <f t="shared" si="9"/>
        <v>0</v>
      </c>
      <c r="P28" s="4">
        <f t="shared" si="10"/>
        <v>3364400</v>
      </c>
      <c r="Q28" s="4">
        <f t="shared" si="11"/>
        <v>-1000000</v>
      </c>
      <c r="R28" s="4">
        <f t="shared" si="12"/>
        <v>2364400</v>
      </c>
      <c r="S28" s="58"/>
    </row>
    <row r="29" spans="1:19" s="14" customFormat="1" ht="24" x14ac:dyDescent="0.2">
      <c r="A29" s="1"/>
      <c r="B29" s="1"/>
      <c r="C29" s="2"/>
      <c r="D29" s="63" t="s">
        <v>358</v>
      </c>
      <c r="E29" s="4">
        <v>98000</v>
      </c>
      <c r="F29" s="4">
        <f t="shared" si="15"/>
        <v>0</v>
      </c>
      <c r="G29" s="4"/>
      <c r="H29" s="4"/>
      <c r="I29" s="4">
        <f t="shared" si="13"/>
        <v>98000</v>
      </c>
      <c r="J29" s="4">
        <v>0</v>
      </c>
      <c r="K29" s="4">
        <f t="shared" si="8"/>
        <v>0</v>
      </c>
      <c r="L29" s="4"/>
      <c r="M29" s="4"/>
      <c r="N29" s="4"/>
      <c r="O29" s="4">
        <f t="shared" si="9"/>
        <v>0</v>
      </c>
      <c r="P29" s="4">
        <f t="shared" si="10"/>
        <v>98000</v>
      </c>
      <c r="Q29" s="4">
        <f t="shared" si="11"/>
        <v>0</v>
      </c>
      <c r="R29" s="4">
        <f t="shared" si="12"/>
        <v>98000</v>
      </c>
      <c r="S29" s="58"/>
    </row>
    <row r="30" spans="1:19" s="14" customFormat="1" ht="48" x14ac:dyDescent="0.2">
      <c r="A30" s="1"/>
      <c r="B30" s="1"/>
      <c r="C30" s="2"/>
      <c r="D30" s="63" t="s">
        <v>359</v>
      </c>
      <c r="E30" s="4">
        <v>51000</v>
      </c>
      <c r="F30" s="4">
        <f t="shared" si="15"/>
        <v>0</v>
      </c>
      <c r="G30" s="4"/>
      <c r="H30" s="4">
        <f>H32+H33</f>
        <v>0</v>
      </c>
      <c r="I30" s="4">
        <f t="shared" si="13"/>
        <v>51000</v>
      </c>
      <c r="J30" s="4">
        <v>0</v>
      </c>
      <c r="K30" s="4">
        <f t="shared" si="8"/>
        <v>0</v>
      </c>
      <c r="L30" s="4"/>
      <c r="M30" s="4"/>
      <c r="N30" s="4"/>
      <c r="O30" s="4">
        <f t="shared" si="9"/>
        <v>0</v>
      </c>
      <c r="P30" s="4">
        <f t="shared" si="10"/>
        <v>51000</v>
      </c>
      <c r="Q30" s="4">
        <f t="shared" si="11"/>
        <v>0</v>
      </c>
      <c r="R30" s="4">
        <f t="shared" si="12"/>
        <v>51000</v>
      </c>
      <c r="S30" s="58"/>
    </row>
    <row r="31" spans="1:19" s="14" customFormat="1" ht="36" x14ac:dyDescent="0.2">
      <c r="A31" s="1"/>
      <c r="B31" s="1"/>
      <c r="C31" s="2"/>
      <c r="D31" s="63" t="s">
        <v>360</v>
      </c>
      <c r="E31" s="4">
        <v>30000</v>
      </c>
      <c r="F31" s="4">
        <f t="shared" si="15"/>
        <v>0</v>
      </c>
      <c r="G31" s="4"/>
      <c r="H31" s="4"/>
      <c r="I31" s="4">
        <f t="shared" si="13"/>
        <v>30000</v>
      </c>
      <c r="J31" s="4">
        <v>0</v>
      </c>
      <c r="K31" s="4">
        <f t="shared" si="8"/>
        <v>0</v>
      </c>
      <c r="L31" s="4"/>
      <c r="M31" s="4"/>
      <c r="N31" s="4"/>
      <c r="O31" s="4">
        <f t="shared" si="9"/>
        <v>0</v>
      </c>
      <c r="P31" s="4">
        <f t="shared" si="10"/>
        <v>30000</v>
      </c>
      <c r="Q31" s="4">
        <f t="shared" si="11"/>
        <v>0</v>
      </c>
      <c r="R31" s="4">
        <f t="shared" si="12"/>
        <v>30000</v>
      </c>
      <c r="S31" s="58"/>
    </row>
    <row r="32" spans="1:19" s="14" customFormat="1" ht="24" x14ac:dyDescent="0.2">
      <c r="A32" s="1" t="s">
        <v>175</v>
      </c>
      <c r="B32" s="2" t="s">
        <v>176</v>
      </c>
      <c r="C32" s="2" t="s">
        <v>56</v>
      </c>
      <c r="D32" s="15" t="s">
        <v>279</v>
      </c>
      <c r="E32" s="4">
        <f>E34+E35</f>
        <v>300000</v>
      </c>
      <c r="F32" s="4">
        <f t="shared" ref="F32:N32" si="16">F34+F35</f>
        <v>-27888</v>
      </c>
      <c r="G32" s="4">
        <f t="shared" si="16"/>
        <v>-27888</v>
      </c>
      <c r="H32" s="4">
        <f t="shared" si="16"/>
        <v>0</v>
      </c>
      <c r="I32" s="4">
        <f t="shared" si="16"/>
        <v>272112</v>
      </c>
      <c r="J32" s="4">
        <f t="shared" si="16"/>
        <v>0</v>
      </c>
      <c r="K32" s="4">
        <f t="shared" si="8"/>
        <v>27888</v>
      </c>
      <c r="L32" s="4">
        <f t="shared" si="16"/>
        <v>27888</v>
      </c>
      <c r="M32" s="4">
        <f t="shared" si="16"/>
        <v>0</v>
      </c>
      <c r="N32" s="4">
        <f t="shared" si="16"/>
        <v>27888</v>
      </c>
      <c r="O32" s="4">
        <f t="shared" si="9"/>
        <v>27888</v>
      </c>
      <c r="P32" s="4">
        <f t="shared" si="10"/>
        <v>300000</v>
      </c>
      <c r="Q32" s="4">
        <f t="shared" si="11"/>
        <v>0</v>
      </c>
      <c r="R32" s="4">
        <f t="shared" si="12"/>
        <v>300000</v>
      </c>
      <c r="S32" s="58"/>
    </row>
    <row r="33" spans="1:19" s="14" customFormat="1" ht="12" x14ac:dyDescent="0.2">
      <c r="A33" s="1"/>
      <c r="B33" s="2"/>
      <c r="C33" s="2"/>
      <c r="D33" s="3" t="s">
        <v>180</v>
      </c>
      <c r="E33" s="4"/>
      <c r="F33" s="4"/>
      <c r="G33" s="4"/>
      <c r="H33" s="4"/>
      <c r="I33" s="4">
        <f t="shared" si="13"/>
        <v>0</v>
      </c>
      <c r="J33" s="4">
        <v>0</v>
      </c>
      <c r="K33" s="4">
        <f t="shared" si="8"/>
        <v>0</v>
      </c>
      <c r="L33" s="4"/>
      <c r="M33" s="4"/>
      <c r="N33" s="4"/>
      <c r="O33" s="4">
        <f t="shared" si="9"/>
        <v>0</v>
      </c>
      <c r="P33" s="4">
        <f t="shared" si="10"/>
        <v>0</v>
      </c>
      <c r="Q33" s="4">
        <f t="shared" si="11"/>
        <v>0</v>
      </c>
      <c r="R33" s="4">
        <f t="shared" si="12"/>
        <v>0</v>
      </c>
      <c r="S33" s="58"/>
    </row>
    <row r="34" spans="1:19" s="14" customFormat="1" ht="70.5" customHeight="1" x14ac:dyDescent="0.2">
      <c r="A34" s="1"/>
      <c r="B34" s="2"/>
      <c r="C34" s="2"/>
      <c r="D34" s="64" t="s">
        <v>539</v>
      </c>
      <c r="E34" s="4">
        <v>50000</v>
      </c>
      <c r="F34" s="4">
        <f t="shared" ref="F34:F36" si="17">G34</f>
        <v>-27888</v>
      </c>
      <c r="G34" s="4">
        <f>-27888</f>
        <v>-27888</v>
      </c>
      <c r="H34" s="4">
        <f>H36+H37</f>
        <v>0</v>
      </c>
      <c r="I34" s="4">
        <f t="shared" si="13"/>
        <v>22112</v>
      </c>
      <c r="J34" s="4">
        <v>0</v>
      </c>
      <c r="K34" s="4">
        <f t="shared" si="8"/>
        <v>27888</v>
      </c>
      <c r="L34" s="4">
        <f>27888</f>
        <v>27888</v>
      </c>
      <c r="M34" s="4"/>
      <c r="N34" s="4">
        <f>27888</f>
        <v>27888</v>
      </c>
      <c r="O34" s="4">
        <f t="shared" si="9"/>
        <v>27888</v>
      </c>
      <c r="P34" s="4">
        <f t="shared" si="10"/>
        <v>50000</v>
      </c>
      <c r="Q34" s="4">
        <f t="shared" si="11"/>
        <v>0</v>
      </c>
      <c r="R34" s="4">
        <f t="shared" si="12"/>
        <v>50000</v>
      </c>
      <c r="S34" s="58"/>
    </row>
    <row r="35" spans="1:19" s="14" customFormat="1" ht="48" x14ac:dyDescent="0.2">
      <c r="A35" s="1"/>
      <c r="B35" s="2"/>
      <c r="C35" s="2"/>
      <c r="D35" s="15" t="s">
        <v>361</v>
      </c>
      <c r="E35" s="4">
        <v>250000</v>
      </c>
      <c r="F35" s="4">
        <f t="shared" si="17"/>
        <v>0</v>
      </c>
      <c r="G35" s="4"/>
      <c r="H35" s="4"/>
      <c r="I35" s="4">
        <f t="shared" si="13"/>
        <v>250000</v>
      </c>
      <c r="J35" s="4">
        <v>0</v>
      </c>
      <c r="K35" s="4">
        <f t="shared" si="8"/>
        <v>0</v>
      </c>
      <c r="L35" s="4"/>
      <c r="M35" s="4"/>
      <c r="N35" s="4"/>
      <c r="O35" s="4">
        <f t="shared" si="9"/>
        <v>0</v>
      </c>
      <c r="P35" s="4">
        <f t="shared" si="10"/>
        <v>250000</v>
      </c>
      <c r="Q35" s="4">
        <f t="shared" si="11"/>
        <v>0</v>
      </c>
      <c r="R35" s="4">
        <f t="shared" si="12"/>
        <v>250000</v>
      </c>
      <c r="S35" s="58"/>
    </row>
    <row r="36" spans="1:19" s="14" customFormat="1" ht="12" x14ac:dyDescent="0.2">
      <c r="A36" s="1" t="s">
        <v>134</v>
      </c>
      <c r="B36" s="2" t="s">
        <v>76</v>
      </c>
      <c r="C36" s="2" t="s">
        <v>56</v>
      </c>
      <c r="D36" s="15" t="s">
        <v>77</v>
      </c>
      <c r="E36" s="4">
        <v>4100000</v>
      </c>
      <c r="F36" s="4">
        <f t="shared" si="17"/>
        <v>0</v>
      </c>
      <c r="G36" s="4"/>
      <c r="H36" s="4"/>
      <c r="I36" s="4">
        <f t="shared" si="13"/>
        <v>4100000</v>
      </c>
      <c r="J36" s="4">
        <v>0</v>
      </c>
      <c r="K36" s="4">
        <f t="shared" si="8"/>
        <v>0</v>
      </c>
      <c r="L36" s="4"/>
      <c r="M36" s="4"/>
      <c r="N36" s="4"/>
      <c r="O36" s="4">
        <f t="shared" si="9"/>
        <v>0</v>
      </c>
      <c r="P36" s="4">
        <f t="shared" si="10"/>
        <v>4100000</v>
      </c>
      <c r="Q36" s="4">
        <f t="shared" si="11"/>
        <v>0</v>
      </c>
      <c r="R36" s="4">
        <f t="shared" si="12"/>
        <v>4100000</v>
      </c>
      <c r="S36" s="58"/>
    </row>
    <row r="37" spans="1:19" s="14" customFormat="1" ht="24" x14ac:dyDescent="0.2">
      <c r="A37" s="1" t="s">
        <v>168</v>
      </c>
      <c r="B37" s="2" t="s">
        <v>169</v>
      </c>
      <c r="C37" s="2" t="s">
        <v>170</v>
      </c>
      <c r="D37" s="15" t="s">
        <v>171</v>
      </c>
      <c r="E37" s="4">
        <f>E39+E40</f>
        <v>20300000</v>
      </c>
      <c r="F37" s="4">
        <f t="shared" ref="F37:N37" si="18">F39+F40</f>
        <v>0</v>
      </c>
      <c r="G37" s="4">
        <f t="shared" si="18"/>
        <v>0</v>
      </c>
      <c r="H37" s="4">
        <f t="shared" si="18"/>
        <v>0</v>
      </c>
      <c r="I37" s="4">
        <f t="shared" si="18"/>
        <v>20300000</v>
      </c>
      <c r="J37" s="4">
        <f t="shared" si="18"/>
        <v>0</v>
      </c>
      <c r="K37" s="4">
        <f t="shared" si="8"/>
        <v>0</v>
      </c>
      <c r="L37" s="4">
        <f t="shared" si="18"/>
        <v>0</v>
      </c>
      <c r="M37" s="4">
        <f t="shared" si="18"/>
        <v>0</v>
      </c>
      <c r="N37" s="4">
        <f t="shared" si="18"/>
        <v>0</v>
      </c>
      <c r="O37" s="4">
        <f t="shared" si="9"/>
        <v>0</v>
      </c>
      <c r="P37" s="4">
        <f t="shared" si="10"/>
        <v>20300000</v>
      </c>
      <c r="Q37" s="4">
        <f t="shared" si="11"/>
        <v>0</v>
      </c>
      <c r="R37" s="4">
        <f t="shared" si="12"/>
        <v>20300000</v>
      </c>
      <c r="S37" s="58"/>
    </row>
    <row r="38" spans="1:19" s="14" customFormat="1" ht="12" x14ac:dyDescent="0.2">
      <c r="A38" s="1"/>
      <c r="B38" s="2"/>
      <c r="C38" s="2"/>
      <c r="D38" s="3" t="s">
        <v>180</v>
      </c>
      <c r="E38" s="4">
        <v>0</v>
      </c>
      <c r="F38" s="4"/>
      <c r="G38" s="4"/>
      <c r="H38" s="4"/>
      <c r="I38" s="4">
        <f t="shared" si="13"/>
        <v>0</v>
      </c>
      <c r="J38" s="4"/>
      <c r="K38" s="4">
        <f t="shared" si="8"/>
        <v>0</v>
      </c>
      <c r="L38" s="4"/>
      <c r="M38" s="4"/>
      <c r="N38" s="4"/>
      <c r="O38" s="4">
        <f t="shared" si="9"/>
        <v>0</v>
      </c>
      <c r="P38" s="4">
        <f t="shared" si="10"/>
        <v>0</v>
      </c>
      <c r="Q38" s="4">
        <f t="shared" si="11"/>
        <v>0</v>
      </c>
      <c r="R38" s="4">
        <f t="shared" si="12"/>
        <v>0</v>
      </c>
      <c r="S38" s="58"/>
    </row>
    <row r="39" spans="1:19" s="14" customFormat="1" ht="24" x14ac:dyDescent="0.2">
      <c r="A39" s="1"/>
      <c r="B39" s="2"/>
      <c r="C39" s="2"/>
      <c r="D39" s="15" t="s">
        <v>362</v>
      </c>
      <c r="E39" s="4">
        <v>20000000</v>
      </c>
      <c r="F39" s="4">
        <f>G39</f>
        <v>0</v>
      </c>
      <c r="G39" s="4"/>
      <c r="H39" s="4"/>
      <c r="I39" s="4">
        <f t="shared" si="13"/>
        <v>20000000</v>
      </c>
      <c r="J39" s="4"/>
      <c r="K39" s="4">
        <f t="shared" si="8"/>
        <v>0</v>
      </c>
      <c r="L39" s="4"/>
      <c r="M39" s="4"/>
      <c r="N39" s="4"/>
      <c r="O39" s="4">
        <f t="shared" si="9"/>
        <v>0</v>
      </c>
      <c r="P39" s="4">
        <f t="shared" si="10"/>
        <v>20000000</v>
      </c>
      <c r="Q39" s="4">
        <f t="shared" si="11"/>
        <v>0</v>
      </c>
      <c r="R39" s="4">
        <f t="shared" si="12"/>
        <v>20000000</v>
      </c>
      <c r="S39" s="58"/>
    </row>
    <row r="40" spans="1:19" s="14" customFormat="1" ht="24" x14ac:dyDescent="0.2">
      <c r="A40" s="1"/>
      <c r="B40" s="2"/>
      <c r="C40" s="2"/>
      <c r="D40" s="15" t="s">
        <v>172</v>
      </c>
      <c r="E40" s="4">
        <v>300000</v>
      </c>
      <c r="F40" s="4">
        <f t="shared" ref="F40:F52" si="19">G40</f>
        <v>0</v>
      </c>
      <c r="G40" s="4"/>
      <c r="H40" s="4"/>
      <c r="I40" s="4">
        <f t="shared" si="13"/>
        <v>300000</v>
      </c>
      <c r="J40" s="4"/>
      <c r="K40" s="4">
        <f t="shared" si="8"/>
        <v>0</v>
      </c>
      <c r="L40" s="4"/>
      <c r="M40" s="4"/>
      <c r="N40" s="4"/>
      <c r="O40" s="4">
        <f t="shared" si="9"/>
        <v>0</v>
      </c>
      <c r="P40" s="4">
        <f t="shared" si="10"/>
        <v>300000</v>
      </c>
      <c r="Q40" s="4">
        <f t="shared" si="11"/>
        <v>0</v>
      </c>
      <c r="R40" s="4">
        <f t="shared" si="12"/>
        <v>300000</v>
      </c>
      <c r="S40" s="58"/>
    </row>
    <row r="41" spans="1:19" s="14" customFormat="1" ht="24" x14ac:dyDescent="0.2">
      <c r="A41" s="1" t="s">
        <v>173</v>
      </c>
      <c r="B41" s="2" t="s">
        <v>174</v>
      </c>
      <c r="C41" s="2" t="s">
        <v>170</v>
      </c>
      <c r="D41" s="15" t="s">
        <v>186</v>
      </c>
      <c r="E41" s="4">
        <f>E43</f>
        <v>600000</v>
      </c>
      <c r="F41" s="4">
        <f t="shared" ref="F41:N41" si="20">F43</f>
        <v>-89897</v>
      </c>
      <c r="G41" s="4">
        <f t="shared" si="20"/>
        <v>-89897</v>
      </c>
      <c r="H41" s="4">
        <f t="shared" si="20"/>
        <v>0</v>
      </c>
      <c r="I41" s="4">
        <f t="shared" si="20"/>
        <v>510103</v>
      </c>
      <c r="J41" s="4">
        <f t="shared" si="20"/>
        <v>0</v>
      </c>
      <c r="K41" s="4">
        <f t="shared" si="8"/>
        <v>0</v>
      </c>
      <c r="L41" s="4">
        <f t="shared" si="20"/>
        <v>0</v>
      </c>
      <c r="M41" s="4">
        <f t="shared" si="20"/>
        <v>0</v>
      </c>
      <c r="N41" s="4">
        <f t="shared" si="20"/>
        <v>0</v>
      </c>
      <c r="O41" s="4">
        <f t="shared" si="9"/>
        <v>0</v>
      </c>
      <c r="P41" s="4">
        <f t="shared" si="10"/>
        <v>600000</v>
      </c>
      <c r="Q41" s="4">
        <f t="shared" si="11"/>
        <v>-89897</v>
      </c>
      <c r="R41" s="4">
        <f t="shared" si="12"/>
        <v>510103</v>
      </c>
      <c r="S41" s="58"/>
    </row>
    <row r="42" spans="1:19" s="14" customFormat="1" ht="12" x14ac:dyDescent="0.2">
      <c r="A42" s="1"/>
      <c r="B42" s="2"/>
      <c r="C42" s="2"/>
      <c r="D42" s="3" t="s">
        <v>180</v>
      </c>
      <c r="E42" s="4"/>
      <c r="F42" s="4">
        <f t="shared" si="19"/>
        <v>0</v>
      </c>
      <c r="G42" s="4"/>
      <c r="H42" s="4"/>
      <c r="I42" s="4">
        <f t="shared" si="13"/>
        <v>0</v>
      </c>
      <c r="J42" s="4">
        <v>0</v>
      </c>
      <c r="K42" s="4">
        <f t="shared" si="8"/>
        <v>0</v>
      </c>
      <c r="L42" s="4"/>
      <c r="M42" s="4"/>
      <c r="N42" s="4"/>
      <c r="O42" s="4">
        <f t="shared" si="9"/>
        <v>0</v>
      </c>
      <c r="P42" s="4">
        <f t="shared" si="10"/>
        <v>0</v>
      </c>
      <c r="Q42" s="4">
        <f t="shared" si="11"/>
        <v>0</v>
      </c>
      <c r="R42" s="4">
        <f t="shared" si="12"/>
        <v>0</v>
      </c>
      <c r="S42" s="58"/>
    </row>
    <row r="43" spans="1:19" s="14" customFormat="1" ht="36" x14ac:dyDescent="0.2">
      <c r="A43" s="1"/>
      <c r="B43" s="2"/>
      <c r="C43" s="2"/>
      <c r="D43" s="15" t="s">
        <v>318</v>
      </c>
      <c r="E43" s="4">
        <v>600000</v>
      </c>
      <c r="F43" s="4">
        <f t="shared" si="19"/>
        <v>-89897</v>
      </c>
      <c r="G43" s="4">
        <f>-29997-49900-10000</f>
        <v>-89897</v>
      </c>
      <c r="H43" s="4"/>
      <c r="I43" s="4">
        <f t="shared" si="13"/>
        <v>510103</v>
      </c>
      <c r="J43" s="4">
        <v>0</v>
      </c>
      <c r="K43" s="4">
        <f t="shared" si="8"/>
        <v>0</v>
      </c>
      <c r="L43" s="4"/>
      <c r="M43" s="4"/>
      <c r="N43" s="4"/>
      <c r="O43" s="4">
        <f t="shared" si="9"/>
        <v>0</v>
      </c>
      <c r="P43" s="4">
        <f t="shared" si="10"/>
        <v>600000</v>
      </c>
      <c r="Q43" s="4">
        <f t="shared" si="11"/>
        <v>-89897</v>
      </c>
      <c r="R43" s="4">
        <f t="shared" si="12"/>
        <v>510103</v>
      </c>
      <c r="S43" s="58"/>
    </row>
    <row r="44" spans="1:19" s="14" customFormat="1" ht="12" x14ac:dyDescent="0.2">
      <c r="A44" s="1" t="s">
        <v>178</v>
      </c>
      <c r="B44" s="2" t="s">
        <v>177</v>
      </c>
      <c r="C44" s="2" t="s">
        <v>170</v>
      </c>
      <c r="D44" s="15" t="s">
        <v>185</v>
      </c>
      <c r="E44" s="4">
        <f>E46</f>
        <v>0</v>
      </c>
      <c r="F44" s="4">
        <f t="shared" ref="F44:N44" si="21">F46</f>
        <v>56473</v>
      </c>
      <c r="G44" s="4">
        <f t="shared" si="21"/>
        <v>56473</v>
      </c>
      <c r="H44" s="4">
        <f t="shared" si="21"/>
        <v>0</v>
      </c>
      <c r="I44" s="4">
        <f t="shared" si="21"/>
        <v>56473</v>
      </c>
      <c r="J44" s="4">
        <f t="shared" si="21"/>
        <v>0</v>
      </c>
      <c r="K44" s="4">
        <f t="shared" si="8"/>
        <v>22524</v>
      </c>
      <c r="L44" s="4">
        <f t="shared" si="21"/>
        <v>22524</v>
      </c>
      <c r="M44" s="4">
        <f t="shared" si="21"/>
        <v>0</v>
      </c>
      <c r="N44" s="4">
        <f t="shared" si="21"/>
        <v>22524</v>
      </c>
      <c r="O44" s="4">
        <f t="shared" si="9"/>
        <v>22524</v>
      </c>
      <c r="P44" s="4">
        <f t="shared" si="10"/>
        <v>0</v>
      </c>
      <c r="Q44" s="4">
        <f t="shared" si="11"/>
        <v>78997</v>
      </c>
      <c r="R44" s="4">
        <f t="shared" si="12"/>
        <v>78997</v>
      </c>
      <c r="S44" s="58"/>
    </row>
    <row r="45" spans="1:19" s="14" customFormat="1" ht="12" x14ac:dyDescent="0.2">
      <c r="A45" s="1"/>
      <c r="B45" s="2"/>
      <c r="C45" s="2"/>
      <c r="D45" s="3" t="s">
        <v>180</v>
      </c>
      <c r="E45" s="4">
        <v>0</v>
      </c>
      <c r="F45" s="4">
        <f t="shared" si="19"/>
        <v>0</v>
      </c>
      <c r="G45" s="4"/>
      <c r="H45" s="4"/>
      <c r="I45" s="4">
        <f t="shared" si="13"/>
        <v>0</v>
      </c>
      <c r="J45" s="4">
        <v>0</v>
      </c>
      <c r="K45" s="4">
        <f t="shared" si="8"/>
        <v>0</v>
      </c>
      <c r="L45" s="4"/>
      <c r="M45" s="4"/>
      <c r="N45" s="4"/>
      <c r="O45" s="4">
        <f t="shared" si="9"/>
        <v>0</v>
      </c>
      <c r="P45" s="12">
        <f t="shared" si="10"/>
        <v>0</v>
      </c>
      <c r="Q45" s="4">
        <f t="shared" si="11"/>
        <v>0</v>
      </c>
      <c r="R45" s="4">
        <f t="shared" si="12"/>
        <v>0</v>
      </c>
      <c r="S45" s="58"/>
    </row>
    <row r="46" spans="1:19" s="14" customFormat="1" ht="24" x14ac:dyDescent="0.2">
      <c r="A46" s="1"/>
      <c r="B46" s="2"/>
      <c r="C46" s="2"/>
      <c r="D46" s="15" t="s">
        <v>352</v>
      </c>
      <c r="E46" s="4"/>
      <c r="F46" s="4">
        <f t="shared" si="19"/>
        <v>56473</v>
      </c>
      <c r="G46" s="4">
        <f>7473+49000</f>
        <v>56473</v>
      </c>
      <c r="H46" s="4"/>
      <c r="I46" s="4">
        <f t="shared" si="13"/>
        <v>56473</v>
      </c>
      <c r="J46" s="4"/>
      <c r="K46" s="4">
        <f t="shared" si="8"/>
        <v>22524</v>
      </c>
      <c r="L46" s="4">
        <f>22524</f>
        <v>22524</v>
      </c>
      <c r="M46" s="4"/>
      <c r="N46" s="4">
        <f>22524</f>
        <v>22524</v>
      </c>
      <c r="O46" s="4">
        <f t="shared" si="9"/>
        <v>22524</v>
      </c>
      <c r="P46" s="12">
        <f t="shared" si="10"/>
        <v>0</v>
      </c>
      <c r="Q46" s="4">
        <f t="shared" si="11"/>
        <v>78997</v>
      </c>
      <c r="R46" s="4">
        <f t="shared" si="12"/>
        <v>78997</v>
      </c>
      <c r="S46" s="58"/>
    </row>
    <row r="47" spans="1:19" s="14" customFormat="1" ht="12" x14ac:dyDescent="0.2">
      <c r="A47" s="1" t="s">
        <v>315</v>
      </c>
      <c r="B47" s="2" t="s">
        <v>316</v>
      </c>
      <c r="C47" s="2" t="s">
        <v>44</v>
      </c>
      <c r="D47" s="15" t="s">
        <v>317</v>
      </c>
      <c r="E47" s="4">
        <f>E49</f>
        <v>0</v>
      </c>
      <c r="F47" s="4">
        <f t="shared" ref="F47:N47" si="22">F49</f>
        <v>367490</v>
      </c>
      <c r="G47" s="4">
        <f t="shared" si="22"/>
        <v>367490</v>
      </c>
      <c r="H47" s="4">
        <f t="shared" si="22"/>
        <v>0</v>
      </c>
      <c r="I47" s="4">
        <f t="shared" si="22"/>
        <v>367490</v>
      </c>
      <c r="J47" s="4">
        <f t="shared" si="22"/>
        <v>0</v>
      </c>
      <c r="K47" s="4">
        <f t="shared" si="8"/>
        <v>0</v>
      </c>
      <c r="L47" s="4">
        <f t="shared" si="22"/>
        <v>0</v>
      </c>
      <c r="M47" s="4">
        <f t="shared" si="22"/>
        <v>0</v>
      </c>
      <c r="N47" s="4">
        <f t="shared" si="22"/>
        <v>0</v>
      </c>
      <c r="O47" s="4">
        <f t="shared" si="9"/>
        <v>0</v>
      </c>
      <c r="P47" s="4">
        <f t="shared" si="10"/>
        <v>0</v>
      </c>
      <c r="Q47" s="4">
        <f t="shared" si="11"/>
        <v>367490</v>
      </c>
      <c r="R47" s="4">
        <f t="shared" si="12"/>
        <v>367490</v>
      </c>
      <c r="S47" s="58"/>
    </row>
    <row r="48" spans="1:19" s="14" customFormat="1" ht="12" x14ac:dyDescent="0.2">
      <c r="A48" s="1"/>
      <c r="B48" s="2"/>
      <c r="C48" s="2"/>
      <c r="D48" s="3" t="s">
        <v>180</v>
      </c>
      <c r="E48" s="4">
        <v>0</v>
      </c>
      <c r="F48" s="4">
        <f t="shared" si="19"/>
        <v>0</v>
      </c>
      <c r="G48" s="4"/>
      <c r="H48" s="4"/>
      <c r="I48" s="4">
        <f t="shared" si="13"/>
        <v>0</v>
      </c>
      <c r="J48" s="4"/>
      <c r="K48" s="4">
        <f t="shared" si="8"/>
        <v>0</v>
      </c>
      <c r="L48" s="4"/>
      <c r="M48" s="4"/>
      <c r="N48" s="4"/>
      <c r="O48" s="4">
        <f t="shared" si="9"/>
        <v>0</v>
      </c>
      <c r="P48" s="4">
        <f t="shared" si="10"/>
        <v>0</v>
      </c>
      <c r="Q48" s="4">
        <f t="shared" si="11"/>
        <v>0</v>
      </c>
      <c r="R48" s="4">
        <f t="shared" si="12"/>
        <v>0</v>
      </c>
      <c r="S48" s="58"/>
    </row>
    <row r="49" spans="1:20" s="14" customFormat="1" ht="46.5" customHeight="1" x14ac:dyDescent="0.2">
      <c r="A49" s="1"/>
      <c r="B49" s="2"/>
      <c r="C49" s="2"/>
      <c r="D49" s="15" t="s">
        <v>350</v>
      </c>
      <c r="E49" s="4"/>
      <c r="F49" s="4">
        <f t="shared" si="19"/>
        <v>367490</v>
      </c>
      <c r="G49" s="4">
        <f>367490</f>
        <v>367490</v>
      </c>
      <c r="H49" s="4"/>
      <c r="I49" s="4">
        <f t="shared" si="13"/>
        <v>367490</v>
      </c>
      <c r="J49" s="4"/>
      <c r="K49" s="4">
        <f t="shared" si="8"/>
        <v>0</v>
      </c>
      <c r="L49" s="4"/>
      <c r="M49" s="4"/>
      <c r="N49" s="4"/>
      <c r="O49" s="4">
        <f t="shared" si="9"/>
        <v>0</v>
      </c>
      <c r="P49" s="4">
        <f t="shared" si="10"/>
        <v>0</v>
      </c>
      <c r="Q49" s="4">
        <f t="shared" si="11"/>
        <v>367490</v>
      </c>
      <c r="R49" s="4">
        <f t="shared" si="12"/>
        <v>367490</v>
      </c>
      <c r="S49" s="58"/>
    </row>
    <row r="50" spans="1:20" s="14" customFormat="1" ht="48" x14ac:dyDescent="0.2">
      <c r="A50" s="1" t="s">
        <v>531</v>
      </c>
      <c r="B50" s="2" t="s">
        <v>533</v>
      </c>
      <c r="C50" s="2" t="s">
        <v>532</v>
      </c>
      <c r="D50" s="15" t="s">
        <v>534</v>
      </c>
      <c r="E50" s="4">
        <f>38000</f>
        <v>38000</v>
      </c>
      <c r="F50" s="4">
        <f t="shared" si="19"/>
        <v>0</v>
      </c>
      <c r="G50" s="4"/>
      <c r="H50" s="4"/>
      <c r="I50" s="4">
        <f t="shared" si="13"/>
        <v>38000</v>
      </c>
      <c r="J50" s="4"/>
      <c r="K50" s="4"/>
      <c r="L50" s="4"/>
      <c r="M50" s="4"/>
      <c r="N50" s="4"/>
      <c r="O50" s="4"/>
      <c r="P50" s="4">
        <f t="shared" ref="P50:P51" si="23">E50+J50</f>
        <v>38000</v>
      </c>
      <c r="Q50" s="4">
        <f t="shared" ref="Q50:Q51" si="24">F50+K50</f>
        <v>0</v>
      </c>
      <c r="R50" s="4">
        <f t="shared" ref="R50:R51" si="25">I50+O50</f>
        <v>38000</v>
      </c>
      <c r="S50" s="58"/>
    </row>
    <row r="51" spans="1:20" s="14" customFormat="1" ht="36" x14ac:dyDescent="0.2">
      <c r="A51" s="1" t="s">
        <v>535</v>
      </c>
      <c r="B51" s="2" t="s">
        <v>488</v>
      </c>
      <c r="C51" s="2" t="s">
        <v>489</v>
      </c>
      <c r="D51" s="15" t="s">
        <v>490</v>
      </c>
      <c r="E51" s="4">
        <f>25000</f>
        <v>25000</v>
      </c>
      <c r="F51" s="4">
        <f t="shared" si="19"/>
        <v>0</v>
      </c>
      <c r="G51" s="4"/>
      <c r="H51" s="4"/>
      <c r="I51" s="4">
        <f t="shared" si="13"/>
        <v>25000</v>
      </c>
      <c r="J51" s="4"/>
      <c r="K51" s="4"/>
      <c r="L51" s="4"/>
      <c r="M51" s="4"/>
      <c r="N51" s="4"/>
      <c r="O51" s="4"/>
      <c r="P51" s="4">
        <f t="shared" si="23"/>
        <v>25000</v>
      </c>
      <c r="Q51" s="4">
        <f t="shared" si="24"/>
        <v>0</v>
      </c>
      <c r="R51" s="4">
        <f t="shared" si="25"/>
        <v>25000</v>
      </c>
      <c r="S51" s="58"/>
    </row>
    <row r="52" spans="1:20" s="14" customFormat="1" ht="24" x14ac:dyDescent="0.2">
      <c r="A52" s="1" t="s">
        <v>363</v>
      </c>
      <c r="B52" s="2" t="s">
        <v>364</v>
      </c>
      <c r="C52" s="2" t="s">
        <v>13</v>
      </c>
      <c r="D52" s="15" t="s">
        <v>365</v>
      </c>
      <c r="E52" s="4">
        <f>49000+80000+40000</f>
        <v>169000</v>
      </c>
      <c r="F52" s="4">
        <f t="shared" si="19"/>
        <v>0</v>
      </c>
      <c r="G52" s="4"/>
      <c r="H52" s="4"/>
      <c r="I52" s="4">
        <f t="shared" si="13"/>
        <v>169000</v>
      </c>
      <c r="J52" s="4"/>
      <c r="K52" s="4">
        <f t="shared" si="8"/>
        <v>0</v>
      </c>
      <c r="L52" s="4"/>
      <c r="M52" s="4"/>
      <c r="N52" s="4"/>
      <c r="O52" s="4">
        <f t="shared" si="9"/>
        <v>0</v>
      </c>
      <c r="P52" s="4">
        <f t="shared" si="10"/>
        <v>169000</v>
      </c>
      <c r="Q52" s="4">
        <f t="shared" si="11"/>
        <v>0</v>
      </c>
      <c r="R52" s="4">
        <f t="shared" si="12"/>
        <v>169000</v>
      </c>
      <c r="S52" s="58"/>
    </row>
    <row r="53" spans="1:20" s="13" customFormat="1" ht="24" x14ac:dyDescent="0.2">
      <c r="A53" s="16" t="s">
        <v>106</v>
      </c>
      <c r="B53" s="10"/>
      <c r="C53" s="10"/>
      <c r="D53" s="17" t="s">
        <v>327</v>
      </c>
      <c r="E53" s="12">
        <f t="shared" ref="E53:F53" si="26">E55+E56+E59+E60+E63+E68+E69+E72+E73+E74+E79+E83+E84+E86+E87+E88+E90+E66+E85</f>
        <v>1458217700</v>
      </c>
      <c r="F53" s="12">
        <f t="shared" si="26"/>
        <v>6808921.0999999996</v>
      </c>
      <c r="G53" s="12">
        <f>G55+G56+G59+G60+G63+G68+G69+G72+G73+G74+G79+G83+G84+G86+G87+G88+G90+G66+G85</f>
        <v>6808921.0999999996</v>
      </c>
      <c r="H53" s="12">
        <f t="shared" ref="H53:I53" si="27">H55+H56+H59+H60+H63+H68+H69+H72+H73+H74+H79+H83+H84+H86+H87+H88+H90+H66+H85</f>
        <v>0</v>
      </c>
      <c r="I53" s="12">
        <f t="shared" si="27"/>
        <v>1465026621.1000001</v>
      </c>
      <c r="J53" s="12">
        <f t="shared" ref="J53" si="28">J55+J56+J59+J60+J63+J68+J69+J72+J73+J74+J79+J83+J84+J86+J87+J88+J90+J66+J85+J91+J89</f>
        <v>38775700</v>
      </c>
      <c r="K53" s="12">
        <f>K55+K56+K59+K60+K63+K68+K69+K72+K73+K74+K79+K83+K84+K86+K87+K88+K90+K66+K85+K91+K89</f>
        <v>8988529</v>
      </c>
      <c r="L53" s="12">
        <f t="shared" ref="L53:N53" si="29">L55+L56+L59+L60+L63+L68+L69+L72+L73+L74+L79+L83+L84+L86+L87+L88+L90+L66+L85+L91+L89</f>
        <v>8703529</v>
      </c>
      <c r="M53" s="12">
        <f t="shared" si="29"/>
        <v>0</v>
      </c>
      <c r="N53" s="12">
        <f t="shared" si="29"/>
        <v>8988529</v>
      </c>
      <c r="O53" s="12">
        <f>O55+O56+O59+O60+O63+O68+O69+O72+O73+O74+O79+O83+O84+O86+O87+O88+O90+O66+O85+O91+O89</f>
        <v>47764229</v>
      </c>
      <c r="P53" s="12">
        <f>P55+P56+P59+P60+P63+P68+P69+P72+P73+P74+P79+P83+P84+P86+P87+P88+P90+P66+P85+P91+P89</f>
        <v>1496993400</v>
      </c>
      <c r="Q53" s="12">
        <f>Q55+Q56+Q59+Q60+Q63+Q68+Q69+Q72+Q73+Q74+Q79+Q83+Q84+Q86+Q87+Q88+Q90+Q66+Q85+Q91+Q89</f>
        <v>15797450.1</v>
      </c>
      <c r="R53" s="12">
        <f>R55+R56+R59+R60+R63+R68+R69+R72+R73+R74+R79+R83+R84+R86+R87+R88+R90+R66+R85+R91+R89</f>
        <v>1512790850.1000001</v>
      </c>
      <c r="S53" s="58"/>
    </row>
    <row r="54" spans="1:20" s="13" customFormat="1" ht="24" x14ac:dyDescent="0.2">
      <c r="A54" s="16" t="s">
        <v>135</v>
      </c>
      <c r="B54" s="10"/>
      <c r="C54" s="10"/>
      <c r="D54" s="17" t="s">
        <v>327</v>
      </c>
      <c r="E54" s="12"/>
      <c r="F54" s="12"/>
      <c r="G54" s="12"/>
      <c r="H54" s="12"/>
      <c r="I54" s="12">
        <f t="shared" ref="I54:I90" si="30">E54+F54</f>
        <v>0</v>
      </c>
      <c r="J54" s="4"/>
      <c r="K54" s="4"/>
      <c r="L54" s="12"/>
      <c r="M54" s="12"/>
      <c r="N54" s="12"/>
      <c r="O54" s="12"/>
      <c r="P54" s="12">
        <f t="shared" si="3"/>
        <v>0</v>
      </c>
      <c r="Q54" s="4">
        <f t="shared" si="4"/>
        <v>0</v>
      </c>
      <c r="R54" s="4">
        <f t="shared" si="5"/>
        <v>0</v>
      </c>
      <c r="S54" s="58"/>
    </row>
    <row r="55" spans="1:20" s="14" customFormat="1" ht="24" x14ac:dyDescent="0.2">
      <c r="A55" s="1" t="s">
        <v>136</v>
      </c>
      <c r="B55" s="2" t="s">
        <v>59</v>
      </c>
      <c r="C55" s="2" t="s">
        <v>21</v>
      </c>
      <c r="D55" s="3" t="s">
        <v>368</v>
      </c>
      <c r="E55" s="4">
        <v>5194000</v>
      </c>
      <c r="F55" s="4">
        <f t="shared" ref="F55:F90" si="31">G55</f>
        <v>0</v>
      </c>
      <c r="G55" s="4"/>
      <c r="H55" s="4"/>
      <c r="I55" s="4">
        <f>E55+F55</f>
        <v>5194000</v>
      </c>
      <c r="J55" s="4">
        <v>0</v>
      </c>
      <c r="K55" s="4">
        <f t="shared" ref="K55:K91" si="32">M55+N55</f>
        <v>0</v>
      </c>
      <c r="L55" s="4"/>
      <c r="M55" s="4"/>
      <c r="N55" s="4"/>
      <c r="O55" s="4">
        <f t="shared" ref="O55:O91" si="33">J55+K55</f>
        <v>0</v>
      </c>
      <c r="P55" s="4">
        <f t="shared" ref="P55:P91" si="34">E55+J55</f>
        <v>5194000</v>
      </c>
      <c r="Q55" s="4">
        <f t="shared" ref="Q55:Q91" si="35">F55+K55</f>
        <v>0</v>
      </c>
      <c r="R55" s="4">
        <f t="shared" ref="R55:R91" si="36">I55+O55</f>
        <v>5194000</v>
      </c>
      <c r="S55" s="58"/>
    </row>
    <row r="56" spans="1:20" s="14" customFormat="1" ht="12" x14ac:dyDescent="0.2">
      <c r="A56" s="1" t="s">
        <v>369</v>
      </c>
      <c r="B56" s="2" t="s">
        <v>10</v>
      </c>
      <c r="C56" s="2" t="s">
        <v>13</v>
      </c>
      <c r="D56" s="3" t="s">
        <v>165</v>
      </c>
      <c r="E56" s="4"/>
      <c r="F56" s="4">
        <f t="shared" si="31"/>
        <v>7068194.2000000002</v>
      </c>
      <c r="G56" s="4">
        <f>10000+6909100+149094.2</f>
        <v>7068194.2000000002</v>
      </c>
      <c r="H56" s="4"/>
      <c r="I56" s="4">
        <f t="shared" si="30"/>
        <v>7068194.2000000002</v>
      </c>
      <c r="J56" s="4"/>
      <c r="K56" s="4">
        <f t="shared" si="32"/>
        <v>0</v>
      </c>
      <c r="L56" s="4"/>
      <c r="M56" s="4"/>
      <c r="N56" s="4"/>
      <c r="O56" s="4">
        <f t="shared" si="33"/>
        <v>0</v>
      </c>
      <c r="P56" s="4">
        <f t="shared" si="34"/>
        <v>0</v>
      </c>
      <c r="Q56" s="4">
        <f t="shared" si="35"/>
        <v>7068194.2000000002</v>
      </c>
      <c r="R56" s="4">
        <f t="shared" si="36"/>
        <v>7068194.2000000002</v>
      </c>
      <c r="S56" s="58"/>
      <c r="T56" s="19"/>
    </row>
    <row r="57" spans="1:20" s="14" customFormat="1" ht="12" x14ac:dyDescent="0.2">
      <c r="A57" s="1"/>
      <c r="B57" s="2"/>
      <c r="C57" s="2"/>
      <c r="D57" s="3" t="s">
        <v>180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>
        <f t="shared" si="34"/>
        <v>0</v>
      </c>
      <c r="Q57" s="4">
        <f t="shared" si="35"/>
        <v>0</v>
      </c>
      <c r="R57" s="4">
        <f t="shared" si="36"/>
        <v>0</v>
      </c>
      <c r="S57" s="58"/>
      <c r="T57" s="19"/>
    </row>
    <row r="58" spans="1:20" s="14" customFormat="1" ht="48" x14ac:dyDescent="0.2">
      <c r="A58" s="1"/>
      <c r="B58" s="2"/>
      <c r="C58" s="2"/>
      <c r="D58" s="3" t="s">
        <v>474</v>
      </c>
      <c r="E58" s="4"/>
      <c r="F58" s="4">
        <f t="shared" si="31"/>
        <v>7068194</v>
      </c>
      <c r="G58" s="4">
        <v>7068194</v>
      </c>
      <c r="H58" s="4"/>
      <c r="I58" s="4">
        <f t="shared" si="30"/>
        <v>7068194</v>
      </c>
      <c r="J58" s="4"/>
      <c r="K58" s="4"/>
      <c r="L58" s="4"/>
      <c r="M58" s="4"/>
      <c r="N58" s="4"/>
      <c r="O58" s="4"/>
      <c r="P58" s="4">
        <f t="shared" si="34"/>
        <v>0</v>
      </c>
      <c r="Q58" s="4">
        <f t="shared" si="35"/>
        <v>7068194</v>
      </c>
      <c r="R58" s="4">
        <f t="shared" si="36"/>
        <v>7068194</v>
      </c>
      <c r="S58" s="58"/>
      <c r="T58" s="19"/>
    </row>
    <row r="59" spans="1:20" s="14" customFormat="1" ht="12" x14ac:dyDescent="0.2">
      <c r="A59" s="1" t="s">
        <v>137</v>
      </c>
      <c r="B59" s="2">
        <v>1010</v>
      </c>
      <c r="C59" s="2" t="s">
        <v>28</v>
      </c>
      <c r="D59" s="3" t="s">
        <v>79</v>
      </c>
      <c r="E59" s="4">
        <v>339775800</v>
      </c>
      <c r="F59" s="4">
        <f t="shared" si="31"/>
        <v>-190041</v>
      </c>
      <c r="G59" s="4">
        <f>99491+151199-290000+16000+11999-149094+343760+400000-771600+55004-56800</f>
        <v>-190041</v>
      </c>
      <c r="H59" s="4"/>
      <c r="I59" s="4">
        <f t="shared" si="30"/>
        <v>339585759</v>
      </c>
      <c r="J59" s="4">
        <v>14808100</v>
      </c>
      <c r="K59" s="4">
        <f t="shared" si="32"/>
        <v>703000</v>
      </c>
      <c r="L59" s="4">
        <f>703000</f>
        <v>703000</v>
      </c>
      <c r="M59" s="4"/>
      <c r="N59" s="4">
        <f>703000</f>
        <v>703000</v>
      </c>
      <c r="O59" s="4">
        <f t="shared" si="33"/>
        <v>15511100</v>
      </c>
      <c r="P59" s="4">
        <f t="shared" si="34"/>
        <v>354583900</v>
      </c>
      <c r="Q59" s="4">
        <f t="shared" si="35"/>
        <v>512959</v>
      </c>
      <c r="R59" s="4">
        <f t="shared" si="36"/>
        <v>355096859</v>
      </c>
      <c r="S59" s="58"/>
      <c r="T59" s="19"/>
    </row>
    <row r="60" spans="1:20" s="14" customFormat="1" ht="24" x14ac:dyDescent="0.2">
      <c r="A60" s="1" t="s">
        <v>138</v>
      </c>
      <c r="B60" s="2">
        <v>1020</v>
      </c>
      <c r="C60" s="2"/>
      <c r="D60" s="3" t="s">
        <v>370</v>
      </c>
      <c r="E60" s="4">
        <f>E61+E62</f>
        <v>262687100</v>
      </c>
      <c r="F60" s="4">
        <f t="shared" ref="F60:O60" si="37">F61+F62</f>
        <v>-4235858</v>
      </c>
      <c r="G60" s="4">
        <f t="shared" si="37"/>
        <v>-4235858</v>
      </c>
      <c r="H60" s="4">
        <f t="shared" si="37"/>
        <v>0</v>
      </c>
      <c r="I60" s="4">
        <f t="shared" si="37"/>
        <v>258451242</v>
      </c>
      <c r="J60" s="4">
        <f>J61+J62</f>
        <v>2310300</v>
      </c>
      <c r="K60" s="4">
        <f t="shared" si="37"/>
        <v>1862600</v>
      </c>
      <c r="L60" s="4">
        <f t="shared" si="37"/>
        <v>1862600</v>
      </c>
      <c r="M60" s="4">
        <f t="shared" si="37"/>
        <v>0</v>
      </c>
      <c r="N60" s="4">
        <f t="shared" si="37"/>
        <v>1862600</v>
      </c>
      <c r="O60" s="4">
        <f t="shared" si="37"/>
        <v>4172900</v>
      </c>
      <c r="P60" s="4">
        <f t="shared" si="34"/>
        <v>264997400</v>
      </c>
      <c r="Q60" s="4">
        <f t="shared" si="35"/>
        <v>-2373258</v>
      </c>
      <c r="R60" s="4">
        <f t="shared" si="36"/>
        <v>262624142</v>
      </c>
      <c r="S60" s="58"/>
      <c r="T60" s="19"/>
    </row>
    <row r="61" spans="1:20" s="14" customFormat="1" ht="24" x14ac:dyDescent="0.2">
      <c r="A61" s="1" t="s">
        <v>371</v>
      </c>
      <c r="B61" s="2">
        <v>1021</v>
      </c>
      <c r="C61" s="2" t="s">
        <v>29</v>
      </c>
      <c r="D61" s="3" t="s">
        <v>372</v>
      </c>
      <c r="E61" s="4">
        <v>250197900</v>
      </c>
      <c r="F61" s="4">
        <f t="shared" si="31"/>
        <v>-4251857</v>
      </c>
      <c r="G61" s="4">
        <f>-10000+211737+343975-6909100+290000+141926+71256+34290+25000+114864+49900+771600+538196+30614+31100+12785</f>
        <v>-4251857</v>
      </c>
      <c r="H61" s="4"/>
      <c r="I61" s="4">
        <f t="shared" si="30"/>
        <v>245946043</v>
      </c>
      <c r="J61" s="4">
        <v>2310300</v>
      </c>
      <c r="K61" s="4">
        <f t="shared" si="32"/>
        <v>1862600</v>
      </c>
      <c r="L61" s="4">
        <f>1487600+375000</f>
        <v>1862600</v>
      </c>
      <c r="M61" s="4"/>
      <c r="N61" s="4">
        <f>1487600+375000</f>
        <v>1862600</v>
      </c>
      <c r="O61" s="4">
        <f t="shared" si="33"/>
        <v>4172900</v>
      </c>
      <c r="P61" s="4">
        <f t="shared" si="34"/>
        <v>252508200</v>
      </c>
      <c r="Q61" s="4">
        <f t="shared" si="35"/>
        <v>-2389257</v>
      </c>
      <c r="R61" s="4">
        <f t="shared" si="36"/>
        <v>250118943</v>
      </c>
      <c r="S61" s="58"/>
      <c r="T61" s="19"/>
    </row>
    <row r="62" spans="1:20" s="14" customFormat="1" ht="48" x14ac:dyDescent="0.2">
      <c r="A62" s="1" t="s">
        <v>373</v>
      </c>
      <c r="B62" s="2" t="s">
        <v>374</v>
      </c>
      <c r="C62" s="2" t="s">
        <v>30</v>
      </c>
      <c r="D62" s="65" t="s">
        <v>375</v>
      </c>
      <c r="E62" s="4">
        <v>12489200</v>
      </c>
      <c r="F62" s="4">
        <f t="shared" si="31"/>
        <v>15999</v>
      </c>
      <c r="G62" s="4">
        <f>15999</f>
        <v>15999</v>
      </c>
      <c r="H62" s="4"/>
      <c r="I62" s="4">
        <f t="shared" si="30"/>
        <v>12505199</v>
      </c>
      <c r="J62" s="4"/>
      <c r="K62" s="4">
        <f t="shared" si="32"/>
        <v>0</v>
      </c>
      <c r="L62" s="4"/>
      <c r="M62" s="4"/>
      <c r="N62" s="4"/>
      <c r="O62" s="4">
        <f t="shared" si="33"/>
        <v>0</v>
      </c>
      <c r="P62" s="4">
        <f t="shared" si="34"/>
        <v>12489200</v>
      </c>
      <c r="Q62" s="4">
        <f t="shared" si="35"/>
        <v>15999</v>
      </c>
      <c r="R62" s="4">
        <f t="shared" si="36"/>
        <v>12505199</v>
      </c>
      <c r="S62" s="58"/>
      <c r="T62" s="19"/>
    </row>
    <row r="63" spans="1:20" s="14" customFormat="1" ht="24" x14ac:dyDescent="0.2">
      <c r="A63" s="1" t="s">
        <v>376</v>
      </c>
      <c r="B63" s="2" t="s">
        <v>45</v>
      </c>
      <c r="C63" s="2"/>
      <c r="D63" s="3" t="s">
        <v>377</v>
      </c>
      <c r="E63" s="4">
        <f>E64+E65</f>
        <v>548539700</v>
      </c>
      <c r="F63" s="4">
        <f t="shared" ref="F63:O63" si="38">F64+F65</f>
        <v>0</v>
      </c>
      <c r="G63" s="4">
        <f t="shared" si="38"/>
        <v>0</v>
      </c>
      <c r="H63" s="4">
        <f t="shared" si="38"/>
        <v>0</v>
      </c>
      <c r="I63" s="4">
        <f t="shared" si="38"/>
        <v>548539700</v>
      </c>
      <c r="J63" s="4">
        <f t="shared" si="38"/>
        <v>0</v>
      </c>
      <c r="K63" s="4">
        <f t="shared" si="38"/>
        <v>0</v>
      </c>
      <c r="L63" s="4">
        <f t="shared" si="38"/>
        <v>0</v>
      </c>
      <c r="M63" s="4">
        <f t="shared" si="38"/>
        <v>0</v>
      </c>
      <c r="N63" s="4">
        <f t="shared" si="38"/>
        <v>0</v>
      </c>
      <c r="O63" s="4">
        <f t="shared" si="38"/>
        <v>0</v>
      </c>
      <c r="P63" s="4">
        <f t="shared" si="34"/>
        <v>548539700</v>
      </c>
      <c r="Q63" s="4">
        <f t="shared" si="35"/>
        <v>0</v>
      </c>
      <c r="R63" s="4">
        <f t="shared" si="36"/>
        <v>548539700</v>
      </c>
      <c r="S63" s="58"/>
      <c r="T63" s="19"/>
    </row>
    <row r="64" spans="1:20" s="14" customFormat="1" ht="24" x14ac:dyDescent="0.2">
      <c r="A64" s="1" t="s">
        <v>378</v>
      </c>
      <c r="B64" s="2" t="s">
        <v>379</v>
      </c>
      <c r="C64" s="2" t="s">
        <v>29</v>
      </c>
      <c r="D64" s="3" t="s">
        <v>372</v>
      </c>
      <c r="E64" s="4">
        <v>533387700</v>
      </c>
      <c r="F64" s="4">
        <f t="shared" si="31"/>
        <v>0</v>
      </c>
      <c r="G64" s="4"/>
      <c r="H64" s="4"/>
      <c r="I64" s="4">
        <f t="shared" si="30"/>
        <v>533387700</v>
      </c>
      <c r="J64" s="4"/>
      <c r="K64" s="4">
        <f t="shared" si="32"/>
        <v>0</v>
      </c>
      <c r="L64" s="4"/>
      <c r="M64" s="4"/>
      <c r="N64" s="4"/>
      <c r="O64" s="4">
        <f t="shared" si="33"/>
        <v>0</v>
      </c>
      <c r="P64" s="4">
        <f t="shared" si="34"/>
        <v>533387700</v>
      </c>
      <c r="Q64" s="4">
        <f t="shared" si="35"/>
        <v>0</v>
      </c>
      <c r="R64" s="4">
        <f t="shared" si="36"/>
        <v>533387700</v>
      </c>
      <c r="S64" s="58"/>
      <c r="T64" s="20"/>
    </row>
    <row r="65" spans="1:21" s="14" customFormat="1" ht="48" x14ac:dyDescent="0.2">
      <c r="A65" s="1" t="s">
        <v>523</v>
      </c>
      <c r="B65" s="2" t="s">
        <v>380</v>
      </c>
      <c r="C65" s="2" t="s">
        <v>30</v>
      </c>
      <c r="D65" s="65" t="s">
        <v>375</v>
      </c>
      <c r="E65" s="4">
        <v>15152000</v>
      </c>
      <c r="F65" s="4">
        <f t="shared" si="31"/>
        <v>0</v>
      </c>
      <c r="G65" s="4"/>
      <c r="H65" s="4"/>
      <c r="I65" s="4">
        <f t="shared" si="30"/>
        <v>15152000</v>
      </c>
      <c r="J65" s="4">
        <v>0</v>
      </c>
      <c r="K65" s="4">
        <f t="shared" si="32"/>
        <v>0</v>
      </c>
      <c r="L65" s="4"/>
      <c r="M65" s="4"/>
      <c r="N65" s="4"/>
      <c r="O65" s="4">
        <f t="shared" si="33"/>
        <v>0</v>
      </c>
      <c r="P65" s="4">
        <f t="shared" si="34"/>
        <v>15152000</v>
      </c>
      <c r="Q65" s="4">
        <f t="shared" si="35"/>
        <v>0</v>
      </c>
      <c r="R65" s="4">
        <f t="shared" si="36"/>
        <v>15152000</v>
      </c>
      <c r="S65" s="58"/>
    </row>
    <row r="66" spans="1:21" s="14" customFormat="1" ht="60" x14ac:dyDescent="0.2">
      <c r="A66" s="1" t="s">
        <v>466</v>
      </c>
      <c r="B66" s="2" t="s">
        <v>34</v>
      </c>
      <c r="C66" s="2"/>
      <c r="D66" s="65" t="s">
        <v>467</v>
      </c>
      <c r="E66" s="4"/>
      <c r="F66" s="4">
        <f>G66</f>
        <v>2565924.9</v>
      </c>
      <c r="G66" s="4">
        <f>1230734.9+1335190</f>
        <v>2565924.9</v>
      </c>
      <c r="H66" s="4"/>
      <c r="I66" s="4">
        <f t="shared" si="30"/>
        <v>2565924.9</v>
      </c>
      <c r="J66" s="4"/>
      <c r="K66" s="4">
        <f>M66+N66</f>
        <v>227371</v>
      </c>
      <c r="L66" s="4">
        <f>227371</f>
        <v>227371</v>
      </c>
      <c r="M66" s="4"/>
      <c r="N66" s="4">
        <f>227371</f>
        <v>227371</v>
      </c>
      <c r="O66" s="4">
        <f t="shared" si="33"/>
        <v>227371</v>
      </c>
      <c r="P66" s="4">
        <f t="shared" si="34"/>
        <v>0</v>
      </c>
      <c r="Q66" s="4">
        <f t="shared" si="35"/>
        <v>2793295.9</v>
      </c>
      <c r="R66" s="4">
        <f t="shared" si="36"/>
        <v>2793295.9</v>
      </c>
      <c r="S66" s="58"/>
    </row>
    <row r="67" spans="1:21" s="14" customFormat="1" ht="24" x14ac:dyDescent="0.2">
      <c r="A67" s="1" t="s">
        <v>464</v>
      </c>
      <c r="B67" s="2" t="s">
        <v>465</v>
      </c>
      <c r="C67" s="2" t="s">
        <v>29</v>
      </c>
      <c r="D67" s="65" t="s">
        <v>372</v>
      </c>
      <c r="E67" s="4"/>
      <c r="F67" s="4">
        <f>G67</f>
        <v>2565924.9</v>
      </c>
      <c r="G67" s="4">
        <f>1230734.9+1335190</f>
        <v>2565924.9</v>
      </c>
      <c r="H67" s="4"/>
      <c r="I67" s="4">
        <f t="shared" si="30"/>
        <v>2565924.9</v>
      </c>
      <c r="J67" s="4"/>
      <c r="K67" s="4">
        <f>M67+N67</f>
        <v>227371</v>
      </c>
      <c r="L67" s="4">
        <f>227371</f>
        <v>227371</v>
      </c>
      <c r="M67" s="4"/>
      <c r="N67" s="4">
        <f>227371</f>
        <v>227371</v>
      </c>
      <c r="O67" s="4">
        <f t="shared" si="33"/>
        <v>227371</v>
      </c>
      <c r="P67" s="4">
        <f t="shared" si="34"/>
        <v>0</v>
      </c>
      <c r="Q67" s="4">
        <f t="shared" si="35"/>
        <v>2793295.9</v>
      </c>
      <c r="R67" s="4">
        <f t="shared" si="36"/>
        <v>2793295.9</v>
      </c>
      <c r="S67" s="58"/>
    </row>
    <row r="68" spans="1:21" s="14" customFormat="1" ht="24" x14ac:dyDescent="0.2">
      <c r="A68" s="1" t="s">
        <v>139</v>
      </c>
      <c r="B68" s="2" t="s">
        <v>22</v>
      </c>
      <c r="C68" s="2" t="s">
        <v>31</v>
      </c>
      <c r="D68" s="65" t="s">
        <v>381</v>
      </c>
      <c r="E68" s="4">
        <v>32772800</v>
      </c>
      <c r="F68" s="4">
        <f t="shared" si="31"/>
        <v>-25000</v>
      </c>
      <c r="G68" s="4">
        <f>20000-25000-20000</f>
        <v>-25000</v>
      </c>
      <c r="H68" s="4"/>
      <c r="I68" s="4">
        <f t="shared" si="30"/>
        <v>32747800</v>
      </c>
      <c r="J68" s="4">
        <v>4112700</v>
      </c>
      <c r="K68" s="4">
        <f t="shared" si="32"/>
        <v>24000</v>
      </c>
      <c r="L68" s="4">
        <f>24000</f>
        <v>24000</v>
      </c>
      <c r="M68" s="4"/>
      <c r="N68" s="4">
        <f>24000</f>
        <v>24000</v>
      </c>
      <c r="O68" s="4">
        <f t="shared" si="33"/>
        <v>4136700</v>
      </c>
      <c r="P68" s="4">
        <f t="shared" si="34"/>
        <v>36885500</v>
      </c>
      <c r="Q68" s="4">
        <f t="shared" si="35"/>
        <v>-1000</v>
      </c>
      <c r="R68" s="4">
        <f t="shared" si="36"/>
        <v>36884500</v>
      </c>
      <c r="S68" s="58"/>
    </row>
    <row r="69" spans="1:21" s="14" customFormat="1" ht="36" x14ac:dyDescent="0.2">
      <c r="A69" s="1" t="s">
        <v>140</v>
      </c>
      <c r="B69" s="2" t="s">
        <v>49</v>
      </c>
      <c r="C69" s="2"/>
      <c r="D69" s="65" t="s">
        <v>382</v>
      </c>
      <c r="E69" s="4">
        <f>E70+E71</f>
        <v>181883300</v>
      </c>
      <c r="F69" s="4">
        <f t="shared" ref="F69:O69" si="39">F70+F71</f>
        <v>0</v>
      </c>
      <c r="G69" s="4">
        <f t="shared" si="39"/>
        <v>0</v>
      </c>
      <c r="H69" s="4">
        <f t="shared" si="39"/>
        <v>0</v>
      </c>
      <c r="I69" s="4">
        <f t="shared" si="39"/>
        <v>181883300</v>
      </c>
      <c r="J69" s="4">
        <f t="shared" si="39"/>
        <v>13896200</v>
      </c>
      <c r="K69" s="4">
        <f t="shared" si="39"/>
        <v>0</v>
      </c>
      <c r="L69" s="4">
        <f t="shared" si="39"/>
        <v>0</v>
      </c>
      <c r="M69" s="4">
        <f t="shared" si="39"/>
        <v>0</v>
      </c>
      <c r="N69" s="4">
        <f t="shared" si="39"/>
        <v>0</v>
      </c>
      <c r="O69" s="4">
        <f t="shared" si="39"/>
        <v>13896200</v>
      </c>
      <c r="P69" s="4">
        <f t="shared" si="34"/>
        <v>195779500</v>
      </c>
      <c r="Q69" s="4">
        <f t="shared" si="35"/>
        <v>0</v>
      </c>
      <c r="R69" s="4">
        <f t="shared" si="36"/>
        <v>195779500</v>
      </c>
      <c r="S69" s="58"/>
    </row>
    <row r="70" spans="1:21" s="14" customFormat="1" ht="36" x14ac:dyDescent="0.2">
      <c r="A70" s="1" t="s">
        <v>383</v>
      </c>
      <c r="B70" s="2" t="s">
        <v>384</v>
      </c>
      <c r="C70" s="2" t="s">
        <v>14</v>
      </c>
      <c r="D70" s="65" t="s">
        <v>385</v>
      </c>
      <c r="E70" s="4">
        <v>155431400</v>
      </c>
      <c r="F70" s="4">
        <f t="shared" si="31"/>
        <v>0</v>
      </c>
      <c r="G70" s="4"/>
      <c r="H70" s="4"/>
      <c r="I70" s="4">
        <f t="shared" si="30"/>
        <v>155431400</v>
      </c>
      <c r="J70" s="4">
        <v>13896200</v>
      </c>
      <c r="K70" s="4">
        <f t="shared" si="32"/>
        <v>0</v>
      </c>
      <c r="L70" s="4"/>
      <c r="M70" s="4"/>
      <c r="N70" s="4"/>
      <c r="O70" s="4">
        <f t="shared" si="33"/>
        <v>13896200</v>
      </c>
      <c r="P70" s="4">
        <f t="shared" si="34"/>
        <v>169327600</v>
      </c>
      <c r="Q70" s="4">
        <f t="shared" si="35"/>
        <v>0</v>
      </c>
      <c r="R70" s="4">
        <f t="shared" si="36"/>
        <v>169327600</v>
      </c>
      <c r="S70" s="58"/>
    </row>
    <row r="71" spans="1:21" s="14" customFormat="1" ht="36" x14ac:dyDescent="0.2">
      <c r="A71" s="1" t="s">
        <v>386</v>
      </c>
      <c r="B71" s="2" t="s">
        <v>387</v>
      </c>
      <c r="C71" s="2" t="s">
        <v>14</v>
      </c>
      <c r="D71" s="65" t="s">
        <v>388</v>
      </c>
      <c r="E71" s="4">
        <v>26451900</v>
      </c>
      <c r="F71" s="4">
        <f t="shared" si="31"/>
        <v>0</v>
      </c>
      <c r="G71" s="4"/>
      <c r="H71" s="4"/>
      <c r="I71" s="4">
        <f t="shared" si="30"/>
        <v>26451900</v>
      </c>
      <c r="J71" s="4"/>
      <c r="K71" s="4">
        <f t="shared" si="32"/>
        <v>0</v>
      </c>
      <c r="L71" s="4"/>
      <c r="M71" s="4"/>
      <c r="N71" s="4"/>
      <c r="O71" s="4">
        <f t="shared" si="33"/>
        <v>0</v>
      </c>
      <c r="P71" s="4">
        <f t="shared" si="34"/>
        <v>26451900</v>
      </c>
      <c r="Q71" s="4">
        <f t="shared" si="35"/>
        <v>0</v>
      </c>
      <c r="R71" s="4">
        <f t="shared" si="36"/>
        <v>26451900</v>
      </c>
      <c r="S71" s="58"/>
    </row>
    <row r="72" spans="1:21" s="14" customFormat="1" ht="24" x14ac:dyDescent="0.2">
      <c r="A72" s="1" t="s">
        <v>389</v>
      </c>
      <c r="B72" s="2" t="s">
        <v>390</v>
      </c>
      <c r="C72" s="2" t="s">
        <v>32</v>
      </c>
      <c r="D72" s="65" t="s">
        <v>80</v>
      </c>
      <c r="E72" s="4">
        <v>61200</v>
      </c>
      <c r="F72" s="4">
        <f t="shared" si="31"/>
        <v>-51200</v>
      </c>
      <c r="G72" s="4">
        <v>-51200</v>
      </c>
      <c r="H72" s="4"/>
      <c r="I72" s="4">
        <f t="shared" si="30"/>
        <v>10000</v>
      </c>
      <c r="J72" s="4"/>
      <c r="K72" s="4">
        <f t="shared" si="32"/>
        <v>0</v>
      </c>
      <c r="L72" s="4"/>
      <c r="M72" s="4"/>
      <c r="N72" s="4"/>
      <c r="O72" s="4">
        <f t="shared" si="33"/>
        <v>0</v>
      </c>
      <c r="P72" s="4">
        <f t="shared" si="34"/>
        <v>61200</v>
      </c>
      <c r="Q72" s="4">
        <f t="shared" si="35"/>
        <v>-51200</v>
      </c>
      <c r="R72" s="4">
        <f t="shared" si="36"/>
        <v>10000</v>
      </c>
      <c r="S72" s="58"/>
    </row>
    <row r="73" spans="1:21" s="14" customFormat="1" ht="24" x14ac:dyDescent="0.2">
      <c r="A73" s="1" t="s">
        <v>391</v>
      </c>
      <c r="B73" s="2" t="s">
        <v>392</v>
      </c>
      <c r="C73" s="2" t="s">
        <v>33</v>
      </c>
      <c r="D73" s="65" t="s">
        <v>393</v>
      </c>
      <c r="E73" s="4">
        <v>1170000</v>
      </c>
      <c r="F73" s="4">
        <f t="shared" si="31"/>
        <v>0</v>
      </c>
      <c r="G73" s="4"/>
      <c r="H73" s="4"/>
      <c r="I73" s="4">
        <f t="shared" si="30"/>
        <v>1170000</v>
      </c>
      <c r="J73" s="4"/>
      <c r="K73" s="4">
        <f t="shared" si="32"/>
        <v>49900</v>
      </c>
      <c r="L73" s="4">
        <f>49900</f>
        <v>49900</v>
      </c>
      <c r="M73" s="4"/>
      <c r="N73" s="4">
        <f>49900</f>
        <v>49900</v>
      </c>
      <c r="O73" s="4">
        <f t="shared" si="33"/>
        <v>49900</v>
      </c>
      <c r="P73" s="4">
        <f t="shared" si="34"/>
        <v>1170000</v>
      </c>
      <c r="Q73" s="4">
        <f t="shared" si="35"/>
        <v>49900</v>
      </c>
      <c r="R73" s="4">
        <f t="shared" si="36"/>
        <v>1219900</v>
      </c>
      <c r="S73" s="58"/>
    </row>
    <row r="74" spans="1:21" s="14" customFormat="1" ht="12" x14ac:dyDescent="0.2">
      <c r="A74" s="1" t="s">
        <v>141</v>
      </c>
      <c r="B74" s="2" t="s">
        <v>394</v>
      </c>
      <c r="C74" s="2"/>
      <c r="D74" s="3" t="s">
        <v>207</v>
      </c>
      <c r="E74" s="4">
        <f>E75+E76</f>
        <v>30589600</v>
      </c>
      <c r="F74" s="4">
        <f t="shared" ref="F74:O74" si="40">F75+F76</f>
        <v>200108</v>
      </c>
      <c r="G74" s="4">
        <f t="shared" si="40"/>
        <v>200108</v>
      </c>
      <c r="H74" s="4">
        <f t="shared" si="40"/>
        <v>0</v>
      </c>
      <c r="I74" s="4">
        <f t="shared" si="40"/>
        <v>30789708</v>
      </c>
      <c r="J74" s="4">
        <f t="shared" si="40"/>
        <v>400000</v>
      </c>
      <c r="K74" s="4">
        <f t="shared" si="40"/>
        <v>145211</v>
      </c>
      <c r="L74" s="4">
        <f t="shared" si="40"/>
        <v>145211</v>
      </c>
      <c r="M74" s="4">
        <f t="shared" si="40"/>
        <v>0</v>
      </c>
      <c r="N74" s="4">
        <f t="shared" si="40"/>
        <v>145211</v>
      </c>
      <c r="O74" s="4">
        <f t="shared" si="40"/>
        <v>545211</v>
      </c>
      <c r="P74" s="4">
        <f t="shared" si="34"/>
        <v>30989600</v>
      </c>
      <c r="Q74" s="4">
        <f t="shared" si="35"/>
        <v>345319</v>
      </c>
      <c r="R74" s="4">
        <f t="shared" si="36"/>
        <v>31334919</v>
      </c>
      <c r="S74" s="58"/>
    </row>
    <row r="75" spans="1:21" s="14" customFormat="1" ht="24" x14ac:dyDescent="0.2">
      <c r="A75" s="1" t="s">
        <v>395</v>
      </c>
      <c r="B75" s="2" t="s">
        <v>396</v>
      </c>
      <c r="C75" s="2" t="s">
        <v>33</v>
      </c>
      <c r="D75" s="3" t="s">
        <v>301</v>
      </c>
      <c r="E75" s="4">
        <v>29834200</v>
      </c>
      <c r="F75" s="4">
        <f t="shared" si="31"/>
        <v>221200</v>
      </c>
      <c r="G75" s="4">
        <f>11000+210200</f>
        <v>221200</v>
      </c>
      <c r="H75" s="4"/>
      <c r="I75" s="4">
        <f t="shared" si="30"/>
        <v>30055400</v>
      </c>
      <c r="J75" s="4">
        <v>400000</v>
      </c>
      <c r="K75" s="4">
        <f t="shared" si="32"/>
        <v>0</v>
      </c>
      <c r="L75" s="4"/>
      <c r="M75" s="4"/>
      <c r="N75" s="4"/>
      <c r="O75" s="4">
        <f t="shared" si="33"/>
        <v>400000</v>
      </c>
      <c r="P75" s="4">
        <f t="shared" si="34"/>
        <v>30234200</v>
      </c>
      <c r="Q75" s="4">
        <f t="shared" si="35"/>
        <v>221200</v>
      </c>
      <c r="R75" s="4">
        <f t="shared" si="36"/>
        <v>30455400</v>
      </c>
      <c r="S75" s="58"/>
    </row>
    <row r="76" spans="1:21" s="14" customFormat="1" ht="12" x14ac:dyDescent="0.2">
      <c r="A76" s="1" t="s">
        <v>397</v>
      </c>
      <c r="B76" s="2" t="s">
        <v>398</v>
      </c>
      <c r="C76" s="2" t="s">
        <v>33</v>
      </c>
      <c r="D76" s="66" t="s">
        <v>399</v>
      </c>
      <c r="E76" s="4">
        <v>755400</v>
      </c>
      <c r="F76" s="4">
        <f t="shared" si="31"/>
        <v>-21092</v>
      </c>
      <c r="G76" s="4">
        <f>52208-73300</f>
        <v>-21092</v>
      </c>
      <c r="H76" s="4"/>
      <c r="I76" s="4">
        <f t="shared" si="30"/>
        <v>734308</v>
      </c>
      <c r="J76" s="4"/>
      <c r="K76" s="4">
        <f t="shared" si="32"/>
        <v>145211</v>
      </c>
      <c r="L76" s="4">
        <f>145211</f>
        <v>145211</v>
      </c>
      <c r="M76" s="4"/>
      <c r="N76" s="4">
        <f>145211</f>
        <v>145211</v>
      </c>
      <c r="O76" s="4">
        <f t="shared" si="33"/>
        <v>145211</v>
      </c>
      <c r="P76" s="4">
        <f t="shared" si="34"/>
        <v>755400</v>
      </c>
      <c r="Q76" s="4">
        <f t="shared" si="35"/>
        <v>124119</v>
      </c>
      <c r="R76" s="4">
        <f t="shared" si="36"/>
        <v>879519</v>
      </c>
      <c r="S76" s="58"/>
    </row>
    <row r="77" spans="1:21" s="14" customFormat="1" ht="12" x14ac:dyDescent="0.2">
      <c r="A77" s="1"/>
      <c r="B77" s="2"/>
      <c r="C77" s="2"/>
      <c r="D77" s="3" t="s">
        <v>300</v>
      </c>
      <c r="E77" s="4">
        <v>0</v>
      </c>
      <c r="F77" s="4">
        <f t="shared" si="31"/>
        <v>0</v>
      </c>
      <c r="G77" s="4"/>
      <c r="H77" s="4"/>
      <c r="I77" s="4">
        <f t="shared" si="30"/>
        <v>0</v>
      </c>
      <c r="J77" s="4"/>
      <c r="K77" s="4">
        <f t="shared" si="32"/>
        <v>0</v>
      </c>
      <c r="L77" s="4"/>
      <c r="M77" s="4"/>
      <c r="N77" s="4"/>
      <c r="O77" s="4">
        <f t="shared" si="33"/>
        <v>0</v>
      </c>
      <c r="P77" s="4">
        <f t="shared" si="34"/>
        <v>0</v>
      </c>
      <c r="Q77" s="4">
        <f t="shared" si="35"/>
        <v>0</v>
      </c>
      <c r="R77" s="4">
        <f t="shared" si="36"/>
        <v>0</v>
      </c>
      <c r="S77" s="58"/>
    </row>
    <row r="78" spans="1:21" s="14" customFormat="1" ht="36" x14ac:dyDescent="0.2">
      <c r="A78" s="1"/>
      <c r="B78" s="2"/>
      <c r="C78" s="2"/>
      <c r="D78" s="15" t="s">
        <v>400</v>
      </c>
      <c r="E78" s="4">
        <v>563300</v>
      </c>
      <c r="F78" s="4">
        <f t="shared" si="31"/>
        <v>0</v>
      </c>
      <c r="G78" s="4"/>
      <c r="H78" s="4"/>
      <c r="I78" s="4">
        <f t="shared" si="30"/>
        <v>563300</v>
      </c>
      <c r="J78" s="4"/>
      <c r="K78" s="4">
        <f t="shared" si="32"/>
        <v>0</v>
      </c>
      <c r="L78" s="4"/>
      <c r="M78" s="4"/>
      <c r="N78" s="4"/>
      <c r="O78" s="4">
        <f t="shared" si="33"/>
        <v>0</v>
      </c>
      <c r="P78" s="4">
        <f t="shared" si="34"/>
        <v>563300</v>
      </c>
      <c r="Q78" s="4">
        <f t="shared" si="35"/>
        <v>0</v>
      </c>
      <c r="R78" s="4">
        <f t="shared" si="36"/>
        <v>563300</v>
      </c>
      <c r="S78" s="58"/>
      <c r="U78" s="18"/>
    </row>
    <row r="79" spans="1:21" s="14" customFormat="1" ht="24" x14ac:dyDescent="0.2">
      <c r="A79" s="1" t="s">
        <v>142</v>
      </c>
      <c r="B79" s="2" t="s">
        <v>81</v>
      </c>
      <c r="C79" s="2"/>
      <c r="D79" s="15" t="s">
        <v>321</v>
      </c>
      <c r="E79" s="4">
        <f>E80+E81+E82</f>
        <v>2191400</v>
      </c>
      <c r="F79" s="4">
        <f>F80+F81+F82</f>
        <v>222433</v>
      </c>
      <c r="G79" s="4">
        <f t="shared" ref="G79:I79" si="41">G80+G81+G82</f>
        <v>222433</v>
      </c>
      <c r="H79" s="4">
        <f t="shared" si="41"/>
        <v>0</v>
      </c>
      <c r="I79" s="4">
        <f t="shared" si="41"/>
        <v>2413833</v>
      </c>
      <c r="J79" s="4">
        <f t="shared" ref="J79:O79" si="42">J80+J81</f>
        <v>0</v>
      </c>
      <c r="K79" s="4">
        <f t="shared" si="42"/>
        <v>0</v>
      </c>
      <c r="L79" s="4">
        <f t="shared" si="42"/>
        <v>0</v>
      </c>
      <c r="M79" s="4">
        <f t="shared" si="42"/>
        <v>0</v>
      </c>
      <c r="N79" s="4">
        <f t="shared" si="42"/>
        <v>0</v>
      </c>
      <c r="O79" s="4">
        <f t="shared" si="42"/>
        <v>0</v>
      </c>
      <c r="P79" s="4">
        <f t="shared" si="34"/>
        <v>2191400</v>
      </c>
      <c r="Q79" s="4">
        <f t="shared" si="35"/>
        <v>222433</v>
      </c>
      <c r="R79" s="4">
        <f t="shared" si="36"/>
        <v>2413833</v>
      </c>
      <c r="S79" s="58"/>
    </row>
    <row r="80" spans="1:21" s="14" customFormat="1" ht="24" x14ac:dyDescent="0.2">
      <c r="A80" s="1" t="s">
        <v>401</v>
      </c>
      <c r="B80" s="2" t="s">
        <v>402</v>
      </c>
      <c r="C80" s="2" t="s">
        <v>33</v>
      </c>
      <c r="D80" s="15" t="s">
        <v>403</v>
      </c>
      <c r="E80" s="4">
        <v>420200</v>
      </c>
      <c r="F80" s="4">
        <f t="shared" si="31"/>
        <v>0</v>
      </c>
      <c r="G80" s="4"/>
      <c r="H80" s="4"/>
      <c r="I80" s="4">
        <f t="shared" si="30"/>
        <v>420200</v>
      </c>
      <c r="J80" s="4"/>
      <c r="K80" s="4">
        <f t="shared" si="32"/>
        <v>0</v>
      </c>
      <c r="L80" s="4"/>
      <c r="M80" s="4"/>
      <c r="N80" s="4"/>
      <c r="O80" s="4">
        <f t="shared" si="33"/>
        <v>0</v>
      </c>
      <c r="P80" s="4">
        <f t="shared" si="34"/>
        <v>420200</v>
      </c>
      <c r="Q80" s="4">
        <f t="shared" si="35"/>
        <v>0</v>
      </c>
      <c r="R80" s="4">
        <f t="shared" si="36"/>
        <v>420200</v>
      </c>
      <c r="S80" s="58"/>
    </row>
    <row r="81" spans="1:19" s="14" customFormat="1" ht="24" x14ac:dyDescent="0.2">
      <c r="A81" s="1" t="s">
        <v>404</v>
      </c>
      <c r="B81" s="2" t="s">
        <v>405</v>
      </c>
      <c r="C81" s="2" t="s">
        <v>33</v>
      </c>
      <c r="D81" s="15" t="s">
        <v>406</v>
      </c>
      <c r="E81" s="4">
        <v>1771200</v>
      </c>
      <c r="F81" s="4">
        <f t="shared" si="31"/>
        <v>0</v>
      </c>
      <c r="G81" s="4"/>
      <c r="H81" s="4"/>
      <c r="I81" s="4">
        <f t="shared" si="30"/>
        <v>1771200</v>
      </c>
      <c r="J81" s="4"/>
      <c r="K81" s="4">
        <f t="shared" si="32"/>
        <v>0</v>
      </c>
      <c r="L81" s="4"/>
      <c r="M81" s="4"/>
      <c r="N81" s="4"/>
      <c r="O81" s="4">
        <f t="shared" si="33"/>
        <v>0</v>
      </c>
      <c r="P81" s="4">
        <f t="shared" si="34"/>
        <v>1771200</v>
      </c>
      <c r="Q81" s="4">
        <f t="shared" si="35"/>
        <v>0</v>
      </c>
      <c r="R81" s="4">
        <f t="shared" si="36"/>
        <v>1771200</v>
      </c>
      <c r="S81" s="58"/>
    </row>
    <row r="82" spans="1:19" s="14" customFormat="1" ht="60" x14ac:dyDescent="0.2">
      <c r="A82" s="1" t="s">
        <v>468</v>
      </c>
      <c r="B82" s="2" t="s">
        <v>469</v>
      </c>
      <c r="C82" s="2" t="s">
        <v>33</v>
      </c>
      <c r="D82" s="15" t="s">
        <v>470</v>
      </c>
      <c r="E82" s="4"/>
      <c r="F82" s="4">
        <f t="shared" si="31"/>
        <v>222433</v>
      </c>
      <c r="G82" s="4">
        <v>222433</v>
      </c>
      <c r="H82" s="4"/>
      <c r="I82" s="4">
        <f t="shared" si="30"/>
        <v>222433</v>
      </c>
      <c r="J82" s="4"/>
      <c r="K82" s="4"/>
      <c r="L82" s="4"/>
      <c r="M82" s="4"/>
      <c r="N82" s="4"/>
      <c r="O82" s="4"/>
      <c r="P82" s="4">
        <f t="shared" si="34"/>
        <v>0</v>
      </c>
      <c r="Q82" s="4">
        <f t="shared" si="35"/>
        <v>222433</v>
      </c>
      <c r="R82" s="4">
        <f t="shared" si="36"/>
        <v>222433</v>
      </c>
      <c r="S82" s="58"/>
    </row>
    <row r="83" spans="1:19" s="14" customFormat="1" ht="24" x14ac:dyDescent="0.2">
      <c r="A83" s="1" t="s">
        <v>143</v>
      </c>
      <c r="B83" s="2" t="s">
        <v>82</v>
      </c>
      <c r="C83" s="2" t="s">
        <v>33</v>
      </c>
      <c r="D83" s="15" t="s">
        <v>407</v>
      </c>
      <c r="E83" s="4">
        <v>3894400</v>
      </c>
      <c r="F83" s="4">
        <f t="shared" si="31"/>
        <v>0</v>
      </c>
      <c r="G83" s="4"/>
      <c r="H83" s="4"/>
      <c r="I83" s="4">
        <f t="shared" si="30"/>
        <v>3894400</v>
      </c>
      <c r="J83" s="4">
        <v>0</v>
      </c>
      <c r="K83" s="4">
        <f t="shared" si="32"/>
        <v>0</v>
      </c>
      <c r="L83" s="4"/>
      <c r="M83" s="4"/>
      <c r="N83" s="4"/>
      <c r="O83" s="4">
        <f t="shared" si="33"/>
        <v>0</v>
      </c>
      <c r="P83" s="4">
        <f t="shared" si="34"/>
        <v>3894400</v>
      </c>
      <c r="Q83" s="4">
        <f t="shared" si="35"/>
        <v>0</v>
      </c>
      <c r="R83" s="4">
        <f t="shared" si="36"/>
        <v>3894400</v>
      </c>
      <c r="S83" s="58"/>
    </row>
    <row r="84" spans="1:19" s="14" customFormat="1" ht="36" x14ac:dyDescent="0.2">
      <c r="A84" s="1" t="s">
        <v>408</v>
      </c>
      <c r="B84" s="2" t="s">
        <v>409</v>
      </c>
      <c r="C84" s="2" t="s">
        <v>33</v>
      </c>
      <c r="D84" s="3" t="s">
        <v>410</v>
      </c>
      <c r="E84" s="4">
        <v>2858400</v>
      </c>
      <c r="F84" s="4">
        <f t="shared" si="31"/>
        <v>0</v>
      </c>
      <c r="G84" s="4"/>
      <c r="H84" s="4"/>
      <c r="I84" s="4">
        <f t="shared" si="30"/>
        <v>2858400</v>
      </c>
      <c r="J84" s="4">
        <v>1450400</v>
      </c>
      <c r="K84" s="4">
        <f t="shared" si="32"/>
        <v>0</v>
      </c>
      <c r="L84" s="4"/>
      <c r="M84" s="4"/>
      <c r="N84" s="4"/>
      <c r="O84" s="4">
        <f t="shared" ref="O84:O90" si="43">J84+K84</f>
        <v>1450400</v>
      </c>
      <c r="P84" s="4">
        <f t="shared" si="34"/>
        <v>4308800</v>
      </c>
      <c r="Q84" s="4">
        <f t="shared" si="35"/>
        <v>0</v>
      </c>
      <c r="R84" s="4">
        <f t="shared" si="36"/>
        <v>4308800</v>
      </c>
      <c r="S84" s="58"/>
    </row>
    <row r="85" spans="1:19" s="14" customFormat="1" ht="48" x14ac:dyDescent="0.2">
      <c r="A85" s="1" t="s">
        <v>471</v>
      </c>
      <c r="B85" s="2" t="s">
        <v>472</v>
      </c>
      <c r="C85" s="2" t="s">
        <v>33</v>
      </c>
      <c r="D85" s="3" t="s">
        <v>473</v>
      </c>
      <c r="E85" s="4"/>
      <c r="F85" s="4">
        <f t="shared" si="31"/>
        <v>1238160</v>
      </c>
      <c r="G85" s="4">
        <f>1238159+1</f>
        <v>1238160</v>
      </c>
      <c r="H85" s="4"/>
      <c r="I85" s="4">
        <f t="shared" si="30"/>
        <v>1238160</v>
      </c>
      <c r="J85" s="4"/>
      <c r="K85" s="4">
        <f t="shared" si="32"/>
        <v>541156</v>
      </c>
      <c r="L85" s="4">
        <v>541156</v>
      </c>
      <c r="M85" s="4"/>
      <c r="N85" s="4">
        <v>541156</v>
      </c>
      <c r="O85" s="4">
        <f t="shared" si="43"/>
        <v>541156</v>
      </c>
      <c r="P85" s="4">
        <f t="shared" si="34"/>
        <v>0</v>
      </c>
      <c r="Q85" s="4">
        <f t="shared" si="35"/>
        <v>1779316</v>
      </c>
      <c r="R85" s="4">
        <f t="shared" si="36"/>
        <v>1779316</v>
      </c>
      <c r="S85" s="58"/>
    </row>
    <row r="86" spans="1:19" s="14" customFormat="1" ht="24" x14ac:dyDescent="0.2">
      <c r="A86" s="1" t="s">
        <v>144</v>
      </c>
      <c r="B86" s="2" t="s">
        <v>83</v>
      </c>
      <c r="C86" s="2" t="s">
        <v>34</v>
      </c>
      <c r="D86" s="3" t="s">
        <v>84</v>
      </c>
      <c r="E86" s="4">
        <v>8499000</v>
      </c>
      <c r="F86" s="4">
        <f t="shared" si="31"/>
        <v>0</v>
      </c>
      <c r="G86" s="4"/>
      <c r="H86" s="4"/>
      <c r="I86" s="4">
        <f t="shared" si="30"/>
        <v>8499000</v>
      </c>
      <c r="J86" s="4"/>
      <c r="K86" s="4">
        <f t="shared" si="32"/>
        <v>0</v>
      </c>
      <c r="L86" s="4"/>
      <c r="M86" s="4"/>
      <c r="N86" s="4"/>
      <c r="O86" s="4">
        <f t="shared" si="43"/>
        <v>0</v>
      </c>
      <c r="P86" s="4">
        <f t="shared" si="34"/>
        <v>8499000</v>
      </c>
      <c r="Q86" s="4">
        <f t="shared" si="35"/>
        <v>0</v>
      </c>
      <c r="R86" s="4">
        <f t="shared" si="36"/>
        <v>8499000</v>
      </c>
      <c r="S86" s="58"/>
    </row>
    <row r="87" spans="1:19" s="14" customFormat="1" ht="48" x14ac:dyDescent="0.2">
      <c r="A87" s="1" t="s">
        <v>145</v>
      </c>
      <c r="B87" s="2" t="s">
        <v>85</v>
      </c>
      <c r="C87" s="2" t="s">
        <v>34</v>
      </c>
      <c r="D87" s="65" t="s">
        <v>86</v>
      </c>
      <c r="E87" s="4">
        <v>1500000</v>
      </c>
      <c r="F87" s="4">
        <f t="shared" si="31"/>
        <v>0</v>
      </c>
      <c r="G87" s="4"/>
      <c r="H87" s="4"/>
      <c r="I87" s="4">
        <f t="shared" si="30"/>
        <v>1500000</v>
      </c>
      <c r="J87" s="4">
        <v>0</v>
      </c>
      <c r="K87" s="4">
        <f t="shared" si="32"/>
        <v>0</v>
      </c>
      <c r="L87" s="4"/>
      <c r="M87" s="4"/>
      <c r="N87" s="4"/>
      <c r="O87" s="4">
        <f t="shared" si="43"/>
        <v>0</v>
      </c>
      <c r="P87" s="4">
        <f t="shared" si="34"/>
        <v>1500000</v>
      </c>
      <c r="Q87" s="4">
        <f t="shared" si="35"/>
        <v>0</v>
      </c>
      <c r="R87" s="4">
        <f t="shared" si="36"/>
        <v>1500000</v>
      </c>
      <c r="S87" s="58"/>
    </row>
    <row r="88" spans="1:19" s="14" customFormat="1" ht="24" x14ac:dyDescent="0.2">
      <c r="A88" s="1" t="s">
        <v>146</v>
      </c>
      <c r="B88" s="2" t="s">
        <v>64</v>
      </c>
      <c r="C88" s="2" t="s">
        <v>35</v>
      </c>
      <c r="D88" s="65" t="s">
        <v>55</v>
      </c>
      <c r="E88" s="4">
        <v>36601000</v>
      </c>
      <c r="F88" s="4">
        <f t="shared" si="31"/>
        <v>16200</v>
      </c>
      <c r="G88" s="4">
        <f>56200-40000</f>
        <v>16200</v>
      </c>
      <c r="H88" s="4"/>
      <c r="I88" s="4">
        <f t="shared" si="30"/>
        <v>36617200</v>
      </c>
      <c r="J88" s="4">
        <v>228000</v>
      </c>
      <c r="K88" s="4">
        <f t="shared" si="32"/>
        <v>0</v>
      </c>
      <c r="L88" s="4"/>
      <c r="M88" s="4"/>
      <c r="N88" s="4"/>
      <c r="O88" s="4">
        <f t="shared" si="43"/>
        <v>228000</v>
      </c>
      <c r="P88" s="4">
        <f t="shared" si="34"/>
        <v>36829000</v>
      </c>
      <c r="Q88" s="4">
        <f t="shared" si="35"/>
        <v>16200</v>
      </c>
      <c r="R88" s="4">
        <f t="shared" si="36"/>
        <v>36845200</v>
      </c>
      <c r="S88" s="58"/>
    </row>
    <row r="89" spans="1:19" s="14" customFormat="1" ht="12" x14ac:dyDescent="0.2">
      <c r="A89" s="2" t="s">
        <v>483</v>
      </c>
      <c r="B89" s="2" t="s">
        <v>484</v>
      </c>
      <c r="C89" s="2" t="s">
        <v>209</v>
      </c>
      <c r="D89" s="3" t="s">
        <v>485</v>
      </c>
      <c r="E89" s="4"/>
      <c r="F89" s="4"/>
      <c r="G89" s="4"/>
      <c r="H89" s="4"/>
      <c r="I89" s="4"/>
      <c r="J89" s="4"/>
      <c r="K89" s="4">
        <f t="shared" si="32"/>
        <v>5150291</v>
      </c>
      <c r="L89" s="4">
        <f>4621077+529214</f>
        <v>5150291</v>
      </c>
      <c r="M89" s="4"/>
      <c r="N89" s="4">
        <f>4621077+529214</f>
        <v>5150291</v>
      </c>
      <c r="O89" s="4">
        <f t="shared" si="43"/>
        <v>5150291</v>
      </c>
      <c r="P89" s="4">
        <f t="shared" si="34"/>
        <v>0</v>
      </c>
      <c r="Q89" s="4">
        <f t="shared" si="35"/>
        <v>5150291</v>
      </c>
      <c r="R89" s="4">
        <f t="shared" si="36"/>
        <v>5150291</v>
      </c>
      <c r="S89" s="58"/>
    </row>
    <row r="90" spans="1:19" s="14" customFormat="1" ht="84" x14ac:dyDescent="0.2">
      <c r="A90" s="1" t="s">
        <v>273</v>
      </c>
      <c r="B90" s="2" t="s">
        <v>271</v>
      </c>
      <c r="C90" s="2" t="s">
        <v>24</v>
      </c>
      <c r="D90" s="3" t="s">
        <v>272</v>
      </c>
      <c r="E90" s="4"/>
      <c r="F90" s="4">
        <f t="shared" si="31"/>
        <v>0</v>
      </c>
      <c r="G90" s="4"/>
      <c r="H90" s="4"/>
      <c r="I90" s="4">
        <f t="shared" si="30"/>
        <v>0</v>
      </c>
      <c r="J90" s="4">
        <v>1570000</v>
      </c>
      <c r="K90" s="4">
        <f t="shared" si="32"/>
        <v>0</v>
      </c>
      <c r="L90" s="4"/>
      <c r="M90" s="4"/>
      <c r="N90" s="4"/>
      <c r="O90" s="4">
        <f t="shared" si="43"/>
        <v>1570000</v>
      </c>
      <c r="P90" s="4">
        <f t="shared" si="34"/>
        <v>1570000</v>
      </c>
      <c r="Q90" s="4">
        <f t="shared" si="35"/>
        <v>0</v>
      </c>
      <c r="R90" s="4">
        <f t="shared" si="36"/>
        <v>1570000</v>
      </c>
      <c r="S90" s="58"/>
    </row>
    <row r="91" spans="1:19" s="14" customFormat="1" ht="24" x14ac:dyDescent="0.2">
      <c r="A91" s="1" t="s">
        <v>515</v>
      </c>
      <c r="B91" s="2" t="s">
        <v>96</v>
      </c>
      <c r="C91" s="2" t="s">
        <v>15</v>
      </c>
      <c r="D91" s="3" t="s">
        <v>5</v>
      </c>
      <c r="E91" s="4"/>
      <c r="F91" s="4"/>
      <c r="G91" s="4"/>
      <c r="H91" s="4"/>
      <c r="I91" s="4"/>
      <c r="J91" s="4"/>
      <c r="K91" s="4">
        <f t="shared" si="32"/>
        <v>285000</v>
      </c>
      <c r="L91" s="4"/>
      <c r="M91" s="4"/>
      <c r="N91" s="4">
        <f>285000</f>
        <v>285000</v>
      </c>
      <c r="O91" s="4">
        <f t="shared" si="33"/>
        <v>285000</v>
      </c>
      <c r="P91" s="4">
        <f t="shared" si="34"/>
        <v>0</v>
      </c>
      <c r="Q91" s="4">
        <f t="shared" si="35"/>
        <v>285000</v>
      </c>
      <c r="R91" s="4">
        <f t="shared" si="36"/>
        <v>285000</v>
      </c>
      <c r="S91" s="58"/>
    </row>
    <row r="92" spans="1:19" s="13" customFormat="1" ht="24" x14ac:dyDescent="0.2">
      <c r="A92" s="16" t="s">
        <v>107</v>
      </c>
      <c r="B92" s="10"/>
      <c r="C92" s="10"/>
      <c r="D92" s="11" t="s">
        <v>87</v>
      </c>
      <c r="E92" s="12">
        <f>SUM(E94:E104)</f>
        <v>72649300</v>
      </c>
      <c r="F92" s="12">
        <f>F95+F96+F99+F100+F102</f>
        <v>6522412.1699999999</v>
      </c>
      <c r="G92" s="12">
        <f>G95+G96+G99+G100+G102</f>
        <v>6522412.1699999999</v>
      </c>
      <c r="H92" s="12">
        <f>SUM(H94:H104)</f>
        <v>0</v>
      </c>
      <c r="I92" s="12">
        <f>I94+I95+I96+I97+I98+I99+I100+I102</f>
        <v>79171712.170000002</v>
      </c>
      <c r="J92" s="12">
        <f>SUM(J94:J105)</f>
        <v>2650000</v>
      </c>
      <c r="K92" s="12">
        <f t="shared" ref="K92:N92" si="44">SUM(K94:K105)</f>
        <v>19594081</v>
      </c>
      <c r="L92" s="12">
        <f t="shared" si="44"/>
        <v>19294081</v>
      </c>
      <c r="M92" s="12">
        <f t="shared" si="44"/>
        <v>300000</v>
      </c>
      <c r="N92" s="12">
        <f t="shared" si="44"/>
        <v>19294081</v>
      </c>
      <c r="O92" s="12">
        <f>SUM(O94:O105)</f>
        <v>22244081</v>
      </c>
      <c r="P92" s="12">
        <f>E92+J92</f>
        <v>75299300</v>
      </c>
      <c r="Q92" s="12">
        <f>F92+K92</f>
        <v>26116493.170000002</v>
      </c>
      <c r="R92" s="12">
        <f>P92+Q92</f>
        <v>101415793.17</v>
      </c>
      <c r="S92" s="58"/>
    </row>
    <row r="93" spans="1:19" s="13" customFormat="1" ht="24" x14ac:dyDescent="0.2">
      <c r="A93" s="16" t="s">
        <v>108</v>
      </c>
      <c r="B93" s="10"/>
      <c r="C93" s="10"/>
      <c r="D93" s="11" t="s">
        <v>87</v>
      </c>
      <c r="E93" s="4"/>
      <c r="F93" s="12"/>
      <c r="G93" s="12"/>
      <c r="H93" s="12"/>
      <c r="I93" s="12"/>
      <c r="J93" s="4"/>
      <c r="K93" s="4"/>
      <c r="L93" s="12"/>
      <c r="M93" s="12"/>
      <c r="N93" s="12"/>
      <c r="O93" s="12"/>
      <c r="P93" s="4">
        <f t="shared" ref="P93:P105" si="45">E93+J93</f>
        <v>0</v>
      </c>
      <c r="Q93" s="4">
        <f t="shared" ref="Q93:Q105" si="46">F93+K93</f>
        <v>0</v>
      </c>
      <c r="R93" s="4">
        <f t="shared" ref="R93:R155" si="47">I93+O93</f>
        <v>0</v>
      </c>
      <c r="S93" s="58"/>
    </row>
    <row r="94" spans="1:19" s="13" customFormat="1" ht="24" x14ac:dyDescent="0.2">
      <c r="A94" s="1" t="s">
        <v>109</v>
      </c>
      <c r="B94" s="2" t="s">
        <v>59</v>
      </c>
      <c r="C94" s="2" t="s">
        <v>21</v>
      </c>
      <c r="D94" s="3" t="s">
        <v>368</v>
      </c>
      <c r="E94" s="4">
        <v>2939200</v>
      </c>
      <c r="F94" s="4">
        <f t="shared" ref="F94:F104" si="48">G94</f>
        <v>0</v>
      </c>
      <c r="G94" s="4"/>
      <c r="H94" s="4"/>
      <c r="I94" s="4">
        <f t="shared" ref="I94:I104" si="49">E94+F94</f>
        <v>2939200</v>
      </c>
      <c r="J94" s="4">
        <v>0</v>
      </c>
      <c r="K94" s="4">
        <f t="shared" ref="K94:K105" si="50">M94+N94</f>
        <v>0</v>
      </c>
      <c r="L94" s="4"/>
      <c r="M94" s="4"/>
      <c r="N94" s="4"/>
      <c r="O94" s="4">
        <f t="shared" ref="O94:O105" si="51">J94+K94</f>
        <v>0</v>
      </c>
      <c r="P94" s="4">
        <f t="shared" si="45"/>
        <v>2939200</v>
      </c>
      <c r="Q94" s="4">
        <f t="shared" si="46"/>
        <v>0</v>
      </c>
      <c r="R94" s="4">
        <f t="shared" si="47"/>
        <v>2939200</v>
      </c>
      <c r="S94" s="58"/>
    </row>
    <row r="95" spans="1:19" s="14" customFormat="1" ht="24" x14ac:dyDescent="0.2">
      <c r="A95" s="1" t="s">
        <v>110</v>
      </c>
      <c r="B95" s="2">
        <v>2010</v>
      </c>
      <c r="C95" s="2" t="s">
        <v>16</v>
      </c>
      <c r="D95" s="3" t="s">
        <v>7</v>
      </c>
      <c r="E95" s="4">
        <v>23071400</v>
      </c>
      <c r="F95" s="4">
        <f t="shared" si="48"/>
        <v>1122481</v>
      </c>
      <c r="G95" s="4">
        <v>1122481</v>
      </c>
      <c r="H95" s="4"/>
      <c r="I95" s="4">
        <f t="shared" si="49"/>
        <v>24193881</v>
      </c>
      <c r="J95" s="4"/>
      <c r="K95" s="4">
        <f t="shared" si="50"/>
        <v>12882732</v>
      </c>
      <c r="L95" s="4">
        <f>12882732</f>
        <v>12882732</v>
      </c>
      <c r="M95" s="4"/>
      <c r="N95" s="4">
        <f>12882732</f>
        <v>12882732</v>
      </c>
      <c r="O95" s="4">
        <f t="shared" si="51"/>
        <v>12882732</v>
      </c>
      <c r="P95" s="4">
        <f t="shared" si="45"/>
        <v>23071400</v>
      </c>
      <c r="Q95" s="4">
        <f t="shared" si="46"/>
        <v>14005213</v>
      </c>
      <c r="R95" s="4">
        <f t="shared" si="47"/>
        <v>37076613</v>
      </c>
      <c r="S95" s="58"/>
    </row>
    <row r="96" spans="1:19" s="21" customFormat="1" ht="24" x14ac:dyDescent="0.2">
      <c r="A96" s="1" t="s">
        <v>111</v>
      </c>
      <c r="B96" s="2" t="s">
        <v>88</v>
      </c>
      <c r="C96" s="2" t="s">
        <v>17</v>
      </c>
      <c r="D96" s="3" t="s">
        <v>9</v>
      </c>
      <c r="E96" s="4">
        <v>10741000</v>
      </c>
      <c r="F96" s="4">
        <f t="shared" si="48"/>
        <v>150000</v>
      </c>
      <c r="G96" s="4">
        <v>150000</v>
      </c>
      <c r="H96" s="4"/>
      <c r="I96" s="4">
        <f t="shared" si="49"/>
        <v>10891000</v>
      </c>
      <c r="J96" s="4">
        <v>0</v>
      </c>
      <c r="K96" s="4">
        <f t="shared" si="50"/>
        <v>0</v>
      </c>
      <c r="L96" s="4"/>
      <c r="M96" s="4"/>
      <c r="N96" s="4"/>
      <c r="O96" s="4">
        <f t="shared" si="51"/>
        <v>0</v>
      </c>
      <c r="P96" s="4">
        <f t="shared" si="45"/>
        <v>10741000</v>
      </c>
      <c r="Q96" s="4">
        <f t="shared" si="46"/>
        <v>150000</v>
      </c>
      <c r="R96" s="4">
        <f t="shared" si="47"/>
        <v>10891000</v>
      </c>
      <c r="S96" s="58"/>
    </row>
    <row r="97" spans="1:19" s="21" customFormat="1" ht="24" x14ac:dyDescent="0.2">
      <c r="A97" s="1" t="s">
        <v>112</v>
      </c>
      <c r="B97" s="2" t="s">
        <v>89</v>
      </c>
      <c r="C97" s="2" t="s">
        <v>18</v>
      </c>
      <c r="D97" s="3" t="s">
        <v>261</v>
      </c>
      <c r="E97" s="4">
        <v>15933700</v>
      </c>
      <c r="F97" s="4">
        <f t="shared" si="48"/>
        <v>0</v>
      </c>
      <c r="G97" s="4"/>
      <c r="H97" s="4"/>
      <c r="I97" s="4">
        <f t="shared" si="49"/>
        <v>15933700</v>
      </c>
      <c r="J97" s="4"/>
      <c r="K97" s="4">
        <f t="shared" si="50"/>
        <v>0</v>
      </c>
      <c r="L97" s="4"/>
      <c r="M97" s="4"/>
      <c r="N97" s="4"/>
      <c r="O97" s="4">
        <f t="shared" si="51"/>
        <v>0</v>
      </c>
      <c r="P97" s="4">
        <f t="shared" si="45"/>
        <v>15933700</v>
      </c>
      <c r="Q97" s="4">
        <f t="shared" si="46"/>
        <v>0</v>
      </c>
      <c r="R97" s="4">
        <f t="shared" si="47"/>
        <v>15933700</v>
      </c>
      <c r="S97" s="58"/>
    </row>
    <row r="98" spans="1:19" s="21" customFormat="1" ht="12" x14ac:dyDescent="0.2">
      <c r="A98" s="1" t="s">
        <v>113</v>
      </c>
      <c r="B98" s="2" t="s">
        <v>90</v>
      </c>
      <c r="C98" s="2" t="s">
        <v>19</v>
      </c>
      <c r="D98" s="3" t="s">
        <v>91</v>
      </c>
      <c r="E98" s="4">
        <v>4541900</v>
      </c>
      <c r="F98" s="4">
        <f t="shared" si="48"/>
        <v>0</v>
      </c>
      <c r="G98" s="4"/>
      <c r="H98" s="4"/>
      <c r="I98" s="4">
        <f t="shared" si="49"/>
        <v>4541900</v>
      </c>
      <c r="J98" s="4"/>
      <c r="K98" s="4">
        <f t="shared" si="50"/>
        <v>0</v>
      </c>
      <c r="L98" s="4"/>
      <c r="M98" s="4"/>
      <c r="N98" s="4"/>
      <c r="O98" s="4">
        <f t="shared" si="51"/>
        <v>0</v>
      </c>
      <c r="P98" s="4">
        <f t="shared" si="45"/>
        <v>4541900</v>
      </c>
      <c r="Q98" s="4">
        <f t="shared" si="46"/>
        <v>0</v>
      </c>
      <c r="R98" s="4">
        <f t="shared" si="47"/>
        <v>4541900</v>
      </c>
      <c r="S98" s="58"/>
    </row>
    <row r="99" spans="1:19" s="21" customFormat="1" ht="36" x14ac:dyDescent="0.2">
      <c r="A99" s="1" t="s">
        <v>305</v>
      </c>
      <c r="B99" s="67" t="s">
        <v>286</v>
      </c>
      <c r="C99" s="67" t="s">
        <v>306</v>
      </c>
      <c r="D99" s="68" t="s">
        <v>287</v>
      </c>
      <c r="E99" s="4">
        <v>11900200</v>
      </c>
      <c r="F99" s="4">
        <f t="shared" si="48"/>
        <v>73931.17</v>
      </c>
      <c r="G99" s="4">
        <v>73931.17</v>
      </c>
      <c r="H99" s="4"/>
      <c r="I99" s="4">
        <f t="shared" si="49"/>
        <v>11974131.17</v>
      </c>
      <c r="J99" s="4"/>
      <c r="K99" s="4">
        <f t="shared" si="50"/>
        <v>237581</v>
      </c>
      <c r="L99" s="4">
        <f>237581</f>
        <v>237581</v>
      </c>
      <c r="M99" s="4"/>
      <c r="N99" s="4">
        <f>237581</f>
        <v>237581</v>
      </c>
      <c r="O99" s="4">
        <f t="shared" si="51"/>
        <v>237581</v>
      </c>
      <c r="P99" s="4">
        <f t="shared" si="45"/>
        <v>11900200</v>
      </c>
      <c r="Q99" s="4">
        <f t="shared" si="46"/>
        <v>311512.17</v>
      </c>
      <c r="R99" s="4">
        <f t="shared" si="47"/>
        <v>12211712.17</v>
      </c>
      <c r="S99" s="58"/>
    </row>
    <row r="100" spans="1:19" s="21" customFormat="1" ht="24" x14ac:dyDescent="0.2">
      <c r="A100" s="1" t="s">
        <v>296</v>
      </c>
      <c r="B100" s="2" t="s">
        <v>297</v>
      </c>
      <c r="C100" s="2" t="s">
        <v>20</v>
      </c>
      <c r="D100" s="69" t="s">
        <v>295</v>
      </c>
      <c r="E100" s="4">
        <v>3000000</v>
      </c>
      <c r="F100" s="4">
        <f>G100</f>
        <v>5151000</v>
      </c>
      <c r="G100" s="4">
        <v>5151000</v>
      </c>
      <c r="H100" s="4"/>
      <c r="I100" s="4">
        <f t="shared" si="49"/>
        <v>8151000</v>
      </c>
      <c r="J100" s="4"/>
      <c r="K100" s="4">
        <f t="shared" si="50"/>
        <v>0</v>
      </c>
      <c r="L100" s="4"/>
      <c r="M100" s="4"/>
      <c r="N100" s="4"/>
      <c r="O100" s="4">
        <f t="shared" si="51"/>
        <v>0</v>
      </c>
      <c r="P100" s="4">
        <f t="shared" si="45"/>
        <v>3000000</v>
      </c>
      <c r="Q100" s="4">
        <f t="shared" si="46"/>
        <v>5151000</v>
      </c>
      <c r="R100" s="4">
        <f t="shared" si="47"/>
        <v>8151000</v>
      </c>
      <c r="S100" s="58"/>
    </row>
    <row r="101" spans="1:19" s="21" customFormat="1" ht="48" x14ac:dyDescent="0.2">
      <c r="A101" s="1" t="s">
        <v>296</v>
      </c>
      <c r="B101" s="2" t="s">
        <v>297</v>
      </c>
      <c r="C101" s="2" t="s">
        <v>20</v>
      </c>
      <c r="D101" s="69" t="s">
        <v>478</v>
      </c>
      <c r="E101" s="4"/>
      <c r="F101" s="4">
        <f>G101</f>
        <v>5151000</v>
      </c>
      <c r="G101" s="4">
        <v>5151000</v>
      </c>
      <c r="H101" s="4"/>
      <c r="I101" s="4">
        <v>5151000</v>
      </c>
      <c r="J101" s="4"/>
      <c r="K101" s="4"/>
      <c r="L101" s="4"/>
      <c r="M101" s="4"/>
      <c r="N101" s="4"/>
      <c r="O101" s="4">
        <f t="shared" si="51"/>
        <v>0</v>
      </c>
      <c r="P101" s="4">
        <f t="shared" si="45"/>
        <v>0</v>
      </c>
      <c r="Q101" s="4">
        <f t="shared" si="46"/>
        <v>5151000</v>
      </c>
      <c r="R101" s="4">
        <f t="shared" si="47"/>
        <v>5151000</v>
      </c>
      <c r="S101" s="58"/>
    </row>
    <row r="102" spans="1:19" s="14" customFormat="1" ht="12" x14ac:dyDescent="0.2">
      <c r="A102" s="1" t="s">
        <v>298</v>
      </c>
      <c r="B102" s="2" t="s">
        <v>299</v>
      </c>
      <c r="C102" s="2" t="s">
        <v>20</v>
      </c>
      <c r="D102" s="3" t="s">
        <v>307</v>
      </c>
      <c r="E102" s="4">
        <v>521900</v>
      </c>
      <c r="F102" s="4">
        <f t="shared" si="48"/>
        <v>25000</v>
      </c>
      <c r="G102" s="4">
        <v>25000</v>
      </c>
      <c r="H102" s="4"/>
      <c r="I102" s="4">
        <f t="shared" si="49"/>
        <v>546900</v>
      </c>
      <c r="J102" s="4">
        <v>0</v>
      </c>
      <c r="K102" s="4">
        <f t="shared" si="50"/>
        <v>0</v>
      </c>
      <c r="L102" s="4"/>
      <c r="M102" s="4"/>
      <c r="N102" s="4"/>
      <c r="O102" s="4">
        <f t="shared" si="51"/>
        <v>0</v>
      </c>
      <c r="P102" s="4">
        <f t="shared" si="45"/>
        <v>521900</v>
      </c>
      <c r="Q102" s="4">
        <f t="shared" si="46"/>
        <v>25000</v>
      </c>
      <c r="R102" s="4">
        <f t="shared" si="47"/>
        <v>546900</v>
      </c>
      <c r="S102" s="58"/>
    </row>
    <row r="103" spans="1:19" s="14" customFormat="1" ht="12" x14ac:dyDescent="0.2">
      <c r="A103" s="1" t="s">
        <v>411</v>
      </c>
      <c r="B103" s="2" t="s">
        <v>333</v>
      </c>
      <c r="C103" s="2" t="s">
        <v>209</v>
      </c>
      <c r="D103" s="3" t="s">
        <v>486</v>
      </c>
      <c r="E103" s="4"/>
      <c r="F103" s="4"/>
      <c r="G103" s="4"/>
      <c r="H103" s="4"/>
      <c r="I103" s="4"/>
      <c r="J103" s="4"/>
      <c r="K103" s="4">
        <f t="shared" si="50"/>
        <v>6173768</v>
      </c>
      <c r="L103" s="4">
        <f>6173768</f>
        <v>6173768</v>
      </c>
      <c r="M103" s="4"/>
      <c r="N103" s="4">
        <f>6173768</f>
        <v>6173768</v>
      </c>
      <c r="O103" s="4">
        <f t="shared" si="51"/>
        <v>6173768</v>
      </c>
      <c r="P103" s="4">
        <f t="shared" si="45"/>
        <v>0</v>
      </c>
      <c r="Q103" s="4">
        <f t="shared" si="46"/>
        <v>6173768</v>
      </c>
      <c r="R103" s="4">
        <f t="shared" si="47"/>
        <v>6173768</v>
      </c>
      <c r="S103" s="58"/>
    </row>
    <row r="104" spans="1:19" s="14" customFormat="1" ht="84" x14ac:dyDescent="0.2">
      <c r="A104" s="1" t="s">
        <v>274</v>
      </c>
      <c r="B104" s="2" t="s">
        <v>271</v>
      </c>
      <c r="C104" s="2" t="s">
        <v>24</v>
      </c>
      <c r="D104" s="3" t="s">
        <v>272</v>
      </c>
      <c r="E104" s="4"/>
      <c r="F104" s="4">
        <f t="shared" si="48"/>
        <v>0</v>
      </c>
      <c r="G104" s="4"/>
      <c r="H104" s="4"/>
      <c r="I104" s="4">
        <f t="shared" si="49"/>
        <v>0</v>
      </c>
      <c r="J104" s="4">
        <v>1650000</v>
      </c>
      <c r="K104" s="4">
        <f t="shared" si="50"/>
        <v>300000</v>
      </c>
      <c r="L104" s="4"/>
      <c r="M104" s="4">
        <v>300000</v>
      </c>
      <c r="N104" s="4"/>
      <c r="O104" s="4">
        <f t="shared" si="51"/>
        <v>1950000</v>
      </c>
      <c r="P104" s="4">
        <f t="shared" si="45"/>
        <v>1650000</v>
      </c>
      <c r="Q104" s="4">
        <f t="shared" si="46"/>
        <v>300000</v>
      </c>
      <c r="R104" s="4">
        <f t="shared" si="47"/>
        <v>1950000</v>
      </c>
      <c r="S104" s="58"/>
    </row>
    <row r="105" spans="1:19" s="14" customFormat="1" ht="36" x14ac:dyDescent="0.2">
      <c r="A105" s="1" t="s">
        <v>487</v>
      </c>
      <c r="B105" s="2" t="s">
        <v>488</v>
      </c>
      <c r="C105" s="2" t="s">
        <v>489</v>
      </c>
      <c r="D105" s="3" t="s">
        <v>490</v>
      </c>
      <c r="E105" s="4"/>
      <c r="F105" s="4"/>
      <c r="G105" s="4"/>
      <c r="H105" s="4"/>
      <c r="I105" s="4"/>
      <c r="J105" s="4">
        <f>1000000</f>
        <v>1000000</v>
      </c>
      <c r="K105" s="4">
        <f t="shared" si="50"/>
        <v>0</v>
      </c>
      <c r="L105" s="4"/>
      <c r="M105" s="4"/>
      <c r="N105" s="4"/>
      <c r="O105" s="4">
        <f t="shared" si="51"/>
        <v>1000000</v>
      </c>
      <c r="P105" s="4">
        <f t="shared" si="45"/>
        <v>1000000</v>
      </c>
      <c r="Q105" s="4">
        <f t="shared" si="46"/>
        <v>0</v>
      </c>
      <c r="R105" s="4">
        <f t="shared" si="47"/>
        <v>1000000</v>
      </c>
      <c r="S105" s="58"/>
    </row>
    <row r="106" spans="1:19" s="13" customFormat="1" ht="24" x14ac:dyDescent="0.2">
      <c r="A106" s="16" t="s">
        <v>114</v>
      </c>
      <c r="B106" s="10"/>
      <c r="C106" s="10"/>
      <c r="D106" s="11" t="s">
        <v>324</v>
      </c>
      <c r="E106" s="12">
        <f>E108+E109+E112+E113+E114+E115+E116+E117+E118+E119+E120+E122+E132+E133+E137</f>
        <v>146627403</v>
      </c>
      <c r="F106" s="12">
        <f>F108+F109+F112+F113+F114+F115+F116+F117+F118+F119+F120+F122+F132+F133+F137+F121</f>
        <v>-21040869</v>
      </c>
      <c r="G106" s="12">
        <f>G108+G109+G112+G113+G114+G115+G116+G117+G118+G119+G120+G122+G132+G133+G137+G121</f>
        <v>-21040869</v>
      </c>
      <c r="H106" s="12">
        <f t="shared" ref="H106" si="52">H108+H109+H112+H113+H114+H115+H116+H117+H118+H119+H120+H122+H132+H133+H137</f>
        <v>0</v>
      </c>
      <c r="I106" s="12">
        <f>I108+I109+I112+I113+I114+I115+I116+I117+I118+I119+I120+I122+I132+I133+I137+I121+I138</f>
        <v>125611534</v>
      </c>
      <c r="J106" s="12">
        <f>J108+J109+J112+J113+J114+J115+J116+J117+J118+J119+J120+J122+J132+J133+J137+J135+J136</f>
        <v>700000</v>
      </c>
      <c r="K106" s="12">
        <f>K108+K109+K112+K113+K114+K115+K116+K117+K118+K119+K120+K122+K132+K133+K137+K135+K136</f>
        <v>1010706</v>
      </c>
      <c r="L106" s="12">
        <f t="shared" ref="L106:N106" si="53">L108+L109+L112+L113+L114+L115+L116+L117+L118+L119+L120+L122+L132+L133+L137+L135+L136</f>
        <v>210706</v>
      </c>
      <c r="M106" s="12">
        <f t="shared" si="53"/>
        <v>800000</v>
      </c>
      <c r="N106" s="12">
        <f t="shared" si="53"/>
        <v>210706</v>
      </c>
      <c r="O106" s="12">
        <f>O108+O109+O112+O113+O114+O115+O116+O117+O118+O119+O120+O122+O132+O133+O137+O135+O136+O138</f>
        <v>1710706</v>
      </c>
      <c r="P106" s="12">
        <f>P108+P109+P112+P113+P114+P115+P116+P117+P118+P119+P120+P122+P132+P133+P137+P135+P136+P138</f>
        <v>147352403</v>
      </c>
      <c r="Q106" s="12">
        <f>Q108+Q109+Q112+Q113+Q114+Q115+Q116+Q117+Q118+Q119+Q120+Q122+Q132+Q133+Q137+Q135+Q136+Q138+Q121</f>
        <v>-20030163</v>
      </c>
      <c r="R106" s="12">
        <f>R108+R109+R112+R113+R114+R115+R116+R117+R118+R119+R120+R122+R132+R133+R137+R135+R136+R138+R121</f>
        <v>127322240</v>
      </c>
      <c r="S106" s="58"/>
    </row>
    <row r="107" spans="1:19" s="13" customFormat="1" ht="24" x14ac:dyDescent="0.2">
      <c r="A107" s="16" t="s">
        <v>133</v>
      </c>
      <c r="B107" s="10"/>
      <c r="C107" s="10"/>
      <c r="D107" s="11" t="s">
        <v>324</v>
      </c>
      <c r="E107" s="12"/>
      <c r="F107" s="12"/>
      <c r="G107" s="12"/>
      <c r="H107" s="12"/>
      <c r="I107" s="12"/>
      <c r="J107" s="4">
        <v>0</v>
      </c>
      <c r="K107" s="4"/>
      <c r="L107" s="12"/>
      <c r="M107" s="12"/>
      <c r="N107" s="12"/>
      <c r="O107" s="12"/>
      <c r="P107" s="12">
        <f t="shared" ref="P107:P155" si="54">E107+J107</f>
        <v>0</v>
      </c>
      <c r="Q107" s="12">
        <f t="shared" ref="Q107:Q155" si="55">F107+K107</f>
        <v>0</v>
      </c>
      <c r="R107" s="12">
        <f t="shared" si="47"/>
        <v>0</v>
      </c>
      <c r="S107" s="58"/>
    </row>
    <row r="108" spans="1:19" s="14" customFormat="1" ht="24" x14ac:dyDescent="0.2">
      <c r="A108" s="1" t="s">
        <v>126</v>
      </c>
      <c r="B108" s="2" t="s">
        <v>59</v>
      </c>
      <c r="C108" s="2" t="s">
        <v>21</v>
      </c>
      <c r="D108" s="3" t="s">
        <v>368</v>
      </c>
      <c r="E108" s="4">
        <v>31052000</v>
      </c>
      <c r="F108" s="4">
        <f t="shared" ref="F108:F138" si="56">G108</f>
        <v>59431</v>
      </c>
      <c r="G108" s="4">
        <f>30676+28755</f>
        <v>59431</v>
      </c>
      <c r="H108" s="4"/>
      <c r="I108" s="4">
        <f t="shared" ref="I108:I138" si="57">E108+F108</f>
        <v>31111431</v>
      </c>
      <c r="J108" s="4"/>
      <c r="K108" s="4">
        <f t="shared" ref="K108:K138" si="58">M108+N108</f>
        <v>0</v>
      </c>
      <c r="L108" s="4"/>
      <c r="M108" s="4"/>
      <c r="N108" s="4"/>
      <c r="O108" s="4">
        <f t="shared" ref="O108:O138" si="59">J108+K108</f>
        <v>0</v>
      </c>
      <c r="P108" s="4">
        <f t="shared" si="54"/>
        <v>31052000</v>
      </c>
      <c r="Q108" s="4">
        <f t="shared" si="55"/>
        <v>59431</v>
      </c>
      <c r="R108" s="4">
        <f t="shared" si="47"/>
        <v>31111431</v>
      </c>
      <c r="S108" s="58"/>
    </row>
    <row r="109" spans="1:19" s="14" customFormat="1" ht="12" x14ac:dyDescent="0.2">
      <c r="A109" s="1" t="s">
        <v>280</v>
      </c>
      <c r="B109" s="2" t="s">
        <v>10</v>
      </c>
      <c r="C109" s="2" t="s">
        <v>13</v>
      </c>
      <c r="D109" s="3" t="s">
        <v>165</v>
      </c>
      <c r="E109" s="4">
        <f>E111</f>
        <v>30000</v>
      </c>
      <c r="F109" s="4">
        <f t="shared" ref="F109:O109" si="60">F111</f>
        <v>0</v>
      </c>
      <c r="G109" s="4">
        <f t="shared" si="60"/>
        <v>0</v>
      </c>
      <c r="H109" s="4">
        <f t="shared" si="60"/>
        <v>0</v>
      </c>
      <c r="I109" s="4">
        <f t="shared" si="60"/>
        <v>30000</v>
      </c>
      <c r="J109" s="4">
        <f t="shared" si="60"/>
        <v>0</v>
      </c>
      <c r="K109" s="4">
        <f t="shared" si="60"/>
        <v>0</v>
      </c>
      <c r="L109" s="4">
        <f t="shared" si="60"/>
        <v>0</v>
      </c>
      <c r="M109" s="4">
        <f t="shared" si="60"/>
        <v>0</v>
      </c>
      <c r="N109" s="4">
        <f t="shared" si="60"/>
        <v>0</v>
      </c>
      <c r="O109" s="4">
        <f t="shared" si="60"/>
        <v>0</v>
      </c>
      <c r="P109" s="4">
        <f t="shared" si="54"/>
        <v>30000</v>
      </c>
      <c r="Q109" s="4">
        <f t="shared" si="55"/>
        <v>0</v>
      </c>
      <c r="R109" s="4">
        <f t="shared" si="47"/>
        <v>30000</v>
      </c>
      <c r="S109" s="58"/>
    </row>
    <row r="110" spans="1:19" s="14" customFormat="1" ht="12" x14ac:dyDescent="0.2">
      <c r="A110" s="1"/>
      <c r="B110" s="2"/>
      <c r="C110" s="2"/>
      <c r="D110" s="3" t="s">
        <v>180</v>
      </c>
      <c r="E110" s="4"/>
      <c r="F110" s="4">
        <f t="shared" si="56"/>
        <v>0</v>
      </c>
      <c r="G110" s="4"/>
      <c r="H110" s="4"/>
      <c r="I110" s="4">
        <f t="shared" si="57"/>
        <v>0</v>
      </c>
      <c r="J110" s="4">
        <v>0</v>
      </c>
      <c r="K110" s="4">
        <f t="shared" si="58"/>
        <v>0</v>
      </c>
      <c r="L110" s="4"/>
      <c r="M110" s="4"/>
      <c r="N110" s="4"/>
      <c r="O110" s="4">
        <f t="shared" si="59"/>
        <v>0</v>
      </c>
      <c r="P110" s="4">
        <f t="shared" si="54"/>
        <v>0</v>
      </c>
      <c r="Q110" s="4">
        <f t="shared" si="55"/>
        <v>0</v>
      </c>
      <c r="R110" s="4">
        <f t="shared" si="47"/>
        <v>0</v>
      </c>
      <c r="S110" s="58"/>
    </row>
    <row r="111" spans="1:19" s="14" customFormat="1" ht="12" x14ac:dyDescent="0.2">
      <c r="A111" s="1"/>
      <c r="B111" s="2"/>
      <c r="C111" s="2"/>
      <c r="D111" s="15" t="s">
        <v>314</v>
      </c>
      <c r="E111" s="4">
        <v>30000</v>
      </c>
      <c r="F111" s="4">
        <f t="shared" si="56"/>
        <v>0</v>
      </c>
      <c r="G111" s="4"/>
      <c r="H111" s="4"/>
      <c r="I111" s="4">
        <f t="shared" si="57"/>
        <v>30000</v>
      </c>
      <c r="J111" s="4"/>
      <c r="K111" s="4">
        <f t="shared" si="58"/>
        <v>0</v>
      </c>
      <c r="L111" s="4"/>
      <c r="M111" s="4"/>
      <c r="N111" s="4"/>
      <c r="O111" s="4">
        <f t="shared" si="59"/>
        <v>0</v>
      </c>
      <c r="P111" s="4">
        <f t="shared" si="54"/>
        <v>30000</v>
      </c>
      <c r="Q111" s="4">
        <f t="shared" si="55"/>
        <v>0</v>
      </c>
      <c r="R111" s="4">
        <f t="shared" si="47"/>
        <v>30000</v>
      </c>
      <c r="S111" s="58"/>
    </row>
    <row r="112" spans="1:19" s="14" customFormat="1" ht="24" x14ac:dyDescent="0.2">
      <c r="A112" s="1" t="s">
        <v>127</v>
      </c>
      <c r="B112" s="2">
        <v>3031</v>
      </c>
      <c r="C112" s="2" t="s">
        <v>45</v>
      </c>
      <c r="D112" s="3" t="s">
        <v>103</v>
      </c>
      <c r="E112" s="4">
        <v>200000</v>
      </c>
      <c r="F112" s="4">
        <f t="shared" si="56"/>
        <v>0</v>
      </c>
      <c r="G112" s="4"/>
      <c r="H112" s="4"/>
      <c r="I112" s="4">
        <f t="shared" si="57"/>
        <v>200000</v>
      </c>
      <c r="J112" s="4">
        <v>0</v>
      </c>
      <c r="K112" s="4">
        <f t="shared" si="58"/>
        <v>0</v>
      </c>
      <c r="L112" s="4"/>
      <c r="M112" s="4"/>
      <c r="N112" s="4"/>
      <c r="O112" s="4">
        <f t="shared" si="59"/>
        <v>0</v>
      </c>
      <c r="P112" s="4">
        <f t="shared" si="54"/>
        <v>200000</v>
      </c>
      <c r="Q112" s="4">
        <f t="shared" si="55"/>
        <v>0</v>
      </c>
      <c r="R112" s="4">
        <f t="shared" si="47"/>
        <v>200000</v>
      </c>
      <c r="S112" s="58"/>
    </row>
    <row r="113" spans="1:19" s="14" customFormat="1" ht="24" x14ac:dyDescent="0.2">
      <c r="A113" s="1" t="s">
        <v>128</v>
      </c>
      <c r="B113" s="2" t="s">
        <v>104</v>
      </c>
      <c r="C113" s="2" t="s">
        <v>22</v>
      </c>
      <c r="D113" s="3" t="s">
        <v>412</v>
      </c>
      <c r="E113" s="4">
        <v>770000</v>
      </c>
      <c r="F113" s="4">
        <f t="shared" si="56"/>
        <v>0</v>
      </c>
      <c r="G113" s="4"/>
      <c r="H113" s="4"/>
      <c r="I113" s="4">
        <f t="shared" si="57"/>
        <v>770000</v>
      </c>
      <c r="J113" s="4">
        <v>0</v>
      </c>
      <c r="K113" s="4">
        <f t="shared" si="58"/>
        <v>0</v>
      </c>
      <c r="L113" s="4"/>
      <c r="M113" s="4"/>
      <c r="N113" s="4"/>
      <c r="O113" s="4">
        <f t="shared" si="59"/>
        <v>0</v>
      </c>
      <c r="P113" s="4">
        <f t="shared" si="54"/>
        <v>770000</v>
      </c>
      <c r="Q113" s="4">
        <f t="shared" si="55"/>
        <v>0</v>
      </c>
      <c r="R113" s="4">
        <f t="shared" si="47"/>
        <v>770000</v>
      </c>
      <c r="S113" s="58"/>
    </row>
    <row r="114" spans="1:19" s="14" customFormat="1" ht="36" x14ac:dyDescent="0.2">
      <c r="A114" s="1" t="s">
        <v>158</v>
      </c>
      <c r="B114" s="2" t="s">
        <v>159</v>
      </c>
      <c r="C114" s="2" t="s">
        <v>22</v>
      </c>
      <c r="D114" s="3" t="s">
        <v>52</v>
      </c>
      <c r="E114" s="4">
        <v>30500000</v>
      </c>
      <c r="F114" s="4">
        <f t="shared" si="56"/>
        <v>-12500000</v>
      </c>
      <c r="G114" s="4">
        <f>-12500000</f>
        <v>-12500000</v>
      </c>
      <c r="H114" s="4"/>
      <c r="I114" s="4">
        <f t="shared" si="57"/>
        <v>18000000</v>
      </c>
      <c r="J114" s="4">
        <v>0</v>
      </c>
      <c r="K114" s="4">
        <f t="shared" si="58"/>
        <v>0</v>
      </c>
      <c r="L114" s="4"/>
      <c r="M114" s="4"/>
      <c r="N114" s="4"/>
      <c r="O114" s="4">
        <f t="shared" si="59"/>
        <v>0</v>
      </c>
      <c r="P114" s="4">
        <f t="shared" si="54"/>
        <v>30500000</v>
      </c>
      <c r="Q114" s="4">
        <f t="shared" si="55"/>
        <v>-12500000</v>
      </c>
      <c r="R114" s="4">
        <f t="shared" si="47"/>
        <v>18000000</v>
      </c>
      <c r="S114" s="58"/>
    </row>
    <row r="115" spans="1:19" s="14" customFormat="1" ht="24" x14ac:dyDescent="0.2">
      <c r="A115" s="1" t="s">
        <v>160</v>
      </c>
      <c r="B115" s="2" t="s">
        <v>161</v>
      </c>
      <c r="C115" s="2" t="s">
        <v>22</v>
      </c>
      <c r="D115" s="3" t="s">
        <v>3</v>
      </c>
      <c r="E115" s="4">
        <v>600000</v>
      </c>
      <c r="F115" s="4">
        <f t="shared" si="56"/>
        <v>500000</v>
      </c>
      <c r="G115" s="4">
        <f>500000</f>
        <v>500000</v>
      </c>
      <c r="H115" s="4"/>
      <c r="I115" s="4">
        <f t="shared" si="57"/>
        <v>1100000</v>
      </c>
      <c r="J115" s="4">
        <v>0</v>
      </c>
      <c r="K115" s="4">
        <f t="shared" si="58"/>
        <v>0</v>
      </c>
      <c r="L115" s="4"/>
      <c r="M115" s="4"/>
      <c r="N115" s="4"/>
      <c r="O115" s="4">
        <f t="shared" si="59"/>
        <v>0</v>
      </c>
      <c r="P115" s="4">
        <f t="shared" si="54"/>
        <v>600000</v>
      </c>
      <c r="Q115" s="4">
        <f t="shared" si="55"/>
        <v>500000</v>
      </c>
      <c r="R115" s="4">
        <f t="shared" si="47"/>
        <v>1100000</v>
      </c>
      <c r="S115" s="58"/>
    </row>
    <row r="116" spans="1:19" s="14" customFormat="1" ht="24" x14ac:dyDescent="0.2">
      <c r="A116" s="1" t="s">
        <v>162</v>
      </c>
      <c r="B116" s="2" t="s">
        <v>163</v>
      </c>
      <c r="C116" s="2" t="s">
        <v>22</v>
      </c>
      <c r="D116" s="3" t="s">
        <v>11</v>
      </c>
      <c r="E116" s="4">
        <v>23700000</v>
      </c>
      <c r="F116" s="4">
        <f t="shared" si="56"/>
        <v>-9500000</v>
      </c>
      <c r="G116" s="4">
        <f>-9500000</f>
        <v>-9500000</v>
      </c>
      <c r="H116" s="4"/>
      <c r="I116" s="4">
        <f t="shared" si="57"/>
        <v>14200000</v>
      </c>
      <c r="J116" s="4">
        <v>0</v>
      </c>
      <c r="K116" s="4">
        <f t="shared" si="58"/>
        <v>0</v>
      </c>
      <c r="L116" s="4"/>
      <c r="M116" s="4"/>
      <c r="N116" s="4"/>
      <c r="O116" s="4">
        <f t="shared" si="59"/>
        <v>0</v>
      </c>
      <c r="P116" s="4">
        <f t="shared" si="54"/>
        <v>23700000</v>
      </c>
      <c r="Q116" s="4">
        <f t="shared" si="55"/>
        <v>-9500000</v>
      </c>
      <c r="R116" s="4">
        <f t="shared" si="47"/>
        <v>14200000</v>
      </c>
      <c r="S116" s="58"/>
    </row>
    <row r="117" spans="1:19" s="14" customFormat="1" ht="24" x14ac:dyDescent="0.2">
      <c r="A117" s="1" t="s">
        <v>129</v>
      </c>
      <c r="B117" s="2">
        <v>3050</v>
      </c>
      <c r="C117" s="2" t="s">
        <v>22</v>
      </c>
      <c r="D117" s="3" t="s">
        <v>53</v>
      </c>
      <c r="E117" s="4">
        <v>246200</v>
      </c>
      <c r="F117" s="4">
        <f t="shared" si="56"/>
        <v>4800</v>
      </c>
      <c r="G117" s="4">
        <v>4800</v>
      </c>
      <c r="H117" s="4"/>
      <c r="I117" s="4">
        <f t="shared" si="57"/>
        <v>251000</v>
      </c>
      <c r="J117" s="4">
        <v>0</v>
      </c>
      <c r="K117" s="4">
        <f t="shared" si="58"/>
        <v>0</v>
      </c>
      <c r="L117" s="4"/>
      <c r="M117" s="4"/>
      <c r="N117" s="4"/>
      <c r="O117" s="4">
        <f t="shared" si="59"/>
        <v>0</v>
      </c>
      <c r="P117" s="4">
        <f t="shared" si="54"/>
        <v>246200</v>
      </c>
      <c r="Q117" s="4">
        <f t="shared" si="55"/>
        <v>4800</v>
      </c>
      <c r="R117" s="4">
        <f t="shared" si="47"/>
        <v>251000</v>
      </c>
      <c r="S117" s="58"/>
    </row>
    <row r="118" spans="1:19" s="14" customFormat="1" ht="24" x14ac:dyDescent="0.2">
      <c r="A118" s="1" t="s">
        <v>130</v>
      </c>
      <c r="B118" s="2">
        <v>3090</v>
      </c>
      <c r="C118" s="2" t="s">
        <v>45</v>
      </c>
      <c r="D118" s="3" t="s">
        <v>284</v>
      </c>
      <c r="E118" s="4">
        <v>160200</v>
      </c>
      <c r="F118" s="4">
        <f t="shared" si="56"/>
        <v>-10000</v>
      </c>
      <c r="G118" s="4">
        <v>-10000</v>
      </c>
      <c r="H118" s="4"/>
      <c r="I118" s="4">
        <f t="shared" si="57"/>
        <v>150200</v>
      </c>
      <c r="J118" s="4"/>
      <c r="K118" s="4"/>
      <c r="L118" s="4"/>
      <c r="M118" s="4"/>
      <c r="N118" s="4"/>
      <c r="O118" s="4"/>
      <c r="P118" s="4">
        <f t="shared" si="54"/>
        <v>160200</v>
      </c>
      <c r="Q118" s="4">
        <f t="shared" si="55"/>
        <v>-10000</v>
      </c>
      <c r="R118" s="4">
        <f t="shared" si="47"/>
        <v>150200</v>
      </c>
      <c r="S118" s="58"/>
    </row>
    <row r="119" spans="1:19" s="14" customFormat="1" ht="60" x14ac:dyDescent="0.2">
      <c r="A119" s="1" t="s">
        <v>258</v>
      </c>
      <c r="B119" s="2" t="s">
        <v>259</v>
      </c>
      <c r="C119" s="2" t="s">
        <v>47</v>
      </c>
      <c r="D119" s="3" t="s">
        <v>260</v>
      </c>
      <c r="E119" s="4">
        <v>2242100</v>
      </c>
      <c r="F119" s="4">
        <f t="shared" si="56"/>
        <v>0</v>
      </c>
      <c r="G119" s="4"/>
      <c r="H119" s="4"/>
      <c r="I119" s="4">
        <f t="shared" si="57"/>
        <v>2242100</v>
      </c>
      <c r="J119" s="4">
        <v>0</v>
      </c>
      <c r="K119" s="4">
        <f t="shared" si="58"/>
        <v>0</v>
      </c>
      <c r="L119" s="4"/>
      <c r="M119" s="4"/>
      <c r="N119" s="4"/>
      <c r="O119" s="4">
        <f t="shared" si="59"/>
        <v>0</v>
      </c>
      <c r="P119" s="4">
        <f t="shared" si="54"/>
        <v>2242100</v>
      </c>
      <c r="Q119" s="4">
        <f t="shared" si="55"/>
        <v>0</v>
      </c>
      <c r="R119" s="4">
        <f t="shared" si="47"/>
        <v>2242100</v>
      </c>
      <c r="S119" s="58"/>
    </row>
    <row r="120" spans="1:19" s="14" customFormat="1" ht="60" x14ac:dyDescent="0.2">
      <c r="A120" s="1" t="s">
        <v>246</v>
      </c>
      <c r="B120" s="2" t="s">
        <v>247</v>
      </c>
      <c r="C120" s="2" t="s">
        <v>46</v>
      </c>
      <c r="D120" s="3" t="s">
        <v>245</v>
      </c>
      <c r="E120" s="4">
        <v>16000000</v>
      </c>
      <c r="F120" s="4">
        <f t="shared" si="56"/>
        <v>0</v>
      </c>
      <c r="G120" s="4"/>
      <c r="H120" s="4"/>
      <c r="I120" s="4">
        <f t="shared" si="57"/>
        <v>16000000</v>
      </c>
      <c r="J120" s="4">
        <v>0</v>
      </c>
      <c r="K120" s="4">
        <f t="shared" si="58"/>
        <v>0</v>
      </c>
      <c r="L120" s="4"/>
      <c r="M120" s="4"/>
      <c r="N120" s="4"/>
      <c r="O120" s="4">
        <f t="shared" si="59"/>
        <v>0</v>
      </c>
      <c r="P120" s="4">
        <f t="shared" si="54"/>
        <v>16000000</v>
      </c>
      <c r="Q120" s="4">
        <f t="shared" si="55"/>
        <v>0</v>
      </c>
      <c r="R120" s="4">
        <f t="shared" si="47"/>
        <v>16000000</v>
      </c>
      <c r="S120" s="58"/>
    </row>
    <row r="121" spans="1:19" s="14" customFormat="1" ht="36" x14ac:dyDescent="0.2">
      <c r="A121" s="1" t="s">
        <v>475</v>
      </c>
      <c r="B121" s="2" t="s">
        <v>476</v>
      </c>
      <c r="C121" s="2"/>
      <c r="D121" s="3" t="s">
        <v>477</v>
      </c>
      <c r="E121" s="4"/>
      <c r="F121" s="4">
        <f t="shared" si="56"/>
        <v>150000</v>
      </c>
      <c r="G121" s="4">
        <v>150000</v>
      </c>
      <c r="H121" s="4"/>
      <c r="I121" s="4">
        <f t="shared" si="57"/>
        <v>150000</v>
      </c>
      <c r="J121" s="4"/>
      <c r="K121" s="4"/>
      <c r="L121" s="4"/>
      <c r="M121" s="4"/>
      <c r="N121" s="4"/>
      <c r="O121" s="4"/>
      <c r="P121" s="4">
        <f t="shared" si="54"/>
        <v>0</v>
      </c>
      <c r="Q121" s="4">
        <f t="shared" si="55"/>
        <v>150000</v>
      </c>
      <c r="R121" s="4">
        <f t="shared" si="47"/>
        <v>150000</v>
      </c>
      <c r="S121" s="58"/>
    </row>
    <row r="122" spans="1:19" s="14" customFormat="1" ht="12" x14ac:dyDescent="0.2">
      <c r="A122" s="1" t="s">
        <v>251</v>
      </c>
      <c r="B122" s="2" t="s">
        <v>252</v>
      </c>
      <c r="C122" s="2"/>
      <c r="D122" s="3" t="s">
        <v>285</v>
      </c>
      <c r="E122" s="4">
        <f>E123+E128</f>
        <v>23615903</v>
      </c>
      <c r="F122" s="4">
        <f t="shared" ref="F122:O122" si="61">F123+F128</f>
        <v>205000</v>
      </c>
      <c r="G122" s="4">
        <f t="shared" si="61"/>
        <v>205000</v>
      </c>
      <c r="H122" s="4">
        <f t="shared" si="61"/>
        <v>0</v>
      </c>
      <c r="I122" s="4">
        <f t="shared" si="61"/>
        <v>23820903</v>
      </c>
      <c r="J122" s="4">
        <f t="shared" si="61"/>
        <v>0</v>
      </c>
      <c r="K122" s="4">
        <f t="shared" si="61"/>
        <v>0</v>
      </c>
      <c r="L122" s="4">
        <f t="shared" si="61"/>
        <v>0</v>
      </c>
      <c r="M122" s="4">
        <f t="shared" si="61"/>
        <v>0</v>
      </c>
      <c r="N122" s="4">
        <f t="shared" si="61"/>
        <v>0</v>
      </c>
      <c r="O122" s="4">
        <f t="shared" si="61"/>
        <v>0</v>
      </c>
      <c r="P122" s="4">
        <f t="shared" si="54"/>
        <v>23615903</v>
      </c>
      <c r="Q122" s="4">
        <f t="shared" si="55"/>
        <v>205000</v>
      </c>
      <c r="R122" s="4">
        <f t="shared" si="47"/>
        <v>23820903</v>
      </c>
      <c r="S122" s="58"/>
    </row>
    <row r="123" spans="1:19" s="14" customFormat="1" ht="24" x14ac:dyDescent="0.2">
      <c r="A123" s="1" t="s">
        <v>248</v>
      </c>
      <c r="B123" s="2" t="s">
        <v>249</v>
      </c>
      <c r="C123" s="2" t="s">
        <v>49</v>
      </c>
      <c r="D123" s="3" t="s">
        <v>250</v>
      </c>
      <c r="E123" s="4">
        <f>E125+E126+E127</f>
        <v>5485900</v>
      </c>
      <c r="F123" s="4">
        <f t="shared" ref="F123:O123" si="62">F125+F126+F127</f>
        <v>0</v>
      </c>
      <c r="G123" s="4">
        <f t="shared" si="62"/>
        <v>0</v>
      </c>
      <c r="H123" s="4">
        <f t="shared" si="62"/>
        <v>0</v>
      </c>
      <c r="I123" s="4">
        <f t="shared" si="62"/>
        <v>5485900</v>
      </c>
      <c r="J123" s="4">
        <f t="shared" si="62"/>
        <v>0</v>
      </c>
      <c r="K123" s="4">
        <f t="shared" si="62"/>
        <v>0</v>
      </c>
      <c r="L123" s="4">
        <f t="shared" si="62"/>
        <v>0</v>
      </c>
      <c r="M123" s="4">
        <f t="shared" si="62"/>
        <v>0</v>
      </c>
      <c r="N123" s="4">
        <f t="shared" si="62"/>
        <v>0</v>
      </c>
      <c r="O123" s="4">
        <f t="shared" si="62"/>
        <v>0</v>
      </c>
      <c r="P123" s="4">
        <f t="shared" si="54"/>
        <v>5485900</v>
      </c>
      <c r="Q123" s="4">
        <f t="shared" si="55"/>
        <v>0</v>
      </c>
      <c r="R123" s="4">
        <f t="shared" si="47"/>
        <v>5485900</v>
      </c>
      <c r="S123" s="58"/>
    </row>
    <row r="124" spans="1:19" s="14" customFormat="1" ht="12" x14ac:dyDescent="0.2">
      <c r="A124" s="1"/>
      <c r="B124" s="2"/>
      <c r="C124" s="2"/>
      <c r="D124" s="70" t="s">
        <v>256</v>
      </c>
      <c r="E124" s="4"/>
      <c r="F124" s="4"/>
      <c r="G124" s="4"/>
      <c r="H124" s="4"/>
      <c r="I124" s="4"/>
      <c r="J124" s="4"/>
      <c r="K124" s="4">
        <f t="shared" si="58"/>
        <v>0</v>
      </c>
      <c r="L124" s="4"/>
      <c r="M124" s="4"/>
      <c r="N124" s="4"/>
      <c r="O124" s="4">
        <f t="shared" si="59"/>
        <v>0</v>
      </c>
      <c r="P124" s="4">
        <f t="shared" si="54"/>
        <v>0</v>
      </c>
      <c r="Q124" s="4">
        <f t="shared" si="55"/>
        <v>0</v>
      </c>
      <c r="R124" s="4">
        <f t="shared" si="47"/>
        <v>0</v>
      </c>
      <c r="S124" s="58"/>
    </row>
    <row r="125" spans="1:19" s="14" customFormat="1" ht="12" x14ac:dyDescent="0.2">
      <c r="A125" s="1"/>
      <c r="B125" s="2"/>
      <c r="C125" s="2"/>
      <c r="D125" s="70" t="s">
        <v>218</v>
      </c>
      <c r="E125" s="4">
        <v>550000</v>
      </c>
      <c r="F125" s="4">
        <f t="shared" si="56"/>
        <v>0</v>
      </c>
      <c r="G125" s="4">
        <f>G126+G131</f>
        <v>0</v>
      </c>
      <c r="H125" s="4"/>
      <c r="I125" s="4">
        <f>E125+F125</f>
        <v>550000</v>
      </c>
      <c r="J125" s="4"/>
      <c r="K125" s="4">
        <f>K126+K131</f>
        <v>0</v>
      </c>
      <c r="L125" s="4"/>
      <c r="M125" s="4">
        <f t="shared" ref="M125" si="63">M126+M131</f>
        <v>0</v>
      </c>
      <c r="N125" s="4"/>
      <c r="O125" s="4">
        <f t="shared" si="59"/>
        <v>0</v>
      </c>
      <c r="P125" s="4">
        <f t="shared" si="54"/>
        <v>550000</v>
      </c>
      <c r="Q125" s="4">
        <f t="shared" si="55"/>
        <v>0</v>
      </c>
      <c r="R125" s="4">
        <f t="shared" si="47"/>
        <v>550000</v>
      </c>
      <c r="S125" s="58"/>
    </row>
    <row r="126" spans="1:19" s="14" customFormat="1" ht="24" x14ac:dyDescent="0.2">
      <c r="A126" s="1"/>
      <c r="B126" s="2"/>
      <c r="C126" s="2"/>
      <c r="D126" s="70" t="s">
        <v>219</v>
      </c>
      <c r="E126" s="4">
        <v>1755700</v>
      </c>
      <c r="F126" s="4">
        <f t="shared" si="56"/>
        <v>0</v>
      </c>
      <c r="G126" s="4"/>
      <c r="H126" s="4"/>
      <c r="I126" s="4">
        <f>E126+F126</f>
        <v>1755700</v>
      </c>
      <c r="J126" s="4"/>
      <c r="K126" s="4">
        <f>M126+N126</f>
        <v>0</v>
      </c>
      <c r="L126" s="4"/>
      <c r="M126" s="4"/>
      <c r="N126" s="4"/>
      <c r="O126" s="4">
        <f>J126+K126</f>
        <v>0</v>
      </c>
      <c r="P126" s="4">
        <f t="shared" si="54"/>
        <v>1755700</v>
      </c>
      <c r="Q126" s="4">
        <f t="shared" si="55"/>
        <v>0</v>
      </c>
      <c r="R126" s="4">
        <f t="shared" si="47"/>
        <v>1755700</v>
      </c>
      <c r="S126" s="58"/>
    </row>
    <row r="127" spans="1:19" s="14" customFormat="1" ht="12" x14ac:dyDescent="0.2">
      <c r="A127" s="1"/>
      <c r="B127" s="2"/>
      <c r="C127" s="2"/>
      <c r="D127" s="70" t="s">
        <v>220</v>
      </c>
      <c r="E127" s="4">
        <v>3180200</v>
      </c>
      <c r="F127" s="4">
        <f t="shared" si="56"/>
        <v>0</v>
      </c>
      <c r="G127" s="4"/>
      <c r="H127" s="4"/>
      <c r="I127" s="4">
        <f t="shared" si="57"/>
        <v>3180200</v>
      </c>
      <c r="J127" s="4"/>
      <c r="K127" s="4">
        <f t="shared" si="58"/>
        <v>0</v>
      </c>
      <c r="L127" s="4"/>
      <c r="M127" s="4"/>
      <c r="N127" s="4"/>
      <c r="O127" s="4">
        <f t="shared" si="59"/>
        <v>0</v>
      </c>
      <c r="P127" s="4">
        <f t="shared" si="54"/>
        <v>3180200</v>
      </c>
      <c r="Q127" s="4">
        <f t="shared" si="55"/>
        <v>0</v>
      </c>
      <c r="R127" s="4">
        <f t="shared" si="47"/>
        <v>3180200</v>
      </c>
      <c r="S127" s="58"/>
    </row>
    <row r="128" spans="1:19" s="14" customFormat="1" ht="24" x14ac:dyDescent="0.2">
      <c r="A128" s="1" t="s">
        <v>253</v>
      </c>
      <c r="B128" s="2" t="s">
        <v>254</v>
      </c>
      <c r="C128" s="2" t="s">
        <v>49</v>
      </c>
      <c r="D128" s="3" t="s">
        <v>255</v>
      </c>
      <c r="E128" s="4">
        <f>E130+E131</f>
        <v>18130003</v>
      </c>
      <c r="F128" s="4">
        <f t="shared" ref="F128:O128" si="64">F130+F131</f>
        <v>205000</v>
      </c>
      <c r="G128" s="4">
        <f t="shared" si="64"/>
        <v>205000</v>
      </c>
      <c r="H128" s="4">
        <f t="shared" si="64"/>
        <v>0</v>
      </c>
      <c r="I128" s="4">
        <f t="shared" si="64"/>
        <v>18335003</v>
      </c>
      <c r="J128" s="4">
        <f t="shared" si="64"/>
        <v>0</v>
      </c>
      <c r="K128" s="4">
        <f t="shared" si="64"/>
        <v>0</v>
      </c>
      <c r="L128" s="4">
        <f t="shared" si="64"/>
        <v>0</v>
      </c>
      <c r="M128" s="4">
        <f t="shared" si="64"/>
        <v>0</v>
      </c>
      <c r="N128" s="4">
        <f t="shared" si="64"/>
        <v>0</v>
      </c>
      <c r="O128" s="4">
        <f t="shared" si="64"/>
        <v>0</v>
      </c>
      <c r="P128" s="4">
        <f t="shared" si="54"/>
        <v>18130003</v>
      </c>
      <c r="Q128" s="4">
        <f t="shared" si="55"/>
        <v>205000</v>
      </c>
      <c r="R128" s="4">
        <f t="shared" si="47"/>
        <v>18335003</v>
      </c>
      <c r="S128" s="58"/>
    </row>
    <row r="129" spans="1:19" s="14" customFormat="1" ht="12" x14ac:dyDescent="0.2">
      <c r="A129" s="1"/>
      <c r="B129" s="2"/>
      <c r="C129" s="2"/>
      <c r="D129" s="70" t="s">
        <v>256</v>
      </c>
      <c r="E129" s="4"/>
      <c r="F129" s="4">
        <f t="shared" si="56"/>
        <v>0</v>
      </c>
      <c r="G129" s="4"/>
      <c r="H129" s="4"/>
      <c r="I129" s="4">
        <f t="shared" si="57"/>
        <v>0</v>
      </c>
      <c r="J129" s="4"/>
      <c r="K129" s="4">
        <f t="shared" si="58"/>
        <v>0</v>
      </c>
      <c r="L129" s="4"/>
      <c r="M129" s="4"/>
      <c r="N129" s="4"/>
      <c r="O129" s="4">
        <f t="shared" si="59"/>
        <v>0</v>
      </c>
      <c r="P129" s="4">
        <f t="shared" si="54"/>
        <v>0</v>
      </c>
      <c r="Q129" s="4">
        <f t="shared" si="55"/>
        <v>0</v>
      </c>
      <c r="R129" s="4">
        <f t="shared" si="47"/>
        <v>0</v>
      </c>
      <c r="S129" s="58"/>
    </row>
    <row r="130" spans="1:19" s="14" customFormat="1" ht="12" x14ac:dyDescent="0.2">
      <c r="A130" s="1"/>
      <c r="B130" s="2"/>
      <c r="C130" s="2"/>
      <c r="D130" s="70" t="s">
        <v>257</v>
      </c>
      <c r="E130" s="4">
        <f>17590000</f>
        <v>17590000</v>
      </c>
      <c r="F130" s="4">
        <f t="shared" si="56"/>
        <v>205000</v>
      </c>
      <c r="G130" s="4">
        <f>-199900+404900</f>
        <v>205000</v>
      </c>
      <c r="H130" s="4"/>
      <c r="I130" s="4">
        <f t="shared" si="57"/>
        <v>17795000</v>
      </c>
      <c r="J130" s="4"/>
      <c r="K130" s="4">
        <f t="shared" si="58"/>
        <v>0</v>
      </c>
      <c r="L130" s="4"/>
      <c r="M130" s="4"/>
      <c r="N130" s="4"/>
      <c r="O130" s="4">
        <f t="shared" si="59"/>
        <v>0</v>
      </c>
      <c r="P130" s="4">
        <f t="shared" si="54"/>
        <v>17590000</v>
      </c>
      <c r="Q130" s="4">
        <f t="shared" si="55"/>
        <v>205000</v>
      </c>
      <c r="R130" s="4">
        <f t="shared" si="47"/>
        <v>17795000</v>
      </c>
      <c r="S130" s="58"/>
    </row>
    <row r="131" spans="1:19" s="14" customFormat="1" ht="12" x14ac:dyDescent="0.2">
      <c r="A131" s="1"/>
      <c r="B131" s="2"/>
      <c r="C131" s="2"/>
      <c r="D131" s="70" t="s">
        <v>217</v>
      </c>
      <c r="E131" s="4">
        <v>540003</v>
      </c>
      <c r="F131" s="4">
        <f t="shared" si="56"/>
        <v>0</v>
      </c>
      <c r="G131" s="4"/>
      <c r="H131" s="4"/>
      <c r="I131" s="4">
        <f>E131+F131</f>
        <v>540003</v>
      </c>
      <c r="J131" s="4">
        <v>0</v>
      </c>
      <c r="K131" s="4">
        <f t="shared" si="58"/>
        <v>0</v>
      </c>
      <c r="L131" s="4"/>
      <c r="M131" s="4"/>
      <c r="N131" s="4"/>
      <c r="O131" s="4">
        <f t="shared" si="59"/>
        <v>0</v>
      </c>
      <c r="P131" s="4">
        <f t="shared" si="54"/>
        <v>540003</v>
      </c>
      <c r="Q131" s="4">
        <f t="shared" si="55"/>
        <v>0</v>
      </c>
      <c r="R131" s="4">
        <f t="shared" si="47"/>
        <v>540003</v>
      </c>
      <c r="S131" s="58"/>
    </row>
    <row r="132" spans="1:19" s="14" customFormat="1" ht="48" x14ac:dyDescent="0.2">
      <c r="A132" s="1" t="s">
        <v>131</v>
      </c>
      <c r="B132" s="2">
        <v>3104</v>
      </c>
      <c r="C132" s="2" t="s">
        <v>48</v>
      </c>
      <c r="D132" s="3" t="s">
        <v>4</v>
      </c>
      <c r="E132" s="4">
        <v>12343400</v>
      </c>
      <c r="F132" s="4">
        <f t="shared" si="56"/>
        <v>0</v>
      </c>
      <c r="G132" s="4"/>
      <c r="H132" s="4"/>
      <c r="I132" s="4">
        <f t="shared" si="57"/>
        <v>12343400</v>
      </c>
      <c r="J132" s="4">
        <v>0</v>
      </c>
      <c r="K132" s="4">
        <f t="shared" si="58"/>
        <v>0</v>
      </c>
      <c r="L132" s="4"/>
      <c r="M132" s="4"/>
      <c r="N132" s="4"/>
      <c r="O132" s="4">
        <f t="shared" si="59"/>
        <v>0</v>
      </c>
      <c r="P132" s="4">
        <f t="shared" si="54"/>
        <v>12343400</v>
      </c>
      <c r="Q132" s="4">
        <f t="shared" si="55"/>
        <v>0</v>
      </c>
      <c r="R132" s="4">
        <f t="shared" si="47"/>
        <v>12343400</v>
      </c>
      <c r="S132" s="58"/>
    </row>
    <row r="133" spans="1:19" s="14" customFormat="1" ht="24" x14ac:dyDescent="0.2">
      <c r="A133" s="1" t="s">
        <v>132</v>
      </c>
      <c r="B133" s="2" t="s">
        <v>105</v>
      </c>
      <c r="C133" s="2" t="s">
        <v>34</v>
      </c>
      <c r="D133" s="3" t="s">
        <v>413</v>
      </c>
      <c r="E133" s="4">
        <v>5167600</v>
      </c>
      <c r="F133" s="4">
        <f t="shared" si="56"/>
        <v>49900</v>
      </c>
      <c r="G133" s="4">
        <v>49900</v>
      </c>
      <c r="H133" s="4"/>
      <c r="I133" s="4">
        <f t="shared" si="57"/>
        <v>5217500</v>
      </c>
      <c r="J133" s="4">
        <v>0</v>
      </c>
      <c r="K133" s="4">
        <f t="shared" si="58"/>
        <v>0</v>
      </c>
      <c r="L133" s="4"/>
      <c r="M133" s="4"/>
      <c r="N133" s="4"/>
      <c r="O133" s="4">
        <f t="shared" si="59"/>
        <v>0</v>
      </c>
      <c r="P133" s="4">
        <f t="shared" si="54"/>
        <v>5167600</v>
      </c>
      <c r="Q133" s="4">
        <f t="shared" si="55"/>
        <v>49900</v>
      </c>
      <c r="R133" s="4">
        <f t="shared" si="47"/>
        <v>5217500</v>
      </c>
      <c r="S133" s="58"/>
    </row>
    <row r="134" spans="1:19" s="14" customFormat="1" ht="24" x14ac:dyDescent="0.2">
      <c r="A134" s="1"/>
      <c r="B134" s="2"/>
      <c r="C134" s="2"/>
      <c r="D134" s="70" t="s">
        <v>221</v>
      </c>
      <c r="E134" s="4">
        <v>525600</v>
      </c>
      <c r="F134" s="4">
        <f t="shared" si="56"/>
        <v>0</v>
      </c>
      <c r="G134" s="4"/>
      <c r="H134" s="4"/>
      <c r="I134" s="4">
        <f t="shared" si="57"/>
        <v>525600</v>
      </c>
      <c r="J134" s="4">
        <v>0</v>
      </c>
      <c r="K134" s="4">
        <f t="shared" si="58"/>
        <v>0</v>
      </c>
      <c r="L134" s="4"/>
      <c r="M134" s="4"/>
      <c r="N134" s="4"/>
      <c r="O134" s="4">
        <f t="shared" si="59"/>
        <v>0</v>
      </c>
      <c r="P134" s="4">
        <f t="shared" si="54"/>
        <v>525600</v>
      </c>
      <c r="Q134" s="4">
        <f t="shared" si="55"/>
        <v>0</v>
      </c>
      <c r="R134" s="4">
        <f t="shared" si="47"/>
        <v>525600</v>
      </c>
      <c r="S134" s="58"/>
    </row>
    <row r="135" spans="1:19" s="14" customFormat="1" ht="12" x14ac:dyDescent="0.2">
      <c r="A135" s="1" t="s">
        <v>491</v>
      </c>
      <c r="B135" s="2" t="s">
        <v>492</v>
      </c>
      <c r="C135" s="2" t="s">
        <v>209</v>
      </c>
      <c r="D135" s="3" t="s">
        <v>493</v>
      </c>
      <c r="E135" s="4"/>
      <c r="F135" s="4">
        <f t="shared" si="56"/>
        <v>0</v>
      </c>
      <c r="G135" s="4"/>
      <c r="H135" s="4"/>
      <c r="I135" s="4">
        <f t="shared" si="57"/>
        <v>0</v>
      </c>
      <c r="J135" s="4"/>
      <c r="K135" s="4">
        <f t="shared" si="58"/>
        <v>10700</v>
      </c>
      <c r="L135" s="4">
        <f>10700</f>
        <v>10700</v>
      </c>
      <c r="M135" s="4"/>
      <c r="N135" s="4">
        <f>10700</f>
        <v>10700</v>
      </c>
      <c r="O135" s="4">
        <f t="shared" si="59"/>
        <v>10700</v>
      </c>
      <c r="P135" s="4">
        <f t="shared" si="54"/>
        <v>0</v>
      </c>
      <c r="Q135" s="4">
        <f t="shared" si="55"/>
        <v>10700</v>
      </c>
      <c r="R135" s="4">
        <f t="shared" si="47"/>
        <v>10700</v>
      </c>
      <c r="S135" s="58"/>
    </row>
    <row r="136" spans="1:19" s="14" customFormat="1" ht="12" x14ac:dyDescent="0.2">
      <c r="A136" s="1" t="s">
        <v>494</v>
      </c>
      <c r="B136" s="2" t="s">
        <v>239</v>
      </c>
      <c r="C136" s="2" t="s">
        <v>209</v>
      </c>
      <c r="D136" s="3" t="s">
        <v>480</v>
      </c>
      <c r="E136" s="4"/>
      <c r="F136" s="4">
        <f t="shared" si="56"/>
        <v>0</v>
      </c>
      <c r="G136" s="4"/>
      <c r="H136" s="4"/>
      <c r="I136" s="4">
        <f t="shared" si="57"/>
        <v>0</v>
      </c>
      <c r="J136" s="4"/>
      <c r="K136" s="4">
        <f t="shared" si="58"/>
        <v>200006</v>
      </c>
      <c r="L136" s="4">
        <f>200006</f>
        <v>200006</v>
      </c>
      <c r="M136" s="4"/>
      <c r="N136" s="4">
        <f>200006</f>
        <v>200006</v>
      </c>
      <c r="O136" s="4">
        <f t="shared" si="59"/>
        <v>200006</v>
      </c>
      <c r="P136" s="4">
        <f t="shared" si="54"/>
        <v>0</v>
      </c>
      <c r="Q136" s="4">
        <f t="shared" si="55"/>
        <v>200006</v>
      </c>
      <c r="R136" s="4">
        <f t="shared" si="47"/>
        <v>200006</v>
      </c>
      <c r="S136" s="58"/>
    </row>
    <row r="137" spans="1:19" s="14" customFormat="1" ht="84" x14ac:dyDescent="0.2">
      <c r="A137" s="1" t="s">
        <v>275</v>
      </c>
      <c r="B137" s="2" t="s">
        <v>271</v>
      </c>
      <c r="C137" s="2" t="s">
        <v>24</v>
      </c>
      <c r="D137" s="3" t="s">
        <v>272</v>
      </c>
      <c r="E137" s="4"/>
      <c r="F137" s="4">
        <f t="shared" si="56"/>
        <v>0</v>
      </c>
      <c r="G137" s="4"/>
      <c r="H137" s="4"/>
      <c r="I137" s="4">
        <f t="shared" si="57"/>
        <v>0</v>
      </c>
      <c r="J137" s="4">
        <v>700000</v>
      </c>
      <c r="K137" s="4">
        <f t="shared" si="58"/>
        <v>800000</v>
      </c>
      <c r="L137" s="4"/>
      <c r="M137" s="4">
        <v>800000</v>
      </c>
      <c r="N137" s="4"/>
      <c r="O137" s="4">
        <f t="shared" si="59"/>
        <v>1500000</v>
      </c>
      <c r="P137" s="4">
        <f t="shared" si="54"/>
        <v>700000</v>
      </c>
      <c r="Q137" s="4">
        <f t="shared" si="55"/>
        <v>800000</v>
      </c>
      <c r="R137" s="4">
        <f t="shared" si="47"/>
        <v>1500000</v>
      </c>
      <c r="S137" s="58"/>
    </row>
    <row r="138" spans="1:19" s="14" customFormat="1" ht="36" x14ac:dyDescent="0.2">
      <c r="A138" s="71" t="s">
        <v>536</v>
      </c>
      <c r="B138" s="2" t="s">
        <v>537</v>
      </c>
      <c r="C138" s="2" t="s">
        <v>49</v>
      </c>
      <c r="D138" s="70" t="s">
        <v>538</v>
      </c>
      <c r="E138" s="4">
        <v>25000</v>
      </c>
      <c r="F138" s="4">
        <f t="shared" si="56"/>
        <v>0</v>
      </c>
      <c r="G138" s="4"/>
      <c r="H138" s="4"/>
      <c r="I138" s="4">
        <f t="shared" si="57"/>
        <v>25000</v>
      </c>
      <c r="J138" s="4"/>
      <c r="K138" s="4">
        <f t="shared" si="58"/>
        <v>0</v>
      </c>
      <c r="L138" s="4"/>
      <c r="M138" s="4"/>
      <c r="N138" s="4"/>
      <c r="O138" s="4">
        <f t="shared" si="59"/>
        <v>0</v>
      </c>
      <c r="P138" s="4">
        <f t="shared" si="54"/>
        <v>25000</v>
      </c>
      <c r="Q138" s="4">
        <f t="shared" si="55"/>
        <v>0</v>
      </c>
      <c r="R138" s="4">
        <f t="shared" si="47"/>
        <v>25000</v>
      </c>
      <c r="S138" s="58"/>
    </row>
    <row r="139" spans="1:19" s="13" customFormat="1" ht="24" x14ac:dyDescent="0.2">
      <c r="A139" s="16" t="s">
        <v>115</v>
      </c>
      <c r="B139" s="10"/>
      <c r="C139" s="10"/>
      <c r="D139" s="11" t="s">
        <v>326</v>
      </c>
      <c r="E139" s="12">
        <f>E141+E142</f>
        <v>4700600</v>
      </c>
      <c r="F139" s="12">
        <f t="shared" ref="F139:Q139" si="65">F141+F142</f>
        <v>0</v>
      </c>
      <c r="G139" s="12">
        <f t="shared" si="65"/>
        <v>0</v>
      </c>
      <c r="H139" s="12">
        <f t="shared" si="65"/>
        <v>0</v>
      </c>
      <c r="I139" s="12">
        <f t="shared" si="65"/>
        <v>4700600</v>
      </c>
      <c r="J139" s="12">
        <f t="shared" si="65"/>
        <v>780000</v>
      </c>
      <c r="K139" s="12">
        <f t="shared" si="65"/>
        <v>-230000</v>
      </c>
      <c r="L139" s="12">
        <f t="shared" si="65"/>
        <v>70000</v>
      </c>
      <c r="M139" s="12">
        <f t="shared" si="65"/>
        <v>-300000</v>
      </c>
      <c r="N139" s="12">
        <f t="shared" si="65"/>
        <v>70000</v>
      </c>
      <c r="O139" s="12">
        <f>O141+O142</f>
        <v>550000</v>
      </c>
      <c r="P139" s="12">
        <f>P141+P142</f>
        <v>5480600</v>
      </c>
      <c r="Q139" s="12">
        <f t="shared" si="65"/>
        <v>-230000</v>
      </c>
      <c r="R139" s="12">
        <f>R141+R142</f>
        <v>5250600</v>
      </c>
      <c r="S139" s="58"/>
    </row>
    <row r="140" spans="1:19" s="13" customFormat="1" ht="24" x14ac:dyDescent="0.2">
      <c r="A140" s="16" t="s">
        <v>147</v>
      </c>
      <c r="B140" s="10"/>
      <c r="C140" s="10"/>
      <c r="D140" s="11" t="s">
        <v>326</v>
      </c>
      <c r="E140" s="12"/>
      <c r="F140" s="12"/>
      <c r="G140" s="12"/>
      <c r="H140" s="12"/>
      <c r="I140" s="12"/>
      <c r="J140" s="4"/>
      <c r="K140" s="4"/>
      <c r="L140" s="12"/>
      <c r="M140" s="12"/>
      <c r="N140" s="12"/>
      <c r="O140" s="12"/>
      <c r="P140" s="4">
        <f t="shared" si="54"/>
        <v>0</v>
      </c>
      <c r="Q140" s="12">
        <f t="shared" si="55"/>
        <v>0</v>
      </c>
      <c r="R140" s="12">
        <f t="shared" si="47"/>
        <v>0</v>
      </c>
      <c r="S140" s="58"/>
    </row>
    <row r="141" spans="1:19" s="14" customFormat="1" ht="24" x14ac:dyDescent="0.2">
      <c r="A141" s="1" t="s">
        <v>148</v>
      </c>
      <c r="B141" s="2" t="s">
        <v>59</v>
      </c>
      <c r="C141" s="2" t="s">
        <v>21</v>
      </c>
      <c r="D141" s="3" t="s">
        <v>368</v>
      </c>
      <c r="E141" s="4">
        <v>4700600</v>
      </c>
      <c r="F141" s="4">
        <f>G141</f>
        <v>0</v>
      </c>
      <c r="G141" s="4"/>
      <c r="H141" s="4"/>
      <c r="I141" s="4">
        <f t="shared" ref="I141:I142" si="66">E141+F141</f>
        <v>4700600</v>
      </c>
      <c r="J141" s="4"/>
      <c r="K141" s="4">
        <f t="shared" ref="K141:K142" si="67">M141+N141</f>
        <v>70000</v>
      </c>
      <c r="L141" s="4">
        <f>70000</f>
        <v>70000</v>
      </c>
      <c r="M141" s="4"/>
      <c r="N141" s="4">
        <f>70000</f>
        <v>70000</v>
      </c>
      <c r="O141" s="4">
        <f t="shared" ref="O141:O142" si="68">J141+K141</f>
        <v>70000</v>
      </c>
      <c r="P141" s="4">
        <f t="shared" si="54"/>
        <v>4700600</v>
      </c>
      <c r="Q141" s="4">
        <f t="shared" si="55"/>
        <v>70000</v>
      </c>
      <c r="R141" s="4">
        <f t="shared" si="47"/>
        <v>4770600</v>
      </c>
      <c r="S141" s="58"/>
    </row>
    <row r="142" spans="1:19" s="14" customFormat="1" ht="84" x14ac:dyDescent="0.2">
      <c r="A142" s="1" t="s">
        <v>276</v>
      </c>
      <c r="B142" s="2" t="s">
        <v>271</v>
      </c>
      <c r="C142" s="2" t="s">
        <v>24</v>
      </c>
      <c r="D142" s="3" t="s">
        <v>272</v>
      </c>
      <c r="E142" s="4">
        <v>0</v>
      </c>
      <c r="F142" s="4">
        <f>G142</f>
        <v>0</v>
      </c>
      <c r="G142" s="4"/>
      <c r="H142" s="4"/>
      <c r="I142" s="4">
        <f t="shared" si="66"/>
        <v>0</v>
      </c>
      <c r="J142" s="4">
        <v>780000</v>
      </c>
      <c r="K142" s="4">
        <f t="shared" si="67"/>
        <v>-300000</v>
      </c>
      <c r="L142" s="4"/>
      <c r="M142" s="4">
        <v>-300000</v>
      </c>
      <c r="N142" s="4"/>
      <c r="O142" s="4">
        <f t="shared" si="68"/>
        <v>480000</v>
      </c>
      <c r="P142" s="4">
        <f t="shared" si="54"/>
        <v>780000</v>
      </c>
      <c r="Q142" s="4">
        <f t="shared" si="55"/>
        <v>-300000</v>
      </c>
      <c r="R142" s="4">
        <f t="shared" si="47"/>
        <v>480000</v>
      </c>
      <c r="S142" s="58"/>
    </row>
    <row r="143" spans="1:19" s="13" customFormat="1" ht="24" x14ac:dyDescent="0.2">
      <c r="A143" s="16" t="s">
        <v>116</v>
      </c>
      <c r="B143" s="10"/>
      <c r="C143" s="10"/>
      <c r="D143" s="17" t="s">
        <v>323</v>
      </c>
      <c r="E143" s="12">
        <f>E145+E146+E148+E149+E150+E151+E152+E153</f>
        <v>113651000</v>
      </c>
      <c r="F143" s="12">
        <f t="shared" ref="F143:I143" si="69">F145+F146+F148+F149+F150+F151+F152+F153</f>
        <v>297352</v>
      </c>
      <c r="G143" s="12">
        <f t="shared" si="69"/>
        <v>297352</v>
      </c>
      <c r="H143" s="12">
        <f t="shared" si="69"/>
        <v>0</v>
      </c>
      <c r="I143" s="12">
        <f t="shared" si="69"/>
        <v>113948352</v>
      </c>
      <c r="J143" s="12">
        <f>J145+J146+J148+J149+J150+J151+J152+J153+J154+J155</f>
        <v>3245000</v>
      </c>
      <c r="K143" s="12">
        <f t="shared" ref="K143:N143" si="70">K145+K146+K148+K149+K150+K151+K152+K153+K154+K155</f>
        <v>545284</v>
      </c>
      <c r="L143" s="12">
        <f t="shared" si="70"/>
        <v>545284</v>
      </c>
      <c r="M143" s="12">
        <f t="shared" si="70"/>
        <v>0</v>
      </c>
      <c r="N143" s="12">
        <f t="shared" si="70"/>
        <v>545284</v>
      </c>
      <c r="O143" s="12">
        <f>O145+O146+O148+O149+O150+O151+O152+O153+O154+O155</f>
        <v>3790284</v>
      </c>
      <c r="P143" s="12">
        <f>P145+P146+P148+P149+P150+P151+P152+P153+P154+P155</f>
        <v>116896000</v>
      </c>
      <c r="Q143" s="12">
        <f>Q145+Q146+Q148+Q149+Q150+Q151+Q152+Q153+Q154+Q155</f>
        <v>842636</v>
      </c>
      <c r="R143" s="12">
        <f>R145+R146+R148+R149+R150+R151+R152+R153+R154+R155</f>
        <v>117738636</v>
      </c>
      <c r="S143" s="58"/>
    </row>
    <row r="144" spans="1:19" s="13" customFormat="1" ht="24" x14ac:dyDescent="0.2">
      <c r="A144" s="16" t="s">
        <v>149</v>
      </c>
      <c r="B144" s="10"/>
      <c r="C144" s="10"/>
      <c r="D144" s="17" t="s">
        <v>323</v>
      </c>
      <c r="E144" s="12"/>
      <c r="F144" s="12"/>
      <c r="G144" s="12"/>
      <c r="H144" s="12"/>
      <c r="I144" s="12"/>
      <c r="J144" s="4"/>
      <c r="K144" s="4"/>
      <c r="L144" s="12"/>
      <c r="M144" s="12"/>
      <c r="N144" s="12"/>
      <c r="O144" s="12"/>
      <c r="P144" s="12">
        <f t="shared" si="54"/>
        <v>0</v>
      </c>
      <c r="Q144" s="12">
        <f t="shared" si="55"/>
        <v>0</v>
      </c>
      <c r="R144" s="12">
        <f t="shared" si="47"/>
        <v>0</v>
      </c>
      <c r="S144" s="58"/>
    </row>
    <row r="145" spans="1:19" s="14" customFormat="1" ht="24" x14ac:dyDescent="0.2">
      <c r="A145" s="1" t="s">
        <v>150</v>
      </c>
      <c r="B145" s="2" t="s">
        <v>59</v>
      </c>
      <c r="C145" s="2" t="s">
        <v>21</v>
      </c>
      <c r="D145" s="3" t="s">
        <v>368</v>
      </c>
      <c r="E145" s="4">
        <v>3651000</v>
      </c>
      <c r="F145" s="4">
        <f t="shared" ref="F145:F153" si="71">G145</f>
        <v>0</v>
      </c>
      <c r="G145" s="4"/>
      <c r="H145" s="4"/>
      <c r="I145" s="4">
        <f t="shared" ref="I145:I153" si="72">E145+F145</f>
        <v>3651000</v>
      </c>
      <c r="J145" s="4"/>
      <c r="K145" s="4">
        <f t="shared" ref="K145:K155" si="73">M145+N145</f>
        <v>37818</v>
      </c>
      <c r="L145" s="4">
        <f>37818</f>
        <v>37818</v>
      </c>
      <c r="M145" s="4"/>
      <c r="N145" s="4">
        <f>37818</f>
        <v>37818</v>
      </c>
      <c r="O145" s="4">
        <f t="shared" ref="O145:O155" si="74">J145+K145</f>
        <v>37818</v>
      </c>
      <c r="P145" s="4">
        <f t="shared" si="54"/>
        <v>3651000</v>
      </c>
      <c r="Q145" s="4">
        <f t="shared" si="55"/>
        <v>37818</v>
      </c>
      <c r="R145" s="4">
        <f t="shared" si="47"/>
        <v>3688818</v>
      </c>
      <c r="S145" s="58"/>
    </row>
    <row r="146" spans="1:19" s="14" customFormat="1" ht="17.45" customHeight="1" x14ac:dyDescent="0.2">
      <c r="A146" s="1" t="s">
        <v>414</v>
      </c>
      <c r="B146" s="2" t="s">
        <v>415</v>
      </c>
      <c r="C146" s="2" t="s">
        <v>31</v>
      </c>
      <c r="D146" s="3" t="s">
        <v>416</v>
      </c>
      <c r="E146" s="4">
        <v>59816300</v>
      </c>
      <c r="F146" s="4">
        <f>G146</f>
        <v>447135</v>
      </c>
      <c r="G146" s="4">
        <f>238000+209135</f>
        <v>447135</v>
      </c>
      <c r="H146" s="4"/>
      <c r="I146" s="4">
        <f>E146+F146</f>
        <v>60263435</v>
      </c>
      <c r="J146" s="4">
        <v>2680000</v>
      </c>
      <c r="K146" s="4">
        <f t="shared" si="73"/>
        <v>0</v>
      </c>
      <c r="L146" s="4"/>
      <c r="M146" s="4"/>
      <c r="N146" s="4"/>
      <c r="O146" s="4">
        <f t="shared" si="74"/>
        <v>2680000</v>
      </c>
      <c r="P146" s="4">
        <f t="shared" si="54"/>
        <v>62496300</v>
      </c>
      <c r="Q146" s="4">
        <f t="shared" si="55"/>
        <v>447135</v>
      </c>
      <c r="R146" s="4">
        <f t="shared" si="47"/>
        <v>62943435</v>
      </c>
      <c r="S146" s="58"/>
    </row>
    <row r="147" spans="1:19" s="14" customFormat="1" ht="28.5" customHeight="1" x14ac:dyDescent="0.2">
      <c r="A147" s="1"/>
      <c r="B147" s="2"/>
      <c r="C147" s="2"/>
      <c r="D147" s="72" t="s">
        <v>541</v>
      </c>
      <c r="E147" s="4"/>
      <c r="F147" s="4">
        <f t="shared" si="71"/>
        <v>209135</v>
      </c>
      <c r="G147" s="4">
        <v>209135</v>
      </c>
      <c r="H147" s="4"/>
      <c r="I147" s="4">
        <f t="shared" si="72"/>
        <v>209135</v>
      </c>
      <c r="J147" s="4"/>
      <c r="K147" s="4"/>
      <c r="L147" s="4"/>
      <c r="M147" s="4"/>
      <c r="N147" s="4"/>
      <c r="O147" s="4"/>
      <c r="P147" s="4"/>
      <c r="Q147" s="4">
        <f t="shared" si="55"/>
        <v>209135</v>
      </c>
      <c r="R147" s="4">
        <f t="shared" si="47"/>
        <v>209135</v>
      </c>
      <c r="S147" s="58"/>
    </row>
    <row r="148" spans="1:19" s="14" customFormat="1" ht="17.45" customHeight="1" x14ac:dyDescent="0.2">
      <c r="A148" s="1" t="s">
        <v>151</v>
      </c>
      <c r="B148" s="2" t="s">
        <v>69</v>
      </c>
      <c r="C148" s="2" t="s">
        <v>50</v>
      </c>
      <c r="D148" s="3" t="s">
        <v>70</v>
      </c>
      <c r="E148" s="4">
        <v>2000000</v>
      </c>
      <c r="F148" s="4">
        <f t="shared" si="71"/>
        <v>0</v>
      </c>
      <c r="G148" s="4"/>
      <c r="H148" s="4"/>
      <c r="I148" s="4">
        <f t="shared" si="72"/>
        <v>2000000</v>
      </c>
      <c r="J148" s="4"/>
      <c r="K148" s="4">
        <f t="shared" si="73"/>
        <v>0</v>
      </c>
      <c r="L148" s="4"/>
      <c r="M148" s="4"/>
      <c r="N148" s="4"/>
      <c r="O148" s="4">
        <f t="shared" si="74"/>
        <v>0</v>
      </c>
      <c r="P148" s="4">
        <f t="shared" si="54"/>
        <v>2000000</v>
      </c>
      <c r="Q148" s="4">
        <f t="shared" si="55"/>
        <v>0</v>
      </c>
      <c r="R148" s="4">
        <f t="shared" si="47"/>
        <v>2000000</v>
      </c>
      <c r="S148" s="58"/>
    </row>
    <row r="149" spans="1:19" s="14" customFormat="1" ht="36" x14ac:dyDescent="0.2">
      <c r="A149" s="1" t="s">
        <v>310</v>
      </c>
      <c r="B149" s="2" t="s">
        <v>311</v>
      </c>
      <c r="C149" s="2" t="s">
        <v>312</v>
      </c>
      <c r="D149" s="3" t="s">
        <v>313</v>
      </c>
      <c r="E149" s="4">
        <v>6500000</v>
      </c>
      <c r="F149" s="4">
        <f t="shared" si="71"/>
        <v>0</v>
      </c>
      <c r="G149" s="4"/>
      <c r="H149" s="4"/>
      <c r="I149" s="4">
        <f t="shared" si="72"/>
        <v>6500000</v>
      </c>
      <c r="J149" s="4"/>
      <c r="K149" s="4">
        <f t="shared" si="73"/>
        <v>0</v>
      </c>
      <c r="L149" s="4"/>
      <c r="M149" s="4"/>
      <c r="N149" s="4"/>
      <c r="O149" s="4">
        <f t="shared" si="74"/>
        <v>0</v>
      </c>
      <c r="P149" s="4">
        <f t="shared" si="54"/>
        <v>6500000</v>
      </c>
      <c r="Q149" s="4">
        <f t="shared" si="55"/>
        <v>0</v>
      </c>
      <c r="R149" s="4">
        <f t="shared" si="47"/>
        <v>6500000</v>
      </c>
      <c r="S149" s="58"/>
    </row>
    <row r="150" spans="1:19" s="14" customFormat="1" ht="14.25" customHeight="1" x14ac:dyDescent="0.2">
      <c r="A150" s="1" t="s">
        <v>152</v>
      </c>
      <c r="B150" s="2" t="s">
        <v>71</v>
      </c>
      <c r="C150" s="2" t="s">
        <v>41</v>
      </c>
      <c r="D150" s="3" t="s">
        <v>72</v>
      </c>
      <c r="E150" s="4">
        <v>13316300</v>
      </c>
      <c r="F150" s="4">
        <f t="shared" si="71"/>
        <v>195201</v>
      </c>
      <c r="G150" s="4">
        <f>19600+20601+155000</f>
        <v>195201</v>
      </c>
      <c r="H150" s="4"/>
      <c r="I150" s="4">
        <f>E150+F150</f>
        <v>13511501</v>
      </c>
      <c r="J150" s="4">
        <v>10000</v>
      </c>
      <c r="K150" s="4"/>
      <c r="L150" s="4"/>
      <c r="M150" s="4"/>
      <c r="N150" s="4"/>
      <c r="O150" s="4">
        <f t="shared" si="74"/>
        <v>10000</v>
      </c>
      <c r="P150" s="4">
        <f t="shared" si="54"/>
        <v>13326300</v>
      </c>
      <c r="Q150" s="4">
        <f t="shared" si="55"/>
        <v>195201</v>
      </c>
      <c r="R150" s="4">
        <f t="shared" si="47"/>
        <v>13521501</v>
      </c>
      <c r="S150" s="58"/>
    </row>
    <row r="151" spans="1:19" s="14" customFormat="1" ht="24" x14ac:dyDescent="0.2">
      <c r="A151" s="1" t="s">
        <v>153</v>
      </c>
      <c r="B151" s="2" t="s">
        <v>40</v>
      </c>
      <c r="C151" s="2" t="s">
        <v>42</v>
      </c>
      <c r="D151" s="3" t="s">
        <v>73</v>
      </c>
      <c r="E151" s="4">
        <v>19620400</v>
      </c>
      <c r="F151" s="4">
        <f t="shared" si="71"/>
        <v>343016</v>
      </c>
      <c r="G151" s="4">
        <f>80000+33016+230000</f>
        <v>343016</v>
      </c>
      <c r="H151" s="4"/>
      <c r="I151" s="4">
        <f t="shared" si="72"/>
        <v>19963416</v>
      </c>
      <c r="J151" s="4">
        <v>55000</v>
      </c>
      <c r="K151" s="4">
        <f t="shared" si="73"/>
        <v>24594</v>
      </c>
      <c r="L151" s="4">
        <f>24594</f>
        <v>24594</v>
      </c>
      <c r="M151" s="4"/>
      <c r="N151" s="4">
        <f>24594</f>
        <v>24594</v>
      </c>
      <c r="O151" s="4">
        <f t="shared" si="74"/>
        <v>79594</v>
      </c>
      <c r="P151" s="4">
        <f t="shared" si="54"/>
        <v>19675400</v>
      </c>
      <c r="Q151" s="4">
        <f t="shared" si="55"/>
        <v>367610</v>
      </c>
      <c r="R151" s="4">
        <f t="shared" si="47"/>
        <v>20043010</v>
      </c>
      <c r="S151" s="58"/>
    </row>
    <row r="152" spans="1:19" s="14" customFormat="1" ht="24" x14ac:dyDescent="0.2">
      <c r="A152" s="1" t="s">
        <v>265</v>
      </c>
      <c r="B152" s="2" t="s">
        <v>264</v>
      </c>
      <c r="C152" s="2" t="s">
        <v>43</v>
      </c>
      <c r="D152" s="3" t="s">
        <v>266</v>
      </c>
      <c r="E152" s="4">
        <v>2247000</v>
      </c>
      <c r="F152" s="4">
        <f t="shared" si="71"/>
        <v>7000</v>
      </c>
      <c r="G152" s="4">
        <f>7000</f>
        <v>7000</v>
      </c>
      <c r="H152" s="4"/>
      <c r="I152" s="4">
        <f t="shared" si="72"/>
        <v>2254000</v>
      </c>
      <c r="J152" s="4">
        <v>0</v>
      </c>
      <c r="K152" s="4">
        <f t="shared" si="73"/>
        <v>0</v>
      </c>
      <c r="L152" s="4"/>
      <c r="M152" s="4"/>
      <c r="N152" s="4"/>
      <c r="O152" s="4">
        <f t="shared" si="74"/>
        <v>0</v>
      </c>
      <c r="P152" s="4">
        <f t="shared" si="54"/>
        <v>2247000</v>
      </c>
      <c r="Q152" s="4">
        <f t="shared" si="55"/>
        <v>7000</v>
      </c>
      <c r="R152" s="4">
        <f t="shared" si="47"/>
        <v>2254000</v>
      </c>
      <c r="S152" s="58"/>
    </row>
    <row r="153" spans="1:19" s="14" customFormat="1" ht="12" x14ac:dyDescent="0.2">
      <c r="A153" s="1" t="s">
        <v>267</v>
      </c>
      <c r="B153" s="2" t="s">
        <v>268</v>
      </c>
      <c r="C153" s="2" t="s">
        <v>43</v>
      </c>
      <c r="D153" s="3" t="s">
        <v>269</v>
      </c>
      <c r="E153" s="4">
        <v>6500000</v>
      </c>
      <c r="F153" s="4">
        <f t="shared" si="71"/>
        <v>-695000</v>
      </c>
      <c r="G153" s="4">
        <f>-65000-630000</f>
        <v>-695000</v>
      </c>
      <c r="H153" s="4"/>
      <c r="I153" s="4">
        <f t="shared" si="72"/>
        <v>5805000</v>
      </c>
      <c r="J153" s="4"/>
      <c r="K153" s="4">
        <f t="shared" si="73"/>
        <v>0</v>
      </c>
      <c r="L153" s="4"/>
      <c r="M153" s="4"/>
      <c r="N153" s="4"/>
      <c r="O153" s="4">
        <f t="shared" si="74"/>
        <v>0</v>
      </c>
      <c r="P153" s="4">
        <f t="shared" si="54"/>
        <v>6500000</v>
      </c>
      <c r="Q153" s="4">
        <f t="shared" si="55"/>
        <v>-695000</v>
      </c>
      <c r="R153" s="4">
        <f t="shared" si="47"/>
        <v>5805000</v>
      </c>
      <c r="S153" s="58"/>
    </row>
    <row r="154" spans="1:19" s="14" customFormat="1" ht="12" x14ac:dyDescent="0.2">
      <c r="A154" s="1" t="s">
        <v>495</v>
      </c>
      <c r="B154" s="2" t="s">
        <v>496</v>
      </c>
      <c r="C154" s="2" t="s">
        <v>209</v>
      </c>
      <c r="D154" s="3" t="s">
        <v>497</v>
      </c>
      <c r="E154" s="4"/>
      <c r="F154" s="4"/>
      <c r="G154" s="4"/>
      <c r="H154" s="4"/>
      <c r="I154" s="4"/>
      <c r="J154" s="4"/>
      <c r="K154" s="4">
        <f t="shared" si="73"/>
        <v>482872</v>
      </c>
      <c r="L154" s="4">
        <f>482872</f>
        <v>482872</v>
      </c>
      <c r="M154" s="4"/>
      <c r="N154" s="4">
        <f>482872</f>
        <v>482872</v>
      </c>
      <c r="O154" s="4">
        <f t="shared" si="74"/>
        <v>482872</v>
      </c>
      <c r="P154" s="4">
        <f t="shared" si="54"/>
        <v>0</v>
      </c>
      <c r="Q154" s="4">
        <f t="shared" si="55"/>
        <v>482872</v>
      </c>
      <c r="R154" s="4">
        <f t="shared" si="47"/>
        <v>482872</v>
      </c>
      <c r="S154" s="58"/>
    </row>
    <row r="155" spans="1:19" s="14" customFormat="1" ht="84" x14ac:dyDescent="0.2">
      <c r="A155" s="1" t="s">
        <v>270</v>
      </c>
      <c r="B155" s="2" t="s">
        <v>271</v>
      </c>
      <c r="C155" s="2" t="s">
        <v>24</v>
      </c>
      <c r="D155" s="3" t="s">
        <v>272</v>
      </c>
      <c r="E155" s="4"/>
      <c r="F155" s="4">
        <f t="shared" ref="F155" si="75">G155</f>
        <v>0</v>
      </c>
      <c r="G155" s="4"/>
      <c r="H155" s="4"/>
      <c r="I155" s="4">
        <f t="shared" ref="I155" si="76">E155+F155</f>
        <v>0</v>
      </c>
      <c r="J155" s="4">
        <v>500000</v>
      </c>
      <c r="K155" s="4">
        <f t="shared" si="73"/>
        <v>0</v>
      </c>
      <c r="L155" s="4"/>
      <c r="M155" s="4"/>
      <c r="N155" s="4"/>
      <c r="O155" s="4">
        <f t="shared" si="74"/>
        <v>500000</v>
      </c>
      <c r="P155" s="4">
        <f t="shared" si="54"/>
        <v>500000</v>
      </c>
      <c r="Q155" s="4">
        <f t="shared" si="55"/>
        <v>0</v>
      </c>
      <c r="R155" s="4">
        <f t="shared" si="47"/>
        <v>500000</v>
      </c>
      <c r="S155" s="58"/>
    </row>
    <row r="156" spans="1:19" s="13" customFormat="1" ht="24" x14ac:dyDescent="0.2">
      <c r="A156" s="50">
        <v>1100000</v>
      </c>
      <c r="B156" s="10"/>
      <c r="C156" s="10"/>
      <c r="D156" s="17" t="s">
        <v>325</v>
      </c>
      <c r="E156" s="12">
        <f>SUM(E158:E166)</f>
        <v>36305700</v>
      </c>
      <c r="F156" s="12">
        <f t="shared" ref="F156:O156" si="77">SUM(F158:F166)</f>
        <v>179000</v>
      </c>
      <c r="G156" s="12">
        <f t="shared" si="77"/>
        <v>179000</v>
      </c>
      <c r="H156" s="12">
        <f t="shared" si="77"/>
        <v>0</v>
      </c>
      <c r="I156" s="12">
        <f t="shared" si="77"/>
        <v>36484700</v>
      </c>
      <c r="J156" s="12">
        <f t="shared" si="77"/>
        <v>0</v>
      </c>
      <c r="K156" s="12">
        <f t="shared" si="77"/>
        <v>0</v>
      </c>
      <c r="L156" s="12">
        <f t="shared" si="77"/>
        <v>0</v>
      </c>
      <c r="M156" s="12">
        <f t="shared" si="77"/>
        <v>0</v>
      </c>
      <c r="N156" s="12">
        <f t="shared" si="77"/>
        <v>0</v>
      </c>
      <c r="O156" s="12">
        <f t="shared" si="77"/>
        <v>0</v>
      </c>
      <c r="P156" s="12">
        <f>SUM(P158:P166)</f>
        <v>36305700</v>
      </c>
      <c r="Q156" s="12">
        <f t="shared" ref="Q156:R156" si="78">SUM(Q158:Q166)</f>
        <v>179000</v>
      </c>
      <c r="R156" s="12">
        <f t="shared" si="78"/>
        <v>36484700</v>
      </c>
      <c r="S156" s="58"/>
    </row>
    <row r="157" spans="1:19" s="13" customFormat="1" ht="24" x14ac:dyDescent="0.2">
      <c r="A157" s="50">
        <v>1110000</v>
      </c>
      <c r="B157" s="10"/>
      <c r="C157" s="10"/>
      <c r="D157" s="17" t="s">
        <v>325</v>
      </c>
      <c r="E157" s="12"/>
      <c r="F157" s="12"/>
      <c r="G157" s="12"/>
      <c r="H157" s="12"/>
      <c r="I157" s="12"/>
      <c r="J157" s="4"/>
      <c r="K157" s="4"/>
      <c r="L157" s="12"/>
      <c r="M157" s="12"/>
      <c r="N157" s="12"/>
      <c r="O157" s="12"/>
      <c r="P157" s="12">
        <f t="shared" ref="P157:P213" si="79">E157+J157</f>
        <v>0</v>
      </c>
      <c r="Q157" s="12">
        <f t="shared" ref="Q157:Q213" si="80">F157+K157</f>
        <v>0</v>
      </c>
      <c r="R157" s="12">
        <f t="shared" ref="R157:R213" si="81">I157+O157</f>
        <v>0</v>
      </c>
      <c r="S157" s="58"/>
    </row>
    <row r="158" spans="1:19" s="14" customFormat="1" ht="24" x14ac:dyDescent="0.2">
      <c r="A158" s="51">
        <v>1110160</v>
      </c>
      <c r="B158" s="2" t="s">
        <v>59</v>
      </c>
      <c r="C158" s="2" t="s">
        <v>21</v>
      </c>
      <c r="D158" s="3" t="s">
        <v>368</v>
      </c>
      <c r="E158" s="4">
        <v>2618000</v>
      </c>
      <c r="F158" s="4">
        <f t="shared" ref="F158:F166" si="82">G158</f>
        <v>0</v>
      </c>
      <c r="G158" s="4"/>
      <c r="H158" s="4"/>
      <c r="I158" s="4">
        <f t="shared" ref="I158:I166" si="83">E158+F158</f>
        <v>2618000</v>
      </c>
      <c r="J158" s="4"/>
      <c r="K158" s="4">
        <f t="shared" ref="K158:K166" si="84">M158+N158</f>
        <v>0</v>
      </c>
      <c r="L158" s="4"/>
      <c r="M158" s="4"/>
      <c r="N158" s="4"/>
      <c r="O158" s="4">
        <f t="shared" ref="O158:O166" si="85">J158+K158</f>
        <v>0</v>
      </c>
      <c r="P158" s="4">
        <f t="shared" si="79"/>
        <v>2618000</v>
      </c>
      <c r="Q158" s="4">
        <f t="shared" si="80"/>
        <v>0</v>
      </c>
      <c r="R158" s="4">
        <f t="shared" si="81"/>
        <v>2618000</v>
      </c>
      <c r="S158" s="58"/>
    </row>
    <row r="159" spans="1:19" s="14" customFormat="1" ht="36" x14ac:dyDescent="0.2">
      <c r="A159" s="51">
        <v>1113131</v>
      </c>
      <c r="B159" s="2" t="s">
        <v>60</v>
      </c>
      <c r="C159" s="2" t="s">
        <v>34</v>
      </c>
      <c r="D159" s="73" t="s">
        <v>61</v>
      </c>
      <c r="E159" s="4">
        <v>650000</v>
      </c>
      <c r="F159" s="4">
        <f t="shared" si="82"/>
        <v>24000</v>
      </c>
      <c r="G159" s="4">
        <v>24000</v>
      </c>
      <c r="H159" s="4"/>
      <c r="I159" s="4">
        <f t="shared" si="83"/>
        <v>674000</v>
      </c>
      <c r="J159" s="4">
        <v>0</v>
      </c>
      <c r="K159" s="4">
        <f t="shared" si="84"/>
        <v>0</v>
      </c>
      <c r="L159" s="4"/>
      <c r="M159" s="4"/>
      <c r="N159" s="4"/>
      <c r="O159" s="4">
        <f t="shared" si="85"/>
        <v>0</v>
      </c>
      <c r="P159" s="4">
        <f t="shared" si="79"/>
        <v>650000</v>
      </c>
      <c r="Q159" s="4">
        <f t="shared" si="80"/>
        <v>24000</v>
      </c>
      <c r="R159" s="4">
        <f t="shared" si="81"/>
        <v>674000</v>
      </c>
      <c r="S159" s="58"/>
    </row>
    <row r="160" spans="1:19" s="14" customFormat="1" ht="24" x14ac:dyDescent="0.2">
      <c r="A160" s="51">
        <v>1115011</v>
      </c>
      <c r="B160" s="2" t="s">
        <v>37</v>
      </c>
      <c r="C160" s="2" t="s">
        <v>35</v>
      </c>
      <c r="D160" s="3" t="s">
        <v>36</v>
      </c>
      <c r="E160" s="4">
        <v>1500000</v>
      </c>
      <c r="F160" s="4">
        <f t="shared" si="82"/>
        <v>0</v>
      </c>
      <c r="G160" s="4"/>
      <c r="H160" s="4"/>
      <c r="I160" s="4">
        <f t="shared" si="83"/>
        <v>1500000</v>
      </c>
      <c r="J160" s="4"/>
      <c r="K160" s="4"/>
      <c r="L160" s="4"/>
      <c r="M160" s="4"/>
      <c r="N160" s="4"/>
      <c r="O160" s="4"/>
      <c r="P160" s="4">
        <f t="shared" si="79"/>
        <v>1500000</v>
      </c>
      <c r="Q160" s="4">
        <f t="shared" si="80"/>
        <v>0</v>
      </c>
      <c r="R160" s="4">
        <f t="shared" si="81"/>
        <v>1500000</v>
      </c>
      <c r="S160" s="58"/>
    </row>
    <row r="161" spans="1:19" s="14" customFormat="1" ht="24" x14ac:dyDescent="0.2">
      <c r="A161" s="51">
        <v>1115012</v>
      </c>
      <c r="B161" s="2" t="s">
        <v>58</v>
      </c>
      <c r="C161" s="2" t="s">
        <v>35</v>
      </c>
      <c r="D161" s="3" t="s">
        <v>57</v>
      </c>
      <c r="E161" s="4">
        <v>1000000</v>
      </c>
      <c r="F161" s="4">
        <f t="shared" si="82"/>
        <v>0</v>
      </c>
      <c r="G161" s="4"/>
      <c r="H161" s="4"/>
      <c r="I161" s="4">
        <f t="shared" si="83"/>
        <v>1000000</v>
      </c>
      <c r="J161" s="4">
        <v>0</v>
      </c>
      <c r="K161" s="4">
        <f t="shared" si="84"/>
        <v>0</v>
      </c>
      <c r="L161" s="4"/>
      <c r="M161" s="4"/>
      <c r="N161" s="4"/>
      <c r="O161" s="4">
        <f t="shared" si="85"/>
        <v>0</v>
      </c>
      <c r="P161" s="4">
        <f t="shared" si="79"/>
        <v>1000000</v>
      </c>
      <c r="Q161" s="4">
        <f t="shared" si="80"/>
        <v>0</v>
      </c>
      <c r="R161" s="4">
        <f t="shared" si="81"/>
        <v>1000000</v>
      </c>
      <c r="S161" s="58"/>
    </row>
    <row r="162" spans="1:19" s="14" customFormat="1" ht="24" x14ac:dyDescent="0.2">
      <c r="A162" s="51">
        <v>1115021</v>
      </c>
      <c r="B162" s="2" t="s">
        <v>62</v>
      </c>
      <c r="C162" s="2" t="s">
        <v>35</v>
      </c>
      <c r="D162" s="3" t="s">
        <v>262</v>
      </c>
      <c r="E162" s="4">
        <v>1042200</v>
      </c>
      <c r="F162" s="4">
        <f t="shared" si="82"/>
        <v>0</v>
      </c>
      <c r="G162" s="4"/>
      <c r="H162" s="4"/>
      <c r="I162" s="4">
        <f t="shared" si="83"/>
        <v>1042200</v>
      </c>
      <c r="J162" s="4">
        <v>0</v>
      </c>
      <c r="K162" s="4">
        <f t="shared" si="84"/>
        <v>0</v>
      </c>
      <c r="L162" s="4"/>
      <c r="M162" s="4"/>
      <c r="N162" s="4"/>
      <c r="O162" s="4">
        <f t="shared" si="85"/>
        <v>0</v>
      </c>
      <c r="P162" s="4">
        <f t="shared" si="79"/>
        <v>1042200</v>
      </c>
      <c r="Q162" s="4">
        <f t="shared" si="80"/>
        <v>0</v>
      </c>
      <c r="R162" s="4">
        <f t="shared" si="81"/>
        <v>1042200</v>
      </c>
      <c r="S162" s="58"/>
    </row>
    <row r="163" spans="1:19" s="14" customFormat="1" ht="24" x14ac:dyDescent="0.2">
      <c r="A163" s="51">
        <v>1115022</v>
      </c>
      <c r="B163" s="2" t="s">
        <v>63</v>
      </c>
      <c r="C163" s="2" t="s">
        <v>244</v>
      </c>
      <c r="D163" s="3" t="s">
        <v>263</v>
      </c>
      <c r="E163" s="4">
        <v>185000</v>
      </c>
      <c r="F163" s="4">
        <f t="shared" si="82"/>
        <v>0</v>
      </c>
      <c r="G163" s="4"/>
      <c r="H163" s="4"/>
      <c r="I163" s="4">
        <f t="shared" si="83"/>
        <v>185000</v>
      </c>
      <c r="J163" s="4">
        <v>0</v>
      </c>
      <c r="K163" s="4">
        <f t="shared" si="84"/>
        <v>0</v>
      </c>
      <c r="L163" s="4"/>
      <c r="M163" s="4"/>
      <c r="N163" s="4"/>
      <c r="O163" s="4">
        <f t="shared" si="85"/>
        <v>0</v>
      </c>
      <c r="P163" s="4">
        <f t="shared" si="79"/>
        <v>185000</v>
      </c>
      <c r="Q163" s="4">
        <f t="shared" si="80"/>
        <v>0</v>
      </c>
      <c r="R163" s="4">
        <f t="shared" si="81"/>
        <v>185000</v>
      </c>
      <c r="S163" s="58"/>
    </row>
    <row r="164" spans="1:19" s="14" customFormat="1" ht="24" x14ac:dyDescent="0.2">
      <c r="A164" s="51">
        <v>1115041</v>
      </c>
      <c r="B164" s="2" t="s">
        <v>243</v>
      </c>
      <c r="C164" s="2" t="s">
        <v>35</v>
      </c>
      <c r="D164" s="3" t="s">
        <v>242</v>
      </c>
      <c r="E164" s="4">
        <v>4150000</v>
      </c>
      <c r="F164" s="4">
        <f t="shared" si="82"/>
        <v>0</v>
      </c>
      <c r="G164" s="4"/>
      <c r="H164" s="4"/>
      <c r="I164" s="4">
        <f t="shared" si="83"/>
        <v>4150000</v>
      </c>
      <c r="J164" s="4">
        <v>0</v>
      </c>
      <c r="K164" s="4">
        <f t="shared" si="84"/>
        <v>0</v>
      </c>
      <c r="L164" s="4"/>
      <c r="M164" s="4"/>
      <c r="N164" s="4"/>
      <c r="O164" s="4">
        <f t="shared" si="85"/>
        <v>0</v>
      </c>
      <c r="P164" s="4">
        <f t="shared" si="79"/>
        <v>4150000</v>
      </c>
      <c r="Q164" s="4">
        <f t="shared" si="80"/>
        <v>0</v>
      </c>
      <c r="R164" s="4">
        <f t="shared" si="81"/>
        <v>4150000</v>
      </c>
      <c r="S164" s="58"/>
    </row>
    <row r="165" spans="1:19" s="14" customFormat="1" ht="48" x14ac:dyDescent="0.2">
      <c r="A165" s="51">
        <v>1115061</v>
      </c>
      <c r="B165" s="2" t="s">
        <v>65</v>
      </c>
      <c r="C165" s="2" t="s">
        <v>35</v>
      </c>
      <c r="D165" s="3" t="s">
        <v>66</v>
      </c>
      <c r="E165" s="4">
        <v>1015500</v>
      </c>
      <c r="F165" s="4">
        <f t="shared" si="82"/>
        <v>0</v>
      </c>
      <c r="G165" s="4"/>
      <c r="H165" s="4"/>
      <c r="I165" s="4">
        <f t="shared" si="83"/>
        <v>1015500</v>
      </c>
      <c r="J165" s="4"/>
      <c r="K165" s="4">
        <f t="shared" si="84"/>
        <v>0</v>
      </c>
      <c r="L165" s="4"/>
      <c r="M165" s="4"/>
      <c r="N165" s="4"/>
      <c r="O165" s="4">
        <f t="shared" si="85"/>
        <v>0</v>
      </c>
      <c r="P165" s="4">
        <f t="shared" si="79"/>
        <v>1015500</v>
      </c>
      <c r="Q165" s="4">
        <f t="shared" si="80"/>
        <v>0</v>
      </c>
      <c r="R165" s="4">
        <f t="shared" si="81"/>
        <v>1015500</v>
      </c>
      <c r="S165" s="58"/>
    </row>
    <row r="166" spans="1:19" s="14" customFormat="1" ht="36" x14ac:dyDescent="0.2">
      <c r="A166" s="51">
        <v>1115062</v>
      </c>
      <c r="B166" s="2" t="s">
        <v>67</v>
      </c>
      <c r="C166" s="2" t="s">
        <v>35</v>
      </c>
      <c r="D166" s="3" t="s">
        <v>68</v>
      </c>
      <c r="E166" s="4">
        <v>24145000</v>
      </c>
      <c r="F166" s="4">
        <f t="shared" si="82"/>
        <v>155000</v>
      </c>
      <c r="G166" s="4">
        <f>55000+100000</f>
        <v>155000</v>
      </c>
      <c r="H166" s="4"/>
      <c r="I166" s="4">
        <f t="shared" si="83"/>
        <v>24300000</v>
      </c>
      <c r="J166" s="4">
        <v>0</v>
      </c>
      <c r="K166" s="4">
        <f t="shared" si="84"/>
        <v>0</v>
      </c>
      <c r="L166" s="4"/>
      <c r="M166" s="4"/>
      <c r="N166" s="4"/>
      <c r="O166" s="4">
        <f t="shared" si="85"/>
        <v>0</v>
      </c>
      <c r="P166" s="4">
        <f t="shared" si="79"/>
        <v>24145000</v>
      </c>
      <c r="Q166" s="4">
        <f t="shared" si="80"/>
        <v>155000</v>
      </c>
      <c r="R166" s="4">
        <f t="shared" si="81"/>
        <v>24300000</v>
      </c>
      <c r="S166" s="58"/>
    </row>
    <row r="167" spans="1:19" s="13" customFormat="1" ht="36" x14ac:dyDescent="0.2">
      <c r="A167" s="16" t="s">
        <v>121</v>
      </c>
      <c r="B167" s="10"/>
      <c r="C167" s="10"/>
      <c r="D167" s="11" t="s">
        <v>417</v>
      </c>
      <c r="E167" s="12">
        <f>E169+E170+E173+E174+E177+E178+E179+E171+E172+E176</f>
        <v>149703500</v>
      </c>
      <c r="F167" s="12">
        <f t="shared" ref="F167:R167" si="86">F169+F170+F173+F174+F177+F178+F179+F171+F172+F176</f>
        <v>5159710</v>
      </c>
      <c r="G167" s="12">
        <f t="shared" si="86"/>
        <v>5159710</v>
      </c>
      <c r="H167" s="12">
        <f t="shared" si="86"/>
        <v>0</v>
      </c>
      <c r="I167" s="12">
        <f t="shared" si="86"/>
        <v>154863210</v>
      </c>
      <c r="J167" s="12">
        <f t="shared" si="86"/>
        <v>10130000</v>
      </c>
      <c r="K167" s="12">
        <f t="shared" si="86"/>
        <v>72837860</v>
      </c>
      <c r="L167" s="12">
        <f t="shared" si="86"/>
        <v>72414160</v>
      </c>
      <c r="M167" s="12">
        <f t="shared" si="86"/>
        <v>423700</v>
      </c>
      <c r="N167" s="12">
        <f t="shared" si="86"/>
        <v>72414160</v>
      </c>
      <c r="O167" s="12">
        <f t="shared" si="86"/>
        <v>82967860</v>
      </c>
      <c r="P167" s="12">
        <f t="shared" si="86"/>
        <v>159833500</v>
      </c>
      <c r="Q167" s="12">
        <f t="shared" si="86"/>
        <v>77997570</v>
      </c>
      <c r="R167" s="12">
        <f t="shared" si="86"/>
        <v>237831070</v>
      </c>
      <c r="S167" s="58"/>
    </row>
    <row r="168" spans="1:19" s="13" customFormat="1" ht="36" x14ac:dyDescent="0.2">
      <c r="A168" s="16" t="s">
        <v>122</v>
      </c>
      <c r="B168" s="10"/>
      <c r="C168" s="10"/>
      <c r="D168" s="11" t="s">
        <v>417</v>
      </c>
      <c r="E168" s="12"/>
      <c r="F168" s="12"/>
      <c r="G168" s="12"/>
      <c r="H168" s="12"/>
      <c r="I168" s="12"/>
      <c r="J168" s="4"/>
      <c r="K168" s="4"/>
      <c r="L168" s="12"/>
      <c r="M168" s="12"/>
      <c r="N168" s="12"/>
      <c r="O168" s="12"/>
      <c r="P168" s="12">
        <f t="shared" si="79"/>
        <v>0</v>
      </c>
      <c r="Q168" s="12">
        <f t="shared" si="80"/>
        <v>0</v>
      </c>
      <c r="R168" s="12">
        <f t="shared" si="81"/>
        <v>0</v>
      </c>
      <c r="S168" s="58"/>
    </row>
    <row r="169" spans="1:19" s="14" customFormat="1" ht="24" x14ac:dyDescent="0.2">
      <c r="A169" s="1" t="s">
        <v>123</v>
      </c>
      <c r="B169" s="2" t="s">
        <v>59</v>
      </c>
      <c r="C169" s="2" t="s">
        <v>21</v>
      </c>
      <c r="D169" s="3" t="s">
        <v>368</v>
      </c>
      <c r="E169" s="4">
        <v>9563300</v>
      </c>
      <c r="F169" s="4">
        <f>G169</f>
        <v>69800</v>
      </c>
      <c r="G169" s="4">
        <f>49000+20800</f>
        <v>69800</v>
      </c>
      <c r="H169" s="4"/>
      <c r="I169" s="4">
        <f t="shared" ref="I169:I178" si="87">E169+F169</f>
        <v>9633100</v>
      </c>
      <c r="J169" s="4"/>
      <c r="K169" s="4">
        <f t="shared" ref="K169:K179" si="88">M169+N169</f>
        <v>0</v>
      </c>
      <c r="L169" s="4"/>
      <c r="M169" s="4"/>
      <c r="N169" s="4"/>
      <c r="O169" s="4">
        <f t="shared" ref="O169:O179" si="89">J169+K169</f>
        <v>0</v>
      </c>
      <c r="P169" s="4">
        <f t="shared" si="79"/>
        <v>9563300</v>
      </c>
      <c r="Q169" s="4">
        <f t="shared" si="80"/>
        <v>69800</v>
      </c>
      <c r="R169" s="4">
        <f t="shared" si="81"/>
        <v>9633100</v>
      </c>
      <c r="S169" s="58"/>
    </row>
    <row r="170" spans="1:19" s="14" customFormat="1" ht="12" x14ac:dyDescent="0.2">
      <c r="A170" s="1" t="s">
        <v>226</v>
      </c>
      <c r="B170" s="2" t="s">
        <v>10</v>
      </c>
      <c r="C170" s="2" t="s">
        <v>13</v>
      </c>
      <c r="D170" s="3" t="s">
        <v>338</v>
      </c>
      <c r="E170" s="4">
        <v>3141200</v>
      </c>
      <c r="F170" s="4">
        <f t="shared" ref="F170:F174" si="90">G170</f>
        <v>409139</v>
      </c>
      <c r="G170" s="4">
        <f>409139</f>
        <v>409139</v>
      </c>
      <c r="H170" s="4"/>
      <c r="I170" s="4">
        <f t="shared" si="87"/>
        <v>3550339</v>
      </c>
      <c r="J170" s="4"/>
      <c r="K170" s="4">
        <f t="shared" si="88"/>
        <v>0</v>
      </c>
      <c r="L170" s="4"/>
      <c r="M170" s="4"/>
      <c r="N170" s="4"/>
      <c r="O170" s="4">
        <f t="shared" si="89"/>
        <v>0</v>
      </c>
      <c r="P170" s="4">
        <f t="shared" si="79"/>
        <v>3141200</v>
      </c>
      <c r="Q170" s="4">
        <f t="shared" si="80"/>
        <v>409139</v>
      </c>
      <c r="R170" s="4">
        <f t="shared" si="81"/>
        <v>3550339</v>
      </c>
      <c r="S170" s="58"/>
    </row>
    <row r="171" spans="1:19" s="14" customFormat="1" ht="24" x14ac:dyDescent="0.2">
      <c r="A171" s="1" t="s">
        <v>528</v>
      </c>
      <c r="B171" s="2" t="s">
        <v>234</v>
      </c>
      <c r="C171" s="2" t="s">
        <v>530</v>
      </c>
      <c r="D171" s="3" t="s">
        <v>235</v>
      </c>
      <c r="E171" s="4"/>
      <c r="F171" s="4">
        <f t="shared" si="90"/>
        <v>2037798</v>
      </c>
      <c r="G171" s="4">
        <f>2037798</f>
        <v>2037798</v>
      </c>
      <c r="H171" s="4"/>
      <c r="I171" s="4">
        <f t="shared" si="87"/>
        <v>2037798</v>
      </c>
      <c r="J171" s="4"/>
      <c r="K171" s="4"/>
      <c r="L171" s="4"/>
      <c r="M171" s="4"/>
      <c r="N171" s="4"/>
      <c r="O171" s="4"/>
      <c r="P171" s="4">
        <f t="shared" ref="P171:P172" si="91">E171+J171</f>
        <v>0</v>
      </c>
      <c r="Q171" s="4">
        <f t="shared" ref="Q171:Q172" si="92">F171+K171</f>
        <v>2037798</v>
      </c>
      <c r="R171" s="4">
        <f t="shared" ref="R171:R172" si="93">I171+O171</f>
        <v>2037798</v>
      </c>
      <c r="S171" s="58"/>
    </row>
    <row r="172" spans="1:19" s="14" customFormat="1" ht="24" x14ac:dyDescent="0.2">
      <c r="A172" s="1" t="s">
        <v>529</v>
      </c>
      <c r="B172" s="2" t="s">
        <v>92</v>
      </c>
      <c r="C172" s="2" t="s">
        <v>23</v>
      </c>
      <c r="D172" s="3" t="s">
        <v>93</v>
      </c>
      <c r="E172" s="4"/>
      <c r="F172" s="4">
        <f t="shared" si="90"/>
        <v>25000</v>
      </c>
      <c r="G172" s="4">
        <f>25000</f>
        <v>25000</v>
      </c>
      <c r="H172" s="4"/>
      <c r="I172" s="4">
        <f t="shared" si="87"/>
        <v>25000</v>
      </c>
      <c r="J172" s="4"/>
      <c r="K172" s="4"/>
      <c r="L172" s="4"/>
      <c r="M172" s="4"/>
      <c r="N172" s="4"/>
      <c r="O172" s="4"/>
      <c r="P172" s="4">
        <f t="shared" si="91"/>
        <v>0</v>
      </c>
      <c r="Q172" s="4">
        <f t="shared" si="92"/>
        <v>25000</v>
      </c>
      <c r="R172" s="4">
        <f t="shared" si="93"/>
        <v>25000</v>
      </c>
      <c r="S172" s="58"/>
    </row>
    <row r="173" spans="1:19" s="14" customFormat="1" ht="24" x14ac:dyDescent="0.2">
      <c r="A173" s="1" t="s">
        <v>330</v>
      </c>
      <c r="B173" s="2" t="s">
        <v>331</v>
      </c>
      <c r="C173" s="2" t="s">
        <v>23</v>
      </c>
      <c r="D173" s="3" t="s">
        <v>332</v>
      </c>
      <c r="E173" s="4">
        <v>49000</v>
      </c>
      <c r="F173" s="4">
        <f t="shared" si="90"/>
        <v>0</v>
      </c>
      <c r="G173" s="4"/>
      <c r="H173" s="4"/>
      <c r="I173" s="4">
        <f t="shared" si="87"/>
        <v>49000</v>
      </c>
      <c r="J173" s="4"/>
      <c r="K173" s="4">
        <f t="shared" si="88"/>
        <v>0</v>
      </c>
      <c r="L173" s="4"/>
      <c r="M173" s="4"/>
      <c r="N173" s="4"/>
      <c r="O173" s="4">
        <f t="shared" si="89"/>
        <v>0</v>
      </c>
      <c r="P173" s="4">
        <f t="shared" si="79"/>
        <v>49000</v>
      </c>
      <c r="Q173" s="4">
        <f t="shared" si="80"/>
        <v>0</v>
      </c>
      <c r="R173" s="4">
        <f t="shared" si="81"/>
        <v>49000</v>
      </c>
      <c r="S173" s="58"/>
    </row>
    <row r="174" spans="1:19" s="14" customFormat="1" ht="12" x14ac:dyDescent="0.2">
      <c r="A174" s="1" t="s">
        <v>124</v>
      </c>
      <c r="B174" s="2" t="s">
        <v>94</v>
      </c>
      <c r="C174" s="2" t="s">
        <v>23</v>
      </c>
      <c r="D174" s="3" t="s">
        <v>95</v>
      </c>
      <c r="E174" s="4">
        <v>136450000</v>
      </c>
      <c r="F174" s="4">
        <f t="shared" si="90"/>
        <v>2617973</v>
      </c>
      <c r="G174" s="4">
        <v>2617973</v>
      </c>
      <c r="H174" s="4"/>
      <c r="I174" s="4">
        <f t="shared" si="87"/>
        <v>139067973</v>
      </c>
      <c r="J174" s="4"/>
      <c r="K174" s="4">
        <f t="shared" si="88"/>
        <v>932999</v>
      </c>
      <c r="L174" s="4">
        <f>932999</f>
        <v>932999</v>
      </c>
      <c r="M174" s="4"/>
      <c r="N174" s="4">
        <f>932999</f>
        <v>932999</v>
      </c>
      <c r="O174" s="4">
        <f t="shared" si="89"/>
        <v>932999</v>
      </c>
      <c r="P174" s="4">
        <f t="shared" si="79"/>
        <v>136450000</v>
      </c>
      <c r="Q174" s="4">
        <f t="shared" si="80"/>
        <v>3550972</v>
      </c>
      <c r="R174" s="4">
        <f t="shared" si="81"/>
        <v>140000972</v>
      </c>
      <c r="S174" s="58"/>
    </row>
    <row r="175" spans="1:19" s="14" customFormat="1" ht="48" x14ac:dyDescent="0.2">
      <c r="A175" s="1"/>
      <c r="B175" s="2"/>
      <c r="C175" s="2"/>
      <c r="D175" s="70" t="s">
        <v>418</v>
      </c>
      <c r="E175" s="4">
        <v>200000</v>
      </c>
      <c r="F175" s="4">
        <f t="shared" ref="F175:F179" si="94">G175</f>
        <v>0</v>
      </c>
      <c r="G175" s="4"/>
      <c r="H175" s="4"/>
      <c r="I175" s="4">
        <f t="shared" si="87"/>
        <v>200000</v>
      </c>
      <c r="J175" s="4"/>
      <c r="K175" s="4">
        <f t="shared" si="88"/>
        <v>0</v>
      </c>
      <c r="L175" s="4"/>
      <c r="M175" s="4"/>
      <c r="N175" s="4"/>
      <c r="O175" s="4">
        <f t="shared" si="89"/>
        <v>0</v>
      </c>
      <c r="P175" s="4">
        <f t="shared" si="79"/>
        <v>200000</v>
      </c>
      <c r="Q175" s="4">
        <f t="shared" si="80"/>
        <v>0</v>
      </c>
      <c r="R175" s="4">
        <f t="shared" si="81"/>
        <v>200000</v>
      </c>
      <c r="S175" s="58"/>
    </row>
    <row r="176" spans="1:19" s="14" customFormat="1" ht="24" x14ac:dyDescent="0.2">
      <c r="A176" s="2" t="s">
        <v>498</v>
      </c>
      <c r="B176" s="2" t="s">
        <v>236</v>
      </c>
      <c r="C176" s="2" t="s">
        <v>209</v>
      </c>
      <c r="D176" s="3" t="s">
        <v>428</v>
      </c>
      <c r="E176" s="4"/>
      <c r="F176" s="4"/>
      <c r="G176" s="4"/>
      <c r="H176" s="4"/>
      <c r="I176" s="4"/>
      <c r="J176" s="4"/>
      <c r="K176" s="4">
        <f t="shared" si="88"/>
        <v>37676161</v>
      </c>
      <c r="L176" s="4">
        <f>37526161+150000</f>
        <v>37676161</v>
      </c>
      <c r="M176" s="4"/>
      <c r="N176" s="4">
        <f>37526161+150000</f>
        <v>37676161</v>
      </c>
      <c r="O176" s="4">
        <f t="shared" si="89"/>
        <v>37676161</v>
      </c>
      <c r="P176" s="4">
        <f t="shared" si="79"/>
        <v>0</v>
      </c>
      <c r="Q176" s="4">
        <f t="shared" si="80"/>
        <v>37676161</v>
      </c>
      <c r="R176" s="4">
        <f t="shared" si="81"/>
        <v>37676161</v>
      </c>
      <c r="S176" s="58"/>
    </row>
    <row r="177" spans="1:19" s="14" customFormat="1" ht="24" x14ac:dyDescent="0.2">
      <c r="A177" s="1" t="s">
        <v>125</v>
      </c>
      <c r="B177" s="2" t="s">
        <v>78</v>
      </c>
      <c r="C177" s="2" t="s">
        <v>24</v>
      </c>
      <c r="D177" s="3" t="s">
        <v>8</v>
      </c>
      <c r="E177" s="4"/>
      <c r="F177" s="4">
        <f t="shared" si="94"/>
        <v>0</v>
      </c>
      <c r="G177" s="4"/>
      <c r="H177" s="4"/>
      <c r="I177" s="4">
        <f t="shared" si="87"/>
        <v>0</v>
      </c>
      <c r="J177" s="4">
        <v>10000000</v>
      </c>
      <c r="K177" s="4">
        <f t="shared" si="88"/>
        <v>33805000</v>
      </c>
      <c r="L177" s="4">
        <f>31805000+2000000</f>
        <v>33805000</v>
      </c>
      <c r="M177" s="4"/>
      <c r="N177" s="4">
        <f>31805000+2000000</f>
        <v>33805000</v>
      </c>
      <c r="O177" s="4">
        <f t="shared" si="89"/>
        <v>43805000</v>
      </c>
      <c r="P177" s="4">
        <f t="shared" si="79"/>
        <v>10000000</v>
      </c>
      <c r="Q177" s="4">
        <f t="shared" si="80"/>
        <v>33805000</v>
      </c>
      <c r="R177" s="4">
        <f t="shared" si="81"/>
        <v>43805000</v>
      </c>
      <c r="S177" s="58"/>
    </row>
    <row r="178" spans="1:19" s="14" customFormat="1" ht="12" x14ac:dyDescent="0.2">
      <c r="A178" s="1" t="s">
        <v>348</v>
      </c>
      <c r="B178" s="1" t="s">
        <v>288</v>
      </c>
      <c r="C178" s="2" t="s">
        <v>24</v>
      </c>
      <c r="D178" s="63" t="s">
        <v>195</v>
      </c>
      <c r="E178" s="4">
        <v>500000</v>
      </c>
      <c r="F178" s="4">
        <f t="shared" si="94"/>
        <v>0</v>
      </c>
      <c r="G178" s="4"/>
      <c r="H178" s="4"/>
      <c r="I178" s="4">
        <f t="shared" si="87"/>
        <v>500000</v>
      </c>
      <c r="J178" s="4"/>
      <c r="K178" s="4">
        <f t="shared" si="88"/>
        <v>0</v>
      </c>
      <c r="L178" s="4"/>
      <c r="M178" s="4"/>
      <c r="N178" s="4"/>
      <c r="O178" s="4">
        <f t="shared" si="89"/>
        <v>0</v>
      </c>
      <c r="P178" s="4">
        <f t="shared" si="79"/>
        <v>500000</v>
      </c>
      <c r="Q178" s="4">
        <f t="shared" si="80"/>
        <v>0</v>
      </c>
      <c r="R178" s="4">
        <f t="shared" si="81"/>
        <v>500000</v>
      </c>
      <c r="S178" s="58"/>
    </row>
    <row r="179" spans="1:19" s="14" customFormat="1" ht="24" x14ac:dyDescent="0.2">
      <c r="A179" s="1" t="s">
        <v>302</v>
      </c>
      <c r="B179" s="2" t="s">
        <v>96</v>
      </c>
      <c r="C179" s="2" t="s">
        <v>15</v>
      </c>
      <c r="D179" s="3" t="s">
        <v>5</v>
      </c>
      <c r="E179" s="4"/>
      <c r="F179" s="4">
        <f t="shared" si="94"/>
        <v>0</v>
      </c>
      <c r="G179" s="4"/>
      <c r="H179" s="4"/>
      <c r="I179" s="4"/>
      <c r="J179" s="4">
        <v>130000</v>
      </c>
      <c r="K179" s="4">
        <f t="shared" si="88"/>
        <v>423700</v>
      </c>
      <c r="L179" s="4"/>
      <c r="M179" s="4">
        <v>423700</v>
      </c>
      <c r="N179" s="4"/>
      <c r="O179" s="4">
        <f t="shared" si="89"/>
        <v>553700</v>
      </c>
      <c r="P179" s="4">
        <f t="shared" si="79"/>
        <v>130000</v>
      </c>
      <c r="Q179" s="4">
        <f t="shared" si="80"/>
        <v>423700</v>
      </c>
      <c r="R179" s="4">
        <f t="shared" si="81"/>
        <v>553700</v>
      </c>
      <c r="S179" s="58"/>
    </row>
    <row r="180" spans="1:19" s="13" customFormat="1" ht="24" x14ac:dyDescent="0.2">
      <c r="A180" s="16" t="s">
        <v>419</v>
      </c>
      <c r="B180" s="10"/>
      <c r="C180" s="10"/>
      <c r="D180" s="11" t="s">
        <v>420</v>
      </c>
      <c r="E180" s="12">
        <f>SUM(E182:E188)</f>
        <v>30673300</v>
      </c>
      <c r="F180" s="12">
        <f t="shared" ref="F180:I180" si="95">SUM(F182:F188)</f>
        <v>-7323900</v>
      </c>
      <c r="G180" s="12">
        <f t="shared" si="95"/>
        <v>-7323900</v>
      </c>
      <c r="H180" s="12">
        <f t="shared" si="95"/>
        <v>0</v>
      </c>
      <c r="I180" s="12">
        <f t="shared" si="95"/>
        <v>23349400</v>
      </c>
      <c r="J180" s="12">
        <f>SUM(J182:J189)</f>
        <v>300000</v>
      </c>
      <c r="K180" s="12">
        <f>SUM(K182:K189)</f>
        <v>21551445</v>
      </c>
      <c r="L180" s="12">
        <f t="shared" ref="L180:N180" si="96">SUM(L182:L189)</f>
        <v>21051445</v>
      </c>
      <c r="M180" s="12">
        <f t="shared" si="96"/>
        <v>-300000</v>
      </c>
      <c r="N180" s="12">
        <f t="shared" si="96"/>
        <v>21851445</v>
      </c>
      <c r="O180" s="12">
        <f>SUM(O182:O189)</f>
        <v>21851445</v>
      </c>
      <c r="P180" s="12">
        <f>SUM(P182:P189)</f>
        <v>30973300</v>
      </c>
      <c r="Q180" s="12">
        <f t="shared" ref="Q180:R180" si="97">SUM(Q182:Q189)</f>
        <v>14227545</v>
      </c>
      <c r="R180" s="12">
        <f t="shared" si="97"/>
        <v>45200845</v>
      </c>
      <c r="S180" s="58"/>
    </row>
    <row r="181" spans="1:19" s="14" customFormat="1" ht="24" x14ac:dyDescent="0.2">
      <c r="A181" s="16" t="s">
        <v>421</v>
      </c>
      <c r="B181" s="10"/>
      <c r="C181" s="10"/>
      <c r="D181" s="11" t="s">
        <v>420</v>
      </c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58"/>
    </row>
    <row r="182" spans="1:19" s="14" customFormat="1" ht="24" x14ac:dyDescent="0.2">
      <c r="A182" s="1" t="s">
        <v>422</v>
      </c>
      <c r="B182" s="2" t="s">
        <v>59</v>
      </c>
      <c r="C182" s="2" t="s">
        <v>21</v>
      </c>
      <c r="D182" s="3" t="s">
        <v>368</v>
      </c>
      <c r="E182" s="4">
        <v>4239200</v>
      </c>
      <c r="F182" s="4">
        <f>G182</f>
        <v>100000</v>
      </c>
      <c r="G182" s="4">
        <f>100000</f>
        <v>100000</v>
      </c>
      <c r="H182" s="4"/>
      <c r="I182" s="4">
        <f t="shared" ref="I182:I188" si="98">E182+F182</f>
        <v>4339200</v>
      </c>
      <c r="J182" s="4"/>
      <c r="K182" s="4">
        <f t="shared" ref="K182:K189" si="99">M182+N182</f>
        <v>0</v>
      </c>
      <c r="L182" s="4"/>
      <c r="M182" s="4"/>
      <c r="N182" s="4"/>
      <c r="O182" s="4">
        <f t="shared" ref="O182:O189" si="100">J182+K182</f>
        <v>0</v>
      </c>
      <c r="P182" s="4">
        <f t="shared" ref="P182:P189" si="101">E182+J182</f>
        <v>4239200</v>
      </c>
      <c r="Q182" s="4">
        <f t="shared" ref="Q182:Q189" si="102">F182+K182</f>
        <v>100000</v>
      </c>
      <c r="R182" s="4">
        <f t="shared" ref="R182:R189" si="103">I182+O182</f>
        <v>4339200</v>
      </c>
      <c r="S182" s="58"/>
    </row>
    <row r="183" spans="1:19" s="14" customFormat="1" ht="12" x14ac:dyDescent="0.2">
      <c r="A183" s="1" t="s">
        <v>423</v>
      </c>
      <c r="B183" s="2" t="s">
        <v>10</v>
      </c>
      <c r="C183" s="2" t="s">
        <v>13</v>
      </c>
      <c r="D183" s="3" t="s">
        <v>338</v>
      </c>
      <c r="E183" s="4">
        <v>2935100</v>
      </c>
      <c r="F183" s="4">
        <f t="shared" ref="F183:F189" si="104">G183</f>
        <v>0</v>
      </c>
      <c r="G183" s="4"/>
      <c r="H183" s="4"/>
      <c r="I183" s="4">
        <f t="shared" si="98"/>
        <v>2935100</v>
      </c>
      <c r="J183" s="4"/>
      <c r="K183" s="4">
        <f t="shared" si="99"/>
        <v>0</v>
      </c>
      <c r="L183" s="4"/>
      <c r="M183" s="4"/>
      <c r="N183" s="4"/>
      <c r="O183" s="4">
        <f t="shared" si="100"/>
        <v>0</v>
      </c>
      <c r="P183" s="4">
        <f t="shared" si="101"/>
        <v>2935100</v>
      </c>
      <c r="Q183" s="4">
        <f t="shared" si="102"/>
        <v>0</v>
      </c>
      <c r="R183" s="4">
        <f t="shared" si="103"/>
        <v>2935100</v>
      </c>
      <c r="S183" s="58"/>
    </row>
    <row r="184" spans="1:19" s="14" customFormat="1" ht="24" x14ac:dyDescent="0.2">
      <c r="A184" s="1" t="s">
        <v>424</v>
      </c>
      <c r="B184" s="2" t="s">
        <v>234</v>
      </c>
      <c r="C184" s="2" t="s">
        <v>23</v>
      </c>
      <c r="D184" s="3" t="s">
        <v>235</v>
      </c>
      <c r="E184" s="4">
        <v>1000000</v>
      </c>
      <c r="F184" s="4">
        <f t="shared" si="104"/>
        <v>-1000000</v>
      </c>
      <c r="G184" s="4">
        <f>-1000000</f>
        <v>-1000000</v>
      </c>
      <c r="H184" s="4"/>
      <c r="I184" s="4">
        <f t="shared" si="98"/>
        <v>0</v>
      </c>
      <c r="J184" s="4"/>
      <c r="K184" s="4">
        <f t="shared" si="99"/>
        <v>0</v>
      </c>
      <c r="L184" s="4"/>
      <c r="M184" s="4"/>
      <c r="N184" s="4"/>
      <c r="O184" s="4">
        <f t="shared" si="100"/>
        <v>0</v>
      </c>
      <c r="P184" s="4">
        <f t="shared" si="101"/>
        <v>1000000</v>
      </c>
      <c r="Q184" s="4">
        <f t="shared" si="102"/>
        <v>-1000000</v>
      </c>
      <c r="R184" s="4">
        <f t="shared" si="103"/>
        <v>0</v>
      </c>
      <c r="S184" s="58"/>
    </row>
    <row r="185" spans="1:19" s="14" customFormat="1" ht="12" x14ac:dyDescent="0.2">
      <c r="A185" s="1" t="s">
        <v>425</v>
      </c>
      <c r="B185" s="2" t="s">
        <v>94</v>
      </c>
      <c r="C185" s="2" t="s">
        <v>23</v>
      </c>
      <c r="D185" s="3" t="s">
        <v>95</v>
      </c>
      <c r="E185" s="4">
        <v>22499000</v>
      </c>
      <c r="F185" s="4">
        <f t="shared" si="104"/>
        <v>-6423900</v>
      </c>
      <c r="G185" s="4">
        <f>-6423900</f>
        <v>-6423900</v>
      </c>
      <c r="H185" s="4"/>
      <c r="I185" s="4">
        <f t="shared" si="98"/>
        <v>16075100</v>
      </c>
      <c r="J185" s="4"/>
      <c r="K185" s="4">
        <f t="shared" si="99"/>
        <v>0</v>
      </c>
      <c r="L185" s="4"/>
      <c r="M185" s="4"/>
      <c r="N185" s="4"/>
      <c r="O185" s="4">
        <f t="shared" si="100"/>
        <v>0</v>
      </c>
      <c r="P185" s="4">
        <f t="shared" si="101"/>
        <v>22499000</v>
      </c>
      <c r="Q185" s="4">
        <f t="shared" si="102"/>
        <v>-6423900</v>
      </c>
      <c r="R185" s="4">
        <f t="shared" si="103"/>
        <v>16075100</v>
      </c>
      <c r="S185" s="58"/>
    </row>
    <row r="186" spans="1:19" s="14" customFormat="1" ht="24" x14ac:dyDescent="0.2">
      <c r="A186" s="2" t="s">
        <v>499</v>
      </c>
      <c r="B186" s="2" t="s">
        <v>236</v>
      </c>
      <c r="C186" s="2" t="s">
        <v>209</v>
      </c>
      <c r="D186" s="3" t="s">
        <v>428</v>
      </c>
      <c r="E186" s="4"/>
      <c r="F186" s="4"/>
      <c r="G186" s="4"/>
      <c r="H186" s="4"/>
      <c r="I186" s="4"/>
      <c r="J186" s="4"/>
      <c r="K186" s="4">
        <f t="shared" si="99"/>
        <v>10101445</v>
      </c>
      <c r="L186" s="4">
        <f>10101445</f>
        <v>10101445</v>
      </c>
      <c r="M186" s="4"/>
      <c r="N186" s="4">
        <f>10101445</f>
        <v>10101445</v>
      </c>
      <c r="O186" s="4">
        <f t="shared" si="100"/>
        <v>10101445</v>
      </c>
      <c r="P186" s="4">
        <f t="shared" si="101"/>
        <v>0</v>
      </c>
      <c r="Q186" s="4">
        <f t="shared" si="102"/>
        <v>10101445</v>
      </c>
      <c r="R186" s="4">
        <f t="shared" si="103"/>
        <v>10101445</v>
      </c>
      <c r="S186" s="58"/>
    </row>
    <row r="187" spans="1:19" s="14" customFormat="1" ht="24" x14ac:dyDescent="0.2">
      <c r="A187" s="2" t="s">
        <v>500</v>
      </c>
      <c r="B187" s="2" t="s">
        <v>78</v>
      </c>
      <c r="C187" s="2" t="s">
        <v>24</v>
      </c>
      <c r="D187" s="62" t="s">
        <v>482</v>
      </c>
      <c r="E187" s="4"/>
      <c r="F187" s="4"/>
      <c r="G187" s="4"/>
      <c r="H187" s="4"/>
      <c r="I187" s="4"/>
      <c r="J187" s="4"/>
      <c r="K187" s="4">
        <f t="shared" si="99"/>
        <v>10950000</v>
      </c>
      <c r="L187" s="4">
        <f>10950000</f>
        <v>10950000</v>
      </c>
      <c r="M187" s="4"/>
      <c r="N187" s="4">
        <f>10950000</f>
        <v>10950000</v>
      </c>
      <c r="O187" s="4">
        <f t="shared" si="100"/>
        <v>10950000</v>
      </c>
      <c r="P187" s="4">
        <f t="shared" si="101"/>
        <v>0</v>
      </c>
      <c r="Q187" s="4">
        <f t="shared" si="102"/>
        <v>10950000</v>
      </c>
      <c r="R187" s="4">
        <f t="shared" si="103"/>
        <v>10950000</v>
      </c>
      <c r="S187" s="58"/>
    </row>
    <row r="188" spans="1:19" s="14" customFormat="1" ht="84" x14ac:dyDescent="0.2">
      <c r="A188" s="1" t="s">
        <v>426</v>
      </c>
      <c r="B188" s="2" t="s">
        <v>271</v>
      </c>
      <c r="C188" s="2" t="s">
        <v>24</v>
      </c>
      <c r="D188" s="3" t="s">
        <v>272</v>
      </c>
      <c r="E188" s="4"/>
      <c r="F188" s="4">
        <f t="shared" si="104"/>
        <v>0</v>
      </c>
      <c r="G188" s="4"/>
      <c r="H188" s="4"/>
      <c r="I188" s="4">
        <f t="shared" si="98"/>
        <v>0</v>
      </c>
      <c r="J188" s="4">
        <v>300000</v>
      </c>
      <c r="K188" s="4">
        <f t="shared" si="99"/>
        <v>0</v>
      </c>
      <c r="L188" s="4"/>
      <c r="M188" s="4">
        <f>-300000</f>
        <v>-300000</v>
      </c>
      <c r="N188" s="4">
        <v>300000</v>
      </c>
      <c r="O188" s="4">
        <f t="shared" si="100"/>
        <v>300000</v>
      </c>
      <c r="P188" s="4">
        <f t="shared" si="101"/>
        <v>300000</v>
      </c>
      <c r="Q188" s="4">
        <f t="shared" si="102"/>
        <v>0</v>
      </c>
      <c r="R188" s="4">
        <f t="shared" si="103"/>
        <v>300000</v>
      </c>
      <c r="S188" s="58"/>
    </row>
    <row r="189" spans="1:19" s="14" customFormat="1" ht="24" x14ac:dyDescent="0.2">
      <c r="A189" s="1" t="s">
        <v>516</v>
      </c>
      <c r="B189" s="2" t="s">
        <v>96</v>
      </c>
      <c r="C189" s="2" t="s">
        <v>15</v>
      </c>
      <c r="D189" s="3" t="s">
        <v>5</v>
      </c>
      <c r="E189" s="4"/>
      <c r="F189" s="4">
        <f t="shared" si="104"/>
        <v>0</v>
      </c>
      <c r="G189" s="4"/>
      <c r="H189" s="4"/>
      <c r="I189" s="4"/>
      <c r="J189" s="4"/>
      <c r="K189" s="4">
        <f t="shared" si="99"/>
        <v>500000</v>
      </c>
      <c r="L189" s="4"/>
      <c r="M189" s="4"/>
      <c r="N189" s="4">
        <v>500000</v>
      </c>
      <c r="O189" s="4">
        <f t="shared" si="100"/>
        <v>500000</v>
      </c>
      <c r="P189" s="4">
        <f t="shared" si="101"/>
        <v>0</v>
      </c>
      <c r="Q189" s="4">
        <f t="shared" si="102"/>
        <v>500000</v>
      </c>
      <c r="R189" s="4">
        <f t="shared" si="103"/>
        <v>500000</v>
      </c>
      <c r="S189" s="58"/>
    </row>
    <row r="190" spans="1:19" s="13" customFormat="1" ht="24" x14ac:dyDescent="0.2">
      <c r="A190" s="16" t="s">
        <v>222</v>
      </c>
      <c r="B190" s="10"/>
      <c r="C190" s="10"/>
      <c r="D190" s="11" t="s">
        <v>427</v>
      </c>
      <c r="E190" s="12">
        <f>SUM(E192:E201)</f>
        <v>2522000</v>
      </c>
      <c r="F190" s="12">
        <f t="shared" ref="F190:I190" si="105">SUM(F192:F201)</f>
        <v>0</v>
      </c>
      <c r="G190" s="12">
        <f t="shared" si="105"/>
        <v>0</v>
      </c>
      <c r="H190" s="12">
        <f t="shared" si="105"/>
        <v>0</v>
      </c>
      <c r="I190" s="12">
        <f t="shared" si="105"/>
        <v>2522000</v>
      </c>
      <c r="J190" s="12">
        <f>SUM(J192:J203)</f>
        <v>907128298</v>
      </c>
      <c r="K190" s="12">
        <f t="shared" ref="K190:N190" si="106">SUM(K192:K203)</f>
        <v>-38478740</v>
      </c>
      <c r="L190" s="12">
        <f t="shared" si="106"/>
        <v>-41175264</v>
      </c>
      <c r="M190" s="12">
        <f t="shared" si="106"/>
        <v>0</v>
      </c>
      <c r="N190" s="12">
        <f t="shared" si="106"/>
        <v>-38478740</v>
      </c>
      <c r="O190" s="12">
        <f>SUM(O192:O203)</f>
        <v>868649558</v>
      </c>
      <c r="P190" s="12">
        <f>SUM(P192:P203)</f>
        <v>909650298</v>
      </c>
      <c r="Q190" s="12">
        <f t="shared" ref="Q190:R190" si="107">SUM(Q192:Q203)</f>
        <v>-38478740</v>
      </c>
      <c r="R190" s="12">
        <f t="shared" si="107"/>
        <v>871171558</v>
      </c>
      <c r="S190" s="58"/>
    </row>
    <row r="191" spans="1:19" s="13" customFormat="1" ht="24" x14ac:dyDescent="0.2">
      <c r="A191" s="16" t="s">
        <v>223</v>
      </c>
      <c r="B191" s="10"/>
      <c r="C191" s="10"/>
      <c r="D191" s="11" t="s">
        <v>427</v>
      </c>
      <c r="E191" s="12"/>
      <c r="F191" s="12"/>
      <c r="G191" s="12"/>
      <c r="H191" s="12"/>
      <c r="I191" s="12"/>
      <c r="J191" s="4"/>
      <c r="K191" s="4">
        <f t="shared" ref="K191:K203" si="108">M191+N191</f>
        <v>0</v>
      </c>
      <c r="L191" s="12"/>
      <c r="M191" s="12"/>
      <c r="N191" s="12"/>
      <c r="O191" s="12">
        <f t="shared" ref="O191:O203" si="109">J191+K191</f>
        <v>0</v>
      </c>
      <c r="P191" s="12">
        <f t="shared" si="79"/>
        <v>0</v>
      </c>
      <c r="Q191" s="12">
        <f t="shared" si="80"/>
        <v>0</v>
      </c>
      <c r="R191" s="12">
        <f t="shared" si="81"/>
        <v>0</v>
      </c>
      <c r="S191" s="58"/>
    </row>
    <row r="192" spans="1:19" s="14" customFormat="1" ht="24" x14ac:dyDescent="0.2">
      <c r="A192" s="1" t="s">
        <v>224</v>
      </c>
      <c r="B192" s="2" t="s">
        <v>59</v>
      </c>
      <c r="C192" s="2" t="s">
        <v>21</v>
      </c>
      <c r="D192" s="3" t="s">
        <v>368</v>
      </c>
      <c r="E192" s="4">
        <v>2522000</v>
      </c>
      <c r="F192" s="4">
        <f t="shared" ref="F192:F202" si="110">G192</f>
        <v>0</v>
      </c>
      <c r="G192" s="4"/>
      <c r="H192" s="4"/>
      <c r="I192" s="4">
        <f t="shared" ref="I192:I201" si="111">E192+F192</f>
        <v>2522000</v>
      </c>
      <c r="J192" s="4">
        <v>0</v>
      </c>
      <c r="K192" s="4">
        <f t="shared" si="108"/>
        <v>49900</v>
      </c>
      <c r="L192" s="4">
        <f>49900</f>
        <v>49900</v>
      </c>
      <c r="M192" s="4"/>
      <c r="N192" s="4">
        <f>49900</f>
        <v>49900</v>
      </c>
      <c r="O192" s="4">
        <f t="shared" si="109"/>
        <v>49900</v>
      </c>
      <c r="P192" s="4">
        <f t="shared" si="79"/>
        <v>2522000</v>
      </c>
      <c r="Q192" s="4">
        <f t="shared" si="80"/>
        <v>49900</v>
      </c>
      <c r="R192" s="4">
        <f t="shared" si="81"/>
        <v>2571900</v>
      </c>
      <c r="S192" s="58"/>
    </row>
    <row r="193" spans="1:19" s="14" customFormat="1" ht="12" x14ac:dyDescent="0.2">
      <c r="A193" s="2" t="s">
        <v>230</v>
      </c>
      <c r="B193" s="2" t="s">
        <v>10</v>
      </c>
      <c r="C193" s="2" t="s">
        <v>13</v>
      </c>
      <c r="D193" s="3" t="s">
        <v>165</v>
      </c>
      <c r="E193" s="4"/>
      <c r="F193" s="4">
        <f t="shared" si="110"/>
        <v>0</v>
      </c>
      <c r="G193" s="4"/>
      <c r="H193" s="4"/>
      <c r="I193" s="4">
        <f t="shared" si="111"/>
        <v>0</v>
      </c>
      <c r="J193" s="4">
        <v>4000000</v>
      </c>
      <c r="K193" s="4">
        <f t="shared" si="108"/>
        <v>0</v>
      </c>
      <c r="L193" s="4"/>
      <c r="M193" s="4"/>
      <c r="N193" s="4"/>
      <c r="O193" s="4">
        <f t="shared" si="109"/>
        <v>4000000</v>
      </c>
      <c r="P193" s="4">
        <f t="shared" si="79"/>
        <v>4000000</v>
      </c>
      <c r="Q193" s="4">
        <f t="shared" si="80"/>
        <v>0</v>
      </c>
      <c r="R193" s="4">
        <f t="shared" si="81"/>
        <v>4000000</v>
      </c>
      <c r="S193" s="58"/>
    </row>
    <row r="194" spans="1:19" s="14" customFormat="1" ht="24" x14ac:dyDescent="0.2">
      <c r="A194" s="2" t="s">
        <v>237</v>
      </c>
      <c r="B194" s="2" t="s">
        <v>236</v>
      </c>
      <c r="C194" s="2" t="s">
        <v>209</v>
      </c>
      <c r="D194" s="3" t="s">
        <v>428</v>
      </c>
      <c r="E194" s="4">
        <v>0</v>
      </c>
      <c r="F194" s="4">
        <f t="shared" si="110"/>
        <v>0</v>
      </c>
      <c r="G194" s="4"/>
      <c r="H194" s="4"/>
      <c r="I194" s="4">
        <f t="shared" si="111"/>
        <v>0</v>
      </c>
      <c r="J194" s="4">
        <v>52000000</v>
      </c>
      <c r="K194" s="4">
        <f t="shared" si="108"/>
        <v>85192477</v>
      </c>
      <c r="L194" s="4">
        <f>60000000+25192477</f>
        <v>85192477</v>
      </c>
      <c r="M194" s="4"/>
      <c r="N194" s="4">
        <f>60000000+25192477</f>
        <v>85192477</v>
      </c>
      <c r="O194" s="4">
        <f t="shared" si="109"/>
        <v>137192477</v>
      </c>
      <c r="P194" s="4">
        <f t="shared" si="79"/>
        <v>52000000</v>
      </c>
      <c r="Q194" s="4">
        <f t="shared" si="80"/>
        <v>85192477</v>
      </c>
      <c r="R194" s="4">
        <f t="shared" si="81"/>
        <v>137192477</v>
      </c>
      <c r="S194" s="58"/>
    </row>
    <row r="195" spans="1:19" s="14" customFormat="1" ht="12" x14ac:dyDescent="0.2">
      <c r="A195" s="2" t="s">
        <v>501</v>
      </c>
      <c r="B195" s="2" t="s">
        <v>484</v>
      </c>
      <c r="C195" s="2" t="s">
        <v>209</v>
      </c>
      <c r="D195" s="3" t="s">
        <v>485</v>
      </c>
      <c r="E195" s="4"/>
      <c r="F195" s="4"/>
      <c r="G195" s="4"/>
      <c r="H195" s="4"/>
      <c r="I195" s="4"/>
      <c r="J195" s="4"/>
      <c r="K195" s="4">
        <f t="shared" si="108"/>
        <v>17725655</v>
      </c>
      <c r="L195" s="4">
        <f>16043121+1682534</f>
        <v>17725655</v>
      </c>
      <c r="M195" s="4"/>
      <c r="N195" s="4">
        <f>16043121+1682534</f>
        <v>17725655</v>
      </c>
      <c r="O195" s="4">
        <f t="shared" si="109"/>
        <v>17725655</v>
      </c>
      <c r="P195" s="4">
        <f t="shared" si="79"/>
        <v>0</v>
      </c>
      <c r="Q195" s="4">
        <f t="shared" si="80"/>
        <v>17725655</v>
      </c>
      <c r="R195" s="4">
        <f t="shared" si="81"/>
        <v>17725655</v>
      </c>
      <c r="S195" s="58"/>
    </row>
    <row r="196" spans="1:19" s="14" customFormat="1" ht="12" x14ac:dyDescent="0.2">
      <c r="A196" s="1" t="s">
        <v>502</v>
      </c>
      <c r="B196" s="2" t="s">
        <v>333</v>
      </c>
      <c r="C196" s="2" t="s">
        <v>209</v>
      </c>
      <c r="D196" s="3" t="s">
        <v>486</v>
      </c>
      <c r="E196" s="4"/>
      <c r="F196" s="4"/>
      <c r="G196" s="4"/>
      <c r="H196" s="4"/>
      <c r="I196" s="4"/>
      <c r="J196" s="4"/>
      <c r="K196" s="4">
        <f t="shared" si="108"/>
        <v>749962</v>
      </c>
      <c r="L196" s="4">
        <f>749962</f>
        <v>749962</v>
      </c>
      <c r="M196" s="4"/>
      <c r="N196" s="4">
        <f>749962</f>
        <v>749962</v>
      </c>
      <c r="O196" s="4">
        <f t="shared" si="109"/>
        <v>749962</v>
      </c>
      <c r="P196" s="4">
        <f t="shared" si="79"/>
        <v>0</v>
      </c>
      <c r="Q196" s="4">
        <f t="shared" si="80"/>
        <v>749962</v>
      </c>
      <c r="R196" s="4">
        <f t="shared" si="81"/>
        <v>749962</v>
      </c>
      <c r="S196" s="58"/>
    </row>
    <row r="197" spans="1:19" s="14" customFormat="1" ht="12" x14ac:dyDescent="0.2">
      <c r="A197" s="1" t="s">
        <v>503</v>
      </c>
      <c r="B197" s="2" t="s">
        <v>496</v>
      </c>
      <c r="C197" s="2" t="s">
        <v>209</v>
      </c>
      <c r="D197" s="3" t="s">
        <v>497</v>
      </c>
      <c r="E197" s="4"/>
      <c r="F197" s="4"/>
      <c r="G197" s="4"/>
      <c r="H197" s="4"/>
      <c r="I197" s="4"/>
      <c r="J197" s="4"/>
      <c r="K197" s="4">
        <f t="shared" si="108"/>
        <v>400000</v>
      </c>
      <c r="L197" s="4">
        <f>400000</f>
        <v>400000</v>
      </c>
      <c r="M197" s="4"/>
      <c r="N197" s="4">
        <f>400000</f>
        <v>400000</v>
      </c>
      <c r="O197" s="4">
        <f t="shared" si="109"/>
        <v>400000</v>
      </c>
      <c r="P197" s="4">
        <f t="shared" si="79"/>
        <v>0</v>
      </c>
      <c r="Q197" s="4">
        <f t="shared" si="80"/>
        <v>400000</v>
      </c>
      <c r="R197" s="4">
        <f t="shared" si="81"/>
        <v>400000</v>
      </c>
      <c r="S197" s="58"/>
    </row>
    <row r="198" spans="1:19" s="14" customFormat="1" ht="24" x14ac:dyDescent="0.2">
      <c r="A198" s="1" t="s">
        <v>504</v>
      </c>
      <c r="B198" s="2" t="s">
        <v>505</v>
      </c>
      <c r="C198" s="2" t="s">
        <v>209</v>
      </c>
      <c r="D198" s="3" t="s">
        <v>506</v>
      </c>
      <c r="E198" s="4"/>
      <c r="F198" s="4"/>
      <c r="G198" s="4"/>
      <c r="H198" s="4"/>
      <c r="I198" s="4"/>
      <c r="J198" s="4"/>
      <c r="K198" s="4">
        <f t="shared" si="108"/>
        <v>90709</v>
      </c>
      <c r="L198" s="4">
        <f>90709</f>
        <v>90709</v>
      </c>
      <c r="M198" s="4"/>
      <c r="N198" s="4">
        <f>90709</f>
        <v>90709</v>
      </c>
      <c r="O198" s="4">
        <f t="shared" si="109"/>
        <v>90709</v>
      </c>
      <c r="P198" s="4">
        <f t="shared" si="79"/>
        <v>0</v>
      </c>
      <c r="Q198" s="4">
        <f t="shared" si="80"/>
        <v>90709</v>
      </c>
      <c r="R198" s="4">
        <f t="shared" si="81"/>
        <v>90709</v>
      </c>
      <c r="S198" s="58"/>
    </row>
    <row r="199" spans="1:19" s="14" customFormat="1" ht="12" x14ac:dyDescent="0.2">
      <c r="A199" s="2" t="s">
        <v>238</v>
      </c>
      <c r="B199" s="2" t="s">
        <v>239</v>
      </c>
      <c r="C199" s="2" t="s">
        <v>209</v>
      </c>
      <c r="D199" s="3" t="s">
        <v>429</v>
      </c>
      <c r="E199" s="4"/>
      <c r="F199" s="4">
        <f t="shared" si="110"/>
        <v>0</v>
      </c>
      <c r="G199" s="4"/>
      <c r="H199" s="4"/>
      <c r="I199" s="4"/>
      <c r="J199" s="4">
        <v>192670000</v>
      </c>
      <c r="K199" s="4">
        <f t="shared" si="108"/>
        <v>8216122</v>
      </c>
      <c r="L199" s="4">
        <f>2150000+6066122</f>
        <v>8216122</v>
      </c>
      <c r="M199" s="4"/>
      <c r="N199" s="4">
        <f>2150000+6066122</f>
        <v>8216122</v>
      </c>
      <c r="O199" s="4">
        <f t="shared" si="109"/>
        <v>200886122</v>
      </c>
      <c r="P199" s="4">
        <f t="shared" si="79"/>
        <v>192670000</v>
      </c>
      <c r="Q199" s="4">
        <f t="shared" si="80"/>
        <v>8216122</v>
      </c>
      <c r="R199" s="4">
        <f t="shared" si="81"/>
        <v>200886122</v>
      </c>
      <c r="S199" s="58"/>
    </row>
    <row r="200" spans="1:19" s="14" customFormat="1" ht="24" x14ac:dyDescent="0.2">
      <c r="A200" s="2" t="s">
        <v>240</v>
      </c>
      <c r="B200" s="2" t="s">
        <v>228</v>
      </c>
      <c r="C200" s="2" t="s">
        <v>209</v>
      </c>
      <c r="D200" s="3" t="s">
        <v>241</v>
      </c>
      <c r="E200" s="4"/>
      <c r="F200" s="4">
        <f t="shared" si="110"/>
        <v>0</v>
      </c>
      <c r="G200" s="4"/>
      <c r="H200" s="4"/>
      <c r="I200" s="4"/>
      <c r="J200" s="4"/>
      <c r="K200" s="4">
        <f t="shared" si="108"/>
        <v>2048210</v>
      </c>
      <c r="L200" s="4">
        <f>2048210</f>
        <v>2048210</v>
      </c>
      <c r="M200" s="4"/>
      <c r="N200" s="4">
        <f>2048210</f>
        <v>2048210</v>
      </c>
      <c r="O200" s="4">
        <f t="shared" si="109"/>
        <v>2048210</v>
      </c>
      <c r="P200" s="4">
        <f t="shared" si="79"/>
        <v>0</v>
      </c>
      <c r="Q200" s="4">
        <f t="shared" si="80"/>
        <v>2048210</v>
      </c>
      <c r="R200" s="4">
        <f t="shared" si="81"/>
        <v>2048210</v>
      </c>
      <c r="S200" s="58"/>
    </row>
    <row r="201" spans="1:19" s="14" customFormat="1" ht="24" x14ac:dyDescent="0.2">
      <c r="A201" s="2" t="s">
        <v>319</v>
      </c>
      <c r="B201" s="2" t="s">
        <v>282</v>
      </c>
      <c r="C201" s="2" t="s">
        <v>24</v>
      </c>
      <c r="D201" s="3" t="s">
        <v>97</v>
      </c>
      <c r="E201" s="4">
        <v>0</v>
      </c>
      <c r="F201" s="4">
        <f t="shared" si="110"/>
        <v>0</v>
      </c>
      <c r="G201" s="4"/>
      <c r="H201" s="4"/>
      <c r="I201" s="4">
        <f t="shared" si="111"/>
        <v>0</v>
      </c>
      <c r="J201" s="4">
        <f>661281800-2823502</f>
        <v>658458298</v>
      </c>
      <c r="K201" s="4">
        <f t="shared" si="108"/>
        <v>-155648299</v>
      </c>
      <c r="L201" s="4">
        <f>-155648299</f>
        <v>-155648299</v>
      </c>
      <c r="M201" s="4"/>
      <c r="N201" s="4">
        <f>-155648299</f>
        <v>-155648299</v>
      </c>
      <c r="O201" s="4">
        <f t="shared" si="109"/>
        <v>502809999</v>
      </c>
      <c r="P201" s="4">
        <f t="shared" si="79"/>
        <v>658458298</v>
      </c>
      <c r="Q201" s="4">
        <f t="shared" si="80"/>
        <v>-155648299</v>
      </c>
      <c r="R201" s="4">
        <f t="shared" si="81"/>
        <v>502809999</v>
      </c>
      <c r="S201" s="58"/>
    </row>
    <row r="202" spans="1:19" s="14" customFormat="1" ht="24" x14ac:dyDescent="0.2">
      <c r="A202" s="1" t="s">
        <v>517</v>
      </c>
      <c r="B202" s="2" t="s">
        <v>96</v>
      </c>
      <c r="C202" s="2" t="s">
        <v>15</v>
      </c>
      <c r="D202" s="3" t="s">
        <v>5</v>
      </c>
      <c r="E202" s="4"/>
      <c r="F202" s="4">
        <f t="shared" si="110"/>
        <v>0</v>
      </c>
      <c r="G202" s="4"/>
      <c r="H202" s="4"/>
      <c r="I202" s="4"/>
      <c r="J202" s="4"/>
      <c r="K202" s="4">
        <f t="shared" si="108"/>
        <v>2658577</v>
      </c>
      <c r="L202" s="4"/>
      <c r="M202" s="4"/>
      <c r="N202" s="4">
        <v>2658577</v>
      </c>
      <c r="O202" s="4">
        <f t="shared" si="109"/>
        <v>2658577</v>
      </c>
      <c r="P202" s="4">
        <f t="shared" si="79"/>
        <v>0</v>
      </c>
      <c r="Q202" s="4">
        <f t="shared" si="80"/>
        <v>2658577</v>
      </c>
      <c r="R202" s="4">
        <f t="shared" si="81"/>
        <v>2658577</v>
      </c>
      <c r="S202" s="58"/>
    </row>
    <row r="203" spans="1:19" s="14" customFormat="1" ht="12" x14ac:dyDescent="0.2">
      <c r="A203" s="1" t="s">
        <v>518</v>
      </c>
      <c r="B203" s="2" t="s">
        <v>519</v>
      </c>
      <c r="C203" s="2" t="s">
        <v>521</v>
      </c>
      <c r="D203" s="3" t="s">
        <v>520</v>
      </c>
      <c r="E203" s="4"/>
      <c r="F203" s="4"/>
      <c r="G203" s="4"/>
      <c r="H203" s="4"/>
      <c r="I203" s="4"/>
      <c r="J203" s="4"/>
      <c r="K203" s="4">
        <f t="shared" si="108"/>
        <v>37947</v>
      </c>
      <c r="L203" s="4"/>
      <c r="M203" s="4"/>
      <c r="N203" s="4">
        <v>37947</v>
      </c>
      <c r="O203" s="4">
        <f t="shared" si="109"/>
        <v>37947</v>
      </c>
      <c r="P203" s="4">
        <f t="shared" si="79"/>
        <v>0</v>
      </c>
      <c r="Q203" s="4">
        <f t="shared" si="80"/>
        <v>37947</v>
      </c>
      <c r="R203" s="4">
        <f t="shared" si="81"/>
        <v>37947</v>
      </c>
      <c r="S203" s="58"/>
    </row>
    <row r="204" spans="1:19" s="13" customFormat="1" ht="24" x14ac:dyDescent="0.2">
      <c r="A204" s="16" t="s">
        <v>211</v>
      </c>
      <c r="B204" s="10"/>
      <c r="C204" s="10"/>
      <c r="D204" s="17" t="s">
        <v>430</v>
      </c>
      <c r="E204" s="12">
        <f>E206+E207+E212</f>
        <v>19548300</v>
      </c>
      <c r="F204" s="12">
        <f t="shared" ref="F204:I204" si="112">F206+F207+F212</f>
        <v>0</v>
      </c>
      <c r="G204" s="12">
        <f t="shared" si="112"/>
        <v>0</v>
      </c>
      <c r="H204" s="12">
        <f t="shared" si="112"/>
        <v>0</v>
      </c>
      <c r="I204" s="12">
        <f t="shared" si="112"/>
        <v>19548300</v>
      </c>
      <c r="J204" s="12">
        <f>J206+J207+J212+J210+J211+J213</f>
        <v>0</v>
      </c>
      <c r="K204" s="12">
        <f t="shared" ref="K204:N204" si="113">K206+K207+K212+K210+K211+K213</f>
        <v>1654800</v>
      </c>
      <c r="L204" s="12">
        <f t="shared" si="113"/>
        <v>1654800</v>
      </c>
      <c r="M204" s="12">
        <f t="shared" si="113"/>
        <v>0</v>
      </c>
      <c r="N204" s="12">
        <f t="shared" si="113"/>
        <v>1654800</v>
      </c>
      <c r="O204" s="12">
        <f>O206+O207+O212+O210+O211+O213</f>
        <v>1654800</v>
      </c>
      <c r="P204" s="12">
        <f>P206+P207+P212+P210+P211+P213</f>
        <v>19548300</v>
      </c>
      <c r="Q204" s="12">
        <f t="shared" ref="Q204:R204" si="114">Q206+Q207+Q212+Q210+Q211+Q213</f>
        <v>1654800</v>
      </c>
      <c r="R204" s="12">
        <f t="shared" si="114"/>
        <v>21203100</v>
      </c>
      <c r="S204" s="58"/>
    </row>
    <row r="205" spans="1:19" s="13" customFormat="1" ht="24" x14ac:dyDescent="0.2">
      <c r="A205" s="16" t="s">
        <v>212</v>
      </c>
      <c r="B205" s="10"/>
      <c r="C205" s="10"/>
      <c r="D205" s="17" t="s">
        <v>430</v>
      </c>
      <c r="E205" s="12"/>
      <c r="F205" s="12"/>
      <c r="G205" s="12"/>
      <c r="H205" s="12"/>
      <c r="I205" s="12"/>
      <c r="J205" s="4"/>
      <c r="K205" s="4">
        <f t="shared" ref="K205:K213" si="115">M205+N205</f>
        <v>0</v>
      </c>
      <c r="L205" s="12"/>
      <c r="M205" s="12"/>
      <c r="N205" s="12"/>
      <c r="O205" s="12">
        <f t="shared" ref="O205:O213" si="116">J205+K205</f>
        <v>0</v>
      </c>
      <c r="P205" s="12">
        <f t="shared" si="79"/>
        <v>0</v>
      </c>
      <c r="Q205" s="12">
        <f t="shared" si="80"/>
        <v>0</v>
      </c>
      <c r="R205" s="12">
        <f t="shared" si="81"/>
        <v>0</v>
      </c>
      <c r="S205" s="58"/>
    </row>
    <row r="206" spans="1:19" s="14" customFormat="1" ht="24" x14ac:dyDescent="0.2">
      <c r="A206" s="1" t="s">
        <v>213</v>
      </c>
      <c r="B206" s="2" t="s">
        <v>59</v>
      </c>
      <c r="C206" s="2" t="s">
        <v>21</v>
      </c>
      <c r="D206" s="3" t="s">
        <v>368</v>
      </c>
      <c r="E206" s="4">
        <v>8068300</v>
      </c>
      <c r="F206" s="4">
        <f t="shared" ref="F206:F212" si="117">G206</f>
        <v>0</v>
      </c>
      <c r="G206" s="4"/>
      <c r="H206" s="4"/>
      <c r="I206" s="4">
        <f t="shared" ref="I206:I212" si="118">E206+F206</f>
        <v>8068300</v>
      </c>
      <c r="J206" s="4"/>
      <c r="K206" s="4">
        <f t="shared" si="115"/>
        <v>0</v>
      </c>
      <c r="L206" s="4"/>
      <c r="M206" s="4"/>
      <c r="N206" s="4"/>
      <c r="O206" s="4">
        <f t="shared" si="116"/>
        <v>0</v>
      </c>
      <c r="P206" s="4">
        <f t="shared" si="79"/>
        <v>8068300</v>
      </c>
      <c r="Q206" s="4">
        <f t="shared" si="80"/>
        <v>0</v>
      </c>
      <c r="R206" s="4">
        <f t="shared" si="81"/>
        <v>8068300</v>
      </c>
      <c r="S206" s="58"/>
    </row>
    <row r="207" spans="1:19" s="14" customFormat="1" ht="12" x14ac:dyDescent="0.2">
      <c r="A207" s="1" t="s">
        <v>309</v>
      </c>
      <c r="B207" s="2" t="s">
        <v>10</v>
      </c>
      <c r="C207" s="2" t="s">
        <v>13</v>
      </c>
      <c r="D207" s="3" t="s">
        <v>165</v>
      </c>
      <c r="E207" s="4">
        <v>6480000</v>
      </c>
      <c r="F207" s="4">
        <f t="shared" si="117"/>
        <v>0</v>
      </c>
      <c r="G207" s="4"/>
      <c r="H207" s="4"/>
      <c r="I207" s="4">
        <f t="shared" si="118"/>
        <v>6480000</v>
      </c>
      <c r="J207" s="4"/>
      <c r="K207" s="4">
        <f t="shared" si="115"/>
        <v>0</v>
      </c>
      <c r="L207" s="4"/>
      <c r="M207" s="4"/>
      <c r="N207" s="4"/>
      <c r="O207" s="4">
        <f t="shared" si="116"/>
        <v>0</v>
      </c>
      <c r="P207" s="4">
        <f t="shared" si="79"/>
        <v>6480000</v>
      </c>
      <c r="Q207" s="4">
        <f t="shared" si="80"/>
        <v>0</v>
      </c>
      <c r="R207" s="4">
        <f t="shared" si="81"/>
        <v>6480000</v>
      </c>
      <c r="S207" s="58"/>
    </row>
    <row r="208" spans="1:19" s="14" customFormat="1" ht="12" x14ac:dyDescent="0.2">
      <c r="A208" s="1"/>
      <c r="B208" s="2"/>
      <c r="C208" s="2"/>
      <c r="D208" s="3" t="s">
        <v>334</v>
      </c>
      <c r="E208" s="4">
        <v>0</v>
      </c>
      <c r="F208" s="4">
        <f t="shared" si="117"/>
        <v>0</v>
      </c>
      <c r="G208" s="4"/>
      <c r="H208" s="4"/>
      <c r="I208" s="4">
        <f t="shared" si="118"/>
        <v>0</v>
      </c>
      <c r="J208" s="4">
        <v>0</v>
      </c>
      <c r="K208" s="4">
        <f t="shared" si="115"/>
        <v>0</v>
      </c>
      <c r="L208" s="4"/>
      <c r="M208" s="4"/>
      <c r="N208" s="4"/>
      <c r="O208" s="4">
        <f t="shared" si="116"/>
        <v>0</v>
      </c>
      <c r="P208" s="4">
        <f t="shared" si="79"/>
        <v>0</v>
      </c>
      <c r="Q208" s="4">
        <f t="shared" si="80"/>
        <v>0</v>
      </c>
      <c r="R208" s="4">
        <f t="shared" si="81"/>
        <v>0</v>
      </c>
      <c r="S208" s="58"/>
    </row>
    <row r="209" spans="1:19" s="14" customFormat="1" ht="24" x14ac:dyDescent="0.2">
      <c r="A209" s="1" t="s">
        <v>309</v>
      </c>
      <c r="B209" s="2" t="s">
        <v>10</v>
      </c>
      <c r="C209" s="2" t="s">
        <v>13</v>
      </c>
      <c r="D209" s="3" t="s">
        <v>335</v>
      </c>
      <c r="E209" s="4">
        <v>6400000</v>
      </c>
      <c r="F209" s="4">
        <f t="shared" si="117"/>
        <v>0</v>
      </c>
      <c r="G209" s="4"/>
      <c r="H209" s="4"/>
      <c r="I209" s="4">
        <f t="shared" si="118"/>
        <v>6400000</v>
      </c>
      <c r="J209" s="4">
        <v>0</v>
      </c>
      <c r="K209" s="4">
        <f t="shared" si="115"/>
        <v>0</v>
      </c>
      <c r="L209" s="4"/>
      <c r="M209" s="4"/>
      <c r="N209" s="4"/>
      <c r="O209" s="4">
        <f t="shared" si="116"/>
        <v>0</v>
      </c>
      <c r="P209" s="4">
        <f t="shared" si="79"/>
        <v>6400000</v>
      </c>
      <c r="Q209" s="4">
        <f t="shared" si="80"/>
        <v>0</v>
      </c>
      <c r="R209" s="4">
        <f t="shared" si="81"/>
        <v>6400000</v>
      </c>
      <c r="S209" s="58"/>
    </row>
    <row r="210" spans="1:19" s="14" customFormat="1" ht="12" x14ac:dyDescent="0.2">
      <c r="A210" s="1" t="s">
        <v>507</v>
      </c>
      <c r="B210" s="2" t="s">
        <v>239</v>
      </c>
      <c r="C210" s="2" t="s">
        <v>209</v>
      </c>
      <c r="D210" s="3" t="s">
        <v>480</v>
      </c>
      <c r="E210" s="4"/>
      <c r="F210" s="4"/>
      <c r="G210" s="4"/>
      <c r="H210" s="4"/>
      <c r="I210" s="4"/>
      <c r="J210" s="4"/>
      <c r="K210" s="4">
        <f t="shared" si="115"/>
        <v>292000</v>
      </c>
      <c r="L210" s="4">
        <f>292000</f>
        <v>292000</v>
      </c>
      <c r="M210" s="4"/>
      <c r="N210" s="4">
        <f>292000</f>
        <v>292000</v>
      </c>
      <c r="O210" s="4">
        <f t="shared" si="116"/>
        <v>292000</v>
      </c>
      <c r="P210" s="4">
        <f t="shared" si="79"/>
        <v>0</v>
      </c>
      <c r="Q210" s="4">
        <f t="shared" si="80"/>
        <v>292000</v>
      </c>
      <c r="R210" s="4">
        <f t="shared" si="81"/>
        <v>292000</v>
      </c>
      <c r="S210" s="58"/>
    </row>
    <row r="211" spans="1:19" s="14" customFormat="1" ht="24" x14ac:dyDescent="0.2">
      <c r="A211" s="1" t="s">
        <v>508</v>
      </c>
      <c r="B211" s="2" t="s">
        <v>228</v>
      </c>
      <c r="C211" s="2" t="s">
        <v>209</v>
      </c>
      <c r="D211" s="3" t="s">
        <v>241</v>
      </c>
      <c r="E211" s="4"/>
      <c r="F211" s="4"/>
      <c r="G211" s="4"/>
      <c r="H211" s="4"/>
      <c r="I211" s="4"/>
      <c r="J211" s="4"/>
      <c r="K211" s="4">
        <f t="shared" si="115"/>
        <v>225161</v>
      </c>
      <c r="L211" s="4">
        <f>225161</f>
        <v>225161</v>
      </c>
      <c r="M211" s="4"/>
      <c r="N211" s="4">
        <f>225161</f>
        <v>225161</v>
      </c>
      <c r="O211" s="4">
        <f t="shared" si="116"/>
        <v>225161</v>
      </c>
      <c r="P211" s="4">
        <f t="shared" si="79"/>
        <v>0</v>
      </c>
      <c r="Q211" s="4">
        <f t="shared" si="80"/>
        <v>225161</v>
      </c>
      <c r="R211" s="4">
        <f t="shared" si="81"/>
        <v>225161</v>
      </c>
      <c r="S211" s="58"/>
    </row>
    <row r="212" spans="1:19" s="14" customFormat="1" ht="24" x14ac:dyDescent="0.2">
      <c r="A212" s="1" t="s">
        <v>214</v>
      </c>
      <c r="B212" s="2" t="s">
        <v>208</v>
      </c>
      <c r="C212" s="2" t="s">
        <v>209</v>
      </c>
      <c r="D212" s="3" t="s">
        <v>210</v>
      </c>
      <c r="E212" s="4">
        <v>5000000</v>
      </c>
      <c r="F212" s="4">
        <f t="shared" si="117"/>
        <v>0</v>
      </c>
      <c r="G212" s="4"/>
      <c r="H212" s="4"/>
      <c r="I212" s="4">
        <f t="shared" si="118"/>
        <v>5000000</v>
      </c>
      <c r="J212" s="4"/>
      <c r="K212" s="4">
        <f t="shared" si="115"/>
        <v>0</v>
      </c>
      <c r="L212" s="4"/>
      <c r="M212" s="4"/>
      <c r="N212" s="4"/>
      <c r="O212" s="4">
        <f t="shared" si="116"/>
        <v>0</v>
      </c>
      <c r="P212" s="4">
        <f t="shared" si="79"/>
        <v>5000000</v>
      </c>
      <c r="Q212" s="4">
        <f t="shared" si="80"/>
        <v>0</v>
      </c>
      <c r="R212" s="4">
        <f t="shared" si="81"/>
        <v>5000000</v>
      </c>
      <c r="S212" s="58"/>
    </row>
    <row r="213" spans="1:19" s="14" customFormat="1" ht="24" x14ac:dyDescent="0.2">
      <c r="A213" s="2" t="s">
        <v>509</v>
      </c>
      <c r="B213" s="2" t="s">
        <v>78</v>
      </c>
      <c r="C213" s="2" t="s">
        <v>24</v>
      </c>
      <c r="D213" s="62" t="s">
        <v>482</v>
      </c>
      <c r="E213" s="4"/>
      <c r="F213" s="4"/>
      <c r="G213" s="4"/>
      <c r="H213" s="4"/>
      <c r="I213" s="4"/>
      <c r="J213" s="4"/>
      <c r="K213" s="4">
        <f t="shared" si="115"/>
        <v>1137639</v>
      </c>
      <c r="L213" s="4">
        <f>1137639</f>
        <v>1137639</v>
      </c>
      <c r="M213" s="4"/>
      <c r="N213" s="4">
        <f>1137639</f>
        <v>1137639</v>
      </c>
      <c r="O213" s="4">
        <f t="shared" si="116"/>
        <v>1137639</v>
      </c>
      <c r="P213" s="4">
        <f t="shared" si="79"/>
        <v>0</v>
      </c>
      <c r="Q213" s="4">
        <f t="shared" si="80"/>
        <v>1137639</v>
      </c>
      <c r="R213" s="4">
        <f t="shared" si="81"/>
        <v>1137639</v>
      </c>
      <c r="S213" s="58"/>
    </row>
    <row r="214" spans="1:19" s="14" customFormat="1" ht="24" x14ac:dyDescent="0.2">
      <c r="A214" s="16" t="s">
        <v>154</v>
      </c>
      <c r="B214" s="2"/>
      <c r="C214" s="2"/>
      <c r="D214" s="11" t="s">
        <v>322</v>
      </c>
      <c r="E214" s="12">
        <f>SUM(E216:E220)</f>
        <v>87183500</v>
      </c>
      <c r="F214" s="12">
        <f t="shared" ref="F214:I214" si="119">SUM(F216:F220)</f>
        <v>-49000</v>
      </c>
      <c r="G214" s="12">
        <f t="shared" si="119"/>
        <v>-49000</v>
      </c>
      <c r="H214" s="12">
        <f t="shared" si="119"/>
        <v>0</v>
      </c>
      <c r="I214" s="12">
        <f t="shared" si="119"/>
        <v>87134500</v>
      </c>
      <c r="J214" s="12">
        <f>SUM(J216:J220)</f>
        <v>0</v>
      </c>
      <c r="K214" s="12">
        <f t="shared" ref="K214:N214" si="120">SUM(K216:K220)</f>
        <v>3787323</v>
      </c>
      <c r="L214" s="12">
        <f t="shared" si="120"/>
        <v>3787323</v>
      </c>
      <c r="M214" s="12">
        <f t="shared" si="120"/>
        <v>0</v>
      </c>
      <c r="N214" s="12">
        <f t="shared" si="120"/>
        <v>3787323</v>
      </c>
      <c r="O214" s="12">
        <f>SUM(O216:O220)</f>
        <v>3787323</v>
      </c>
      <c r="P214" s="12">
        <f>SUM(P216:P220)</f>
        <v>87183500</v>
      </c>
      <c r="Q214" s="12">
        <f t="shared" ref="Q214:R214" si="121">SUM(Q216:Q220)</f>
        <v>3738323</v>
      </c>
      <c r="R214" s="12">
        <f t="shared" si="121"/>
        <v>90921823</v>
      </c>
      <c r="S214" s="58"/>
    </row>
    <row r="215" spans="1:19" s="14" customFormat="1" ht="24" x14ac:dyDescent="0.2">
      <c r="A215" s="16" t="s">
        <v>155</v>
      </c>
      <c r="B215" s="2"/>
      <c r="C215" s="2"/>
      <c r="D215" s="11" t="s">
        <v>322</v>
      </c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12">
        <f t="shared" ref="P215:P283" si="122">E215+J215</f>
        <v>0</v>
      </c>
      <c r="Q215" s="4">
        <f t="shared" ref="Q215:Q283" si="123">F215+K215</f>
        <v>0</v>
      </c>
      <c r="R215" s="12">
        <f t="shared" ref="R215:R283" si="124">I215+O215</f>
        <v>0</v>
      </c>
      <c r="S215" s="58"/>
    </row>
    <row r="216" spans="1:19" s="14" customFormat="1" ht="24" x14ac:dyDescent="0.2">
      <c r="A216" s="1" t="s">
        <v>156</v>
      </c>
      <c r="B216" s="2" t="s">
        <v>59</v>
      </c>
      <c r="C216" s="2" t="s">
        <v>21</v>
      </c>
      <c r="D216" s="3" t="s">
        <v>368</v>
      </c>
      <c r="E216" s="4">
        <v>3616800</v>
      </c>
      <c r="F216" s="4">
        <f t="shared" ref="F216:F220" si="125">G216</f>
        <v>0</v>
      </c>
      <c r="G216" s="4"/>
      <c r="H216" s="4"/>
      <c r="I216" s="4">
        <f t="shared" ref="I216:I220" si="126">E216+F216</f>
        <v>3616800</v>
      </c>
      <c r="J216" s="4">
        <v>0</v>
      </c>
      <c r="K216" s="4">
        <f t="shared" ref="K216:K220" si="127">M216+N216</f>
        <v>0</v>
      </c>
      <c r="L216" s="4"/>
      <c r="M216" s="4"/>
      <c r="N216" s="4"/>
      <c r="O216" s="4">
        <f t="shared" ref="O216:O220" si="128">J216+K216</f>
        <v>0</v>
      </c>
      <c r="P216" s="4">
        <f t="shared" si="122"/>
        <v>3616800</v>
      </c>
      <c r="Q216" s="4">
        <f t="shared" si="123"/>
        <v>0</v>
      </c>
      <c r="R216" s="4">
        <f t="shared" si="124"/>
        <v>3616800</v>
      </c>
      <c r="S216" s="58"/>
    </row>
    <row r="217" spans="1:19" s="14" customFormat="1" ht="12" x14ac:dyDescent="0.2">
      <c r="A217" s="1" t="s">
        <v>225</v>
      </c>
      <c r="B217" s="2" t="s">
        <v>10</v>
      </c>
      <c r="C217" s="2" t="s">
        <v>13</v>
      </c>
      <c r="D217" s="3" t="s">
        <v>165</v>
      </c>
      <c r="E217" s="4">
        <v>1178900</v>
      </c>
      <c r="F217" s="4">
        <f t="shared" si="125"/>
        <v>0</v>
      </c>
      <c r="G217" s="4"/>
      <c r="H217" s="4"/>
      <c r="I217" s="4">
        <f t="shared" si="126"/>
        <v>1178900</v>
      </c>
      <c r="J217" s="4"/>
      <c r="K217" s="4">
        <f t="shared" si="127"/>
        <v>0</v>
      </c>
      <c r="L217" s="4"/>
      <c r="M217" s="4"/>
      <c r="N217" s="4"/>
      <c r="O217" s="4">
        <f t="shared" si="128"/>
        <v>0</v>
      </c>
      <c r="P217" s="4">
        <f t="shared" si="122"/>
        <v>1178900</v>
      </c>
      <c r="Q217" s="4">
        <f t="shared" si="123"/>
        <v>0</v>
      </c>
      <c r="R217" s="4">
        <f t="shared" si="124"/>
        <v>1178900</v>
      </c>
      <c r="S217" s="58"/>
    </row>
    <row r="218" spans="1:19" s="14" customFormat="1" ht="12" x14ac:dyDescent="0.2">
      <c r="A218" s="1" t="s">
        <v>157</v>
      </c>
      <c r="B218" s="2" t="s">
        <v>94</v>
      </c>
      <c r="C218" s="2" t="s">
        <v>23</v>
      </c>
      <c r="D218" s="3" t="s">
        <v>95</v>
      </c>
      <c r="E218" s="4">
        <v>2387800</v>
      </c>
      <c r="F218" s="4">
        <f t="shared" si="125"/>
        <v>-49000</v>
      </c>
      <c r="G218" s="4">
        <v>-49000</v>
      </c>
      <c r="H218" s="4"/>
      <c r="I218" s="4">
        <f t="shared" si="126"/>
        <v>2338800</v>
      </c>
      <c r="J218" s="4"/>
      <c r="K218" s="4">
        <f t="shared" si="127"/>
        <v>689720</v>
      </c>
      <c r="L218" s="4">
        <f>689720</f>
        <v>689720</v>
      </c>
      <c r="M218" s="4"/>
      <c r="N218" s="4">
        <f>689720</f>
        <v>689720</v>
      </c>
      <c r="O218" s="4">
        <f t="shared" si="128"/>
        <v>689720</v>
      </c>
      <c r="P218" s="4">
        <f t="shared" si="122"/>
        <v>2387800</v>
      </c>
      <c r="Q218" s="4">
        <f t="shared" si="123"/>
        <v>640720</v>
      </c>
      <c r="R218" s="4">
        <f t="shared" si="124"/>
        <v>3028520</v>
      </c>
      <c r="S218" s="58"/>
    </row>
    <row r="219" spans="1:19" s="14" customFormat="1" ht="24" x14ac:dyDescent="0.2">
      <c r="A219" s="2" t="s">
        <v>510</v>
      </c>
      <c r="B219" s="2" t="s">
        <v>236</v>
      </c>
      <c r="C219" s="2" t="s">
        <v>209</v>
      </c>
      <c r="D219" s="3" t="s">
        <v>428</v>
      </c>
      <c r="E219" s="4"/>
      <c r="F219" s="4"/>
      <c r="G219" s="4"/>
      <c r="H219" s="4"/>
      <c r="I219" s="4"/>
      <c r="J219" s="4"/>
      <c r="K219" s="4">
        <f t="shared" si="127"/>
        <v>3097603</v>
      </c>
      <c r="L219" s="4">
        <f>3097603</f>
        <v>3097603</v>
      </c>
      <c r="M219" s="4"/>
      <c r="N219" s="4">
        <f>3097603</f>
        <v>3097603</v>
      </c>
      <c r="O219" s="4">
        <f t="shared" si="128"/>
        <v>3097603</v>
      </c>
      <c r="P219" s="4">
        <f t="shared" si="122"/>
        <v>0</v>
      </c>
      <c r="Q219" s="4">
        <f t="shared" si="123"/>
        <v>3097603</v>
      </c>
      <c r="R219" s="4">
        <f t="shared" si="124"/>
        <v>3097603</v>
      </c>
      <c r="S219" s="58"/>
    </row>
    <row r="220" spans="1:19" s="14" customFormat="1" ht="24" x14ac:dyDescent="0.2">
      <c r="A220" s="1" t="s">
        <v>231</v>
      </c>
      <c r="B220" s="2" t="s">
        <v>232</v>
      </c>
      <c r="C220" s="2" t="s">
        <v>229</v>
      </c>
      <c r="D220" s="3" t="s">
        <v>233</v>
      </c>
      <c r="E220" s="4">
        <v>80000000</v>
      </c>
      <c r="F220" s="4">
        <f t="shared" si="125"/>
        <v>0</v>
      </c>
      <c r="G220" s="4"/>
      <c r="H220" s="4"/>
      <c r="I220" s="4">
        <f t="shared" si="126"/>
        <v>80000000</v>
      </c>
      <c r="J220" s="4"/>
      <c r="K220" s="4">
        <f t="shared" si="127"/>
        <v>0</v>
      </c>
      <c r="L220" s="4"/>
      <c r="M220" s="4"/>
      <c r="N220" s="4"/>
      <c r="O220" s="4">
        <f t="shared" si="128"/>
        <v>0</v>
      </c>
      <c r="P220" s="4">
        <f t="shared" si="122"/>
        <v>80000000</v>
      </c>
      <c r="Q220" s="4">
        <f t="shared" si="123"/>
        <v>0</v>
      </c>
      <c r="R220" s="4">
        <f t="shared" si="124"/>
        <v>80000000</v>
      </c>
      <c r="S220" s="58"/>
    </row>
    <row r="221" spans="1:19" s="14" customFormat="1" ht="48" x14ac:dyDescent="0.2">
      <c r="A221" s="16" t="s">
        <v>431</v>
      </c>
      <c r="B221" s="10"/>
      <c r="C221" s="10"/>
      <c r="D221" s="11" t="s">
        <v>432</v>
      </c>
      <c r="E221" s="12">
        <f>E223+E224+E227+E228</f>
        <v>16903000</v>
      </c>
      <c r="F221" s="12">
        <f t="shared" ref="F221:O221" si="129">F223+F224+F227+F228</f>
        <v>1667749</v>
      </c>
      <c r="G221" s="12">
        <f t="shared" si="129"/>
        <v>1667749</v>
      </c>
      <c r="H221" s="12">
        <f t="shared" si="129"/>
        <v>0</v>
      </c>
      <c r="I221" s="12">
        <f t="shared" si="129"/>
        <v>18570749</v>
      </c>
      <c r="J221" s="12">
        <f t="shared" si="129"/>
        <v>0</v>
      </c>
      <c r="K221" s="12">
        <f t="shared" si="129"/>
        <v>0</v>
      </c>
      <c r="L221" s="12">
        <f t="shared" si="129"/>
        <v>0</v>
      </c>
      <c r="M221" s="12">
        <f t="shared" si="129"/>
        <v>0</v>
      </c>
      <c r="N221" s="12">
        <f t="shared" si="129"/>
        <v>0</v>
      </c>
      <c r="O221" s="12">
        <f t="shared" si="129"/>
        <v>0</v>
      </c>
      <c r="P221" s="12">
        <f>P223+P224+P227+P228</f>
        <v>16903000</v>
      </c>
      <c r="Q221" s="12">
        <f>Q223+Q224+Q227+Q228</f>
        <v>1667749</v>
      </c>
      <c r="R221" s="12">
        <f>R223+R224+R227+R228</f>
        <v>18570749</v>
      </c>
      <c r="S221" s="58"/>
    </row>
    <row r="222" spans="1:19" s="14" customFormat="1" ht="48" x14ac:dyDescent="0.2">
      <c r="A222" s="16" t="s">
        <v>433</v>
      </c>
      <c r="B222" s="10"/>
      <c r="C222" s="10"/>
      <c r="D222" s="11" t="s">
        <v>432</v>
      </c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>
        <f t="shared" ref="Q222:Q241" si="130">F222+K222</f>
        <v>0</v>
      </c>
      <c r="R222" s="4"/>
      <c r="S222" s="58"/>
    </row>
    <row r="223" spans="1:19" s="14" customFormat="1" ht="24" x14ac:dyDescent="0.2">
      <c r="A223" s="1" t="s">
        <v>434</v>
      </c>
      <c r="B223" s="2" t="s">
        <v>59</v>
      </c>
      <c r="C223" s="2" t="s">
        <v>21</v>
      </c>
      <c r="D223" s="3" t="s">
        <v>368</v>
      </c>
      <c r="E223" s="4">
        <v>4453000</v>
      </c>
      <c r="F223" s="4">
        <f t="shared" ref="F223" si="131">G223</f>
        <v>179952</v>
      </c>
      <c r="G223" s="4">
        <f>65000+21750+93202</f>
        <v>179952</v>
      </c>
      <c r="H223" s="4"/>
      <c r="I223" s="4">
        <f t="shared" ref="I223:I230" si="132">E223+F223</f>
        <v>4632952</v>
      </c>
      <c r="J223" s="4"/>
      <c r="K223" s="4">
        <f t="shared" ref="K223:K230" si="133">M223+N223</f>
        <v>0</v>
      </c>
      <c r="L223" s="4"/>
      <c r="M223" s="4"/>
      <c r="N223" s="4"/>
      <c r="O223" s="4">
        <f t="shared" ref="O223:O230" si="134">J223+K223</f>
        <v>0</v>
      </c>
      <c r="P223" s="4">
        <f t="shared" ref="P223:P230" si="135">E223+J223</f>
        <v>4453000</v>
      </c>
      <c r="Q223" s="4">
        <f t="shared" si="130"/>
        <v>179952</v>
      </c>
      <c r="R223" s="4">
        <f t="shared" ref="R223:R230" si="136">I223+O223</f>
        <v>4632952</v>
      </c>
      <c r="S223" s="58"/>
    </row>
    <row r="224" spans="1:19" s="14" customFormat="1" ht="12" x14ac:dyDescent="0.2">
      <c r="A224" s="1" t="s">
        <v>435</v>
      </c>
      <c r="B224" s="2" t="s">
        <v>10</v>
      </c>
      <c r="C224" s="2" t="s">
        <v>13</v>
      </c>
      <c r="D224" s="3" t="s">
        <v>165</v>
      </c>
      <c r="E224" s="4">
        <f>E226</f>
        <v>650000</v>
      </c>
      <c r="F224" s="4">
        <f t="shared" ref="F224:O224" si="137">F226</f>
        <v>0</v>
      </c>
      <c r="G224" s="4">
        <f t="shared" si="137"/>
        <v>0</v>
      </c>
      <c r="H224" s="4">
        <f t="shared" si="137"/>
        <v>0</v>
      </c>
      <c r="I224" s="4">
        <f t="shared" si="137"/>
        <v>650000</v>
      </c>
      <c r="J224" s="4">
        <f t="shared" si="137"/>
        <v>0</v>
      </c>
      <c r="K224" s="4">
        <f t="shared" si="137"/>
        <v>0</v>
      </c>
      <c r="L224" s="4">
        <f t="shared" si="137"/>
        <v>0</v>
      </c>
      <c r="M224" s="4">
        <f t="shared" si="137"/>
        <v>0</v>
      </c>
      <c r="N224" s="4">
        <f t="shared" si="137"/>
        <v>0</v>
      </c>
      <c r="O224" s="4">
        <f t="shared" si="137"/>
        <v>0</v>
      </c>
      <c r="P224" s="4">
        <f t="shared" si="135"/>
        <v>650000</v>
      </c>
      <c r="Q224" s="4">
        <f t="shared" si="130"/>
        <v>0</v>
      </c>
      <c r="R224" s="4">
        <f t="shared" si="136"/>
        <v>650000</v>
      </c>
      <c r="S224" s="58"/>
    </row>
    <row r="225" spans="1:19" s="14" customFormat="1" ht="12" x14ac:dyDescent="0.2">
      <c r="A225" s="1"/>
      <c r="B225" s="2"/>
      <c r="C225" s="2"/>
      <c r="D225" s="3" t="s">
        <v>349</v>
      </c>
      <c r="E225" s="4"/>
      <c r="F225" s="4"/>
      <c r="G225" s="4"/>
      <c r="H225" s="4"/>
      <c r="I225" s="4">
        <f t="shared" si="132"/>
        <v>0</v>
      </c>
      <c r="J225" s="4"/>
      <c r="K225" s="4">
        <f t="shared" si="133"/>
        <v>0</v>
      </c>
      <c r="L225" s="4"/>
      <c r="M225" s="4"/>
      <c r="N225" s="4"/>
      <c r="O225" s="4">
        <f t="shared" si="134"/>
        <v>0</v>
      </c>
      <c r="P225" s="4">
        <f t="shared" si="135"/>
        <v>0</v>
      </c>
      <c r="Q225" s="4">
        <f t="shared" si="130"/>
        <v>0</v>
      </c>
      <c r="R225" s="4">
        <f t="shared" si="136"/>
        <v>0</v>
      </c>
      <c r="S225" s="58"/>
    </row>
    <row r="226" spans="1:19" s="14" customFormat="1" ht="60" x14ac:dyDescent="0.2">
      <c r="A226" s="1"/>
      <c r="B226" s="2"/>
      <c r="C226" s="2"/>
      <c r="D226" s="15" t="s">
        <v>356</v>
      </c>
      <c r="E226" s="4">
        <v>650000</v>
      </c>
      <c r="F226" s="4">
        <f t="shared" ref="F226:F230" si="138">G226</f>
        <v>0</v>
      </c>
      <c r="G226" s="4"/>
      <c r="H226" s="4"/>
      <c r="I226" s="4">
        <f t="shared" si="132"/>
        <v>650000</v>
      </c>
      <c r="J226" s="4"/>
      <c r="K226" s="4">
        <f t="shared" si="133"/>
        <v>0</v>
      </c>
      <c r="L226" s="4"/>
      <c r="M226" s="4"/>
      <c r="N226" s="4"/>
      <c r="O226" s="4">
        <f t="shared" si="134"/>
        <v>0</v>
      </c>
      <c r="P226" s="4">
        <f t="shared" si="135"/>
        <v>650000</v>
      </c>
      <c r="Q226" s="4">
        <f t="shared" si="130"/>
        <v>0</v>
      </c>
      <c r="R226" s="4">
        <f t="shared" si="136"/>
        <v>650000</v>
      </c>
      <c r="S226" s="58"/>
    </row>
    <row r="227" spans="1:19" s="14" customFormat="1" ht="12" x14ac:dyDescent="0.2">
      <c r="A227" s="1" t="s">
        <v>436</v>
      </c>
      <c r="B227" s="2" t="s">
        <v>74</v>
      </c>
      <c r="C227" s="2" t="s">
        <v>44</v>
      </c>
      <c r="D227" s="3" t="s">
        <v>75</v>
      </c>
      <c r="E227" s="4">
        <v>9000000</v>
      </c>
      <c r="F227" s="4">
        <f t="shared" si="138"/>
        <v>0</v>
      </c>
      <c r="G227" s="4"/>
      <c r="H227" s="4"/>
      <c r="I227" s="4">
        <f t="shared" si="132"/>
        <v>9000000</v>
      </c>
      <c r="J227" s="4"/>
      <c r="K227" s="4">
        <f t="shared" si="133"/>
        <v>0</v>
      </c>
      <c r="L227" s="4"/>
      <c r="M227" s="4"/>
      <c r="N227" s="4"/>
      <c r="O227" s="4">
        <f t="shared" si="134"/>
        <v>0</v>
      </c>
      <c r="P227" s="4">
        <f t="shared" si="135"/>
        <v>9000000</v>
      </c>
      <c r="Q227" s="4">
        <f t="shared" si="130"/>
        <v>0</v>
      </c>
      <c r="R227" s="4">
        <f t="shared" si="136"/>
        <v>9000000</v>
      </c>
      <c r="S227" s="58"/>
    </row>
    <row r="228" spans="1:19" s="14" customFormat="1" ht="12" x14ac:dyDescent="0.2">
      <c r="A228" s="1" t="s">
        <v>437</v>
      </c>
      <c r="B228" s="2" t="s">
        <v>316</v>
      </c>
      <c r="C228" s="2" t="s">
        <v>44</v>
      </c>
      <c r="D228" s="15" t="s">
        <v>317</v>
      </c>
      <c r="E228" s="4">
        <v>2800000</v>
      </c>
      <c r="F228" s="4">
        <f t="shared" si="138"/>
        <v>1487797</v>
      </c>
      <c r="G228" s="4">
        <f>272030+144810+190920+196380+78000+17620+86600+81872+196780+189885+32900</f>
        <v>1487797</v>
      </c>
      <c r="H228" s="4"/>
      <c r="I228" s="4">
        <f t="shared" si="132"/>
        <v>4287797</v>
      </c>
      <c r="J228" s="4"/>
      <c r="K228" s="4">
        <f t="shared" si="133"/>
        <v>0</v>
      </c>
      <c r="L228" s="4"/>
      <c r="M228" s="4"/>
      <c r="N228" s="4"/>
      <c r="O228" s="4">
        <f t="shared" si="134"/>
        <v>0</v>
      </c>
      <c r="P228" s="4">
        <f t="shared" si="135"/>
        <v>2800000</v>
      </c>
      <c r="Q228" s="4">
        <f t="shared" si="130"/>
        <v>1487797</v>
      </c>
      <c r="R228" s="4">
        <f t="shared" si="136"/>
        <v>4287797</v>
      </c>
      <c r="S228" s="58"/>
    </row>
    <row r="229" spans="1:19" s="14" customFormat="1" ht="12" x14ac:dyDescent="0.2">
      <c r="A229" s="1"/>
      <c r="B229" s="2"/>
      <c r="C229" s="2"/>
      <c r="D229" s="3" t="s">
        <v>180</v>
      </c>
      <c r="E229" s="4"/>
      <c r="F229" s="4">
        <f t="shared" si="138"/>
        <v>0</v>
      </c>
      <c r="G229" s="4"/>
      <c r="H229" s="4"/>
      <c r="I229" s="4">
        <f t="shared" si="132"/>
        <v>0</v>
      </c>
      <c r="J229" s="4"/>
      <c r="K229" s="4">
        <f t="shared" si="133"/>
        <v>0</v>
      </c>
      <c r="L229" s="4"/>
      <c r="M229" s="4"/>
      <c r="N229" s="4"/>
      <c r="O229" s="4">
        <f t="shared" si="134"/>
        <v>0</v>
      </c>
      <c r="P229" s="4">
        <f t="shared" si="135"/>
        <v>0</v>
      </c>
      <c r="Q229" s="4">
        <f t="shared" si="130"/>
        <v>0</v>
      </c>
      <c r="R229" s="4">
        <f t="shared" si="136"/>
        <v>0</v>
      </c>
      <c r="S229" s="58"/>
    </row>
    <row r="230" spans="1:19" s="14" customFormat="1" ht="36" x14ac:dyDescent="0.2">
      <c r="A230" s="22"/>
      <c r="B230" s="22"/>
      <c r="C230" s="22"/>
      <c r="D230" s="15" t="s">
        <v>350</v>
      </c>
      <c r="E230" s="4"/>
      <c r="F230" s="4">
        <f t="shared" si="138"/>
        <v>1487797</v>
      </c>
      <c r="G230" s="4">
        <f>272030+144810+190920+196380+78000+17620+86600+81872+196780+189885+32900</f>
        <v>1487797</v>
      </c>
      <c r="H230" s="4"/>
      <c r="I230" s="4">
        <f t="shared" si="132"/>
        <v>1487797</v>
      </c>
      <c r="J230" s="4"/>
      <c r="K230" s="4">
        <f t="shared" si="133"/>
        <v>0</v>
      </c>
      <c r="L230" s="4"/>
      <c r="M230" s="4"/>
      <c r="N230" s="4"/>
      <c r="O230" s="4">
        <f t="shared" si="134"/>
        <v>0</v>
      </c>
      <c r="P230" s="4">
        <f t="shared" si="135"/>
        <v>0</v>
      </c>
      <c r="Q230" s="4">
        <f t="shared" si="130"/>
        <v>1487797</v>
      </c>
      <c r="R230" s="4">
        <f t="shared" si="136"/>
        <v>1487797</v>
      </c>
      <c r="S230" s="58"/>
    </row>
    <row r="231" spans="1:19" s="14" customFormat="1" ht="36" x14ac:dyDescent="0.2">
      <c r="A231" s="16" t="s">
        <v>438</v>
      </c>
      <c r="B231" s="10"/>
      <c r="C231" s="10"/>
      <c r="D231" s="11" t="s">
        <v>439</v>
      </c>
      <c r="E231" s="12">
        <f>E233+E234+E236</f>
        <v>8906000</v>
      </c>
      <c r="F231" s="12">
        <f t="shared" ref="F231:N231" si="139">F233+F234+F236</f>
        <v>0</v>
      </c>
      <c r="G231" s="12">
        <f t="shared" si="139"/>
        <v>0</v>
      </c>
      <c r="H231" s="12">
        <f t="shared" si="139"/>
        <v>0</v>
      </c>
      <c r="I231" s="12">
        <f t="shared" si="139"/>
        <v>8906000</v>
      </c>
      <c r="J231" s="12">
        <f t="shared" si="139"/>
        <v>0</v>
      </c>
      <c r="K231" s="12">
        <f t="shared" si="139"/>
        <v>239900</v>
      </c>
      <c r="L231" s="12">
        <f t="shared" si="139"/>
        <v>239900</v>
      </c>
      <c r="M231" s="12">
        <f t="shared" si="139"/>
        <v>0</v>
      </c>
      <c r="N231" s="12">
        <f t="shared" si="139"/>
        <v>239900</v>
      </c>
      <c r="O231" s="12">
        <f>O233+O234+O236</f>
        <v>239900</v>
      </c>
      <c r="P231" s="12">
        <f>P233+P234+P236</f>
        <v>8906000</v>
      </c>
      <c r="Q231" s="12">
        <f t="shared" ref="Q231:R231" si="140">Q233+Q234+Q236</f>
        <v>239900</v>
      </c>
      <c r="R231" s="12">
        <f t="shared" si="140"/>
        <v>9145900</v>
      </c>
      <c r="S231" s="58"/>
    </row>
    <row r="232" spans="1:19" s="14" customFormat="1" ht="36" x14ac:dyDescent="0.2">
      <c r="A232" s="16" t="s">
        <v>440</v>
      </c>
      <c r="B232" s="10"/>
      <c r="C232" s="10"/>
      <c r="D232" s="11" t="s">
        <v>439</v>
      </c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>
        <f t="shared" si="130"/>
        <v>0</v>
      </c>
      <c r="R232" s="4"/>
      <c r="S232" s="58"/>
    </row>
    <row r="233" spans="1:19" s="14" customFormat="1" ht="24" x14ac:dyDescent="0.2">
      <c r="A233" s="1" t="s">
        <v>441</v>
      </c>
      <c r="B233" s="2" t="s">
        <v>59</v>
      </c>
      <c r="C233" s="2" t="s">
        <v>21</v>
      </c>
      <c r="D233" s="3" t="s">
        <v>368</v>
      </c>
      <c r="E233" s="4">
        <v>4406000</v>
      </c>
      <c r="F233" s="4">
        <f t="shared" ref="F233" si="141">G233</f>
        <v>0</v>
      </c>
      <c r="G233" s="4"/>
      <c r="H233" s="4"/>
      <c r="I233" s="4">
        <f t="shared" ref="I233:I241" si="142">E233+F233</f>
        <v>4406000</v>
      </c>
      <c r="J233" s="4"/>
      <c r="K233" s="4">
        <f t="shared" ref="K233:K241" si="143">M233+N233</f>
        <v>49900</v>
      </c>
      <c r="L233" s="4">
        <f>49900</f>
        <v>49900</v>
      </c>
      <c r="M233" s="4"/>
      <c r="N233" s="4">
        <f>49900</f>
        <v>49900</v>
      </c>
      <c r="O233" s="4">
        <f t="shared" ref="O233:O241" si="144">J233+K233</f>
        <v>49900</v>
      </c>
      <c r="P233" s="4">
        <f t="shared" ref="P233:P241" si="145">E233+J233</f>
        <v>4406000</v>
      </c>
      <c r="Q233" s="4">
        <f t="shared" si="130"/>
        <v>49900</v>
      </c>
      <c r="R233" s="4">
        <f t="shared" ref="R233:R241" si="146">I233+O233</f>
        <v>4455900</v>
      </c>
      <c r="S233" s="58"/>
    </row>
    <row r="234" spans="1:19" s="14" customFormat="1" ht="24" x14ac:dyDescent="0.2">
      <c r="A234" s="1" t="s">
        <v>442</v>
      </c>
      <c r="B234" s="2" t="s">
        <v>187</v>
      </c>
      <c r="C234" s="2" t="s">
        <v>188</v>
      </c>
      <c r="D234" s="15" t="s">
        <v>283</v>
      </c>
      <c r="E234" s="4">
        <f>E235</f>
        <v>900000</v>
      </c>
      <c r="F234" s="4">
        <f t="shared" ref="F234:O234" si="147">F235</f>
        <v>0</v>
      </c>
      <c r="G234" s="4">
        <f t="shared" si="147"/>
        <v>0</v>
      </c>
      <c r="H234" s="4">
        <f t="shared" si="147"/>
        <v>0</v>
      </c>
      <c r="I234" s="4">
        <f t="shared" si="147"/>
        <v>900000</v>
      </c>
      <c r="J234" s="4">
        <f t="shared" si="147"/>
        <v>0</v>
      </c>
      <c r="K234" s="4">
        <f t="shared" si="147"/>
        <v>0</v>
      </c>
      <c r="L234" s="4">
        <f t="shared" si="147"/>
        <v>0</v>
      </c>
      <c r="M234" s="4">
        <f t="shared" si="147"/>
        <v>0</v>
      </c>
      <c r="N234" s="4">
        <f t="shared" si="147"/>
        <v>0</v>
      </c>
      <c r="O234" s="4">
        <f t="shared" si="147"/>
        <v>0</v>
      </c>
      <c r="P234" s="4">
        <f t="shared" si="145"/>
        <v>900000</v>
      </c>
      <c r="Q234" s="4">
        <f t="shared" si="130"/>
        <v>0</v>
      </c>
      <c r="R234" s="4">
        <f t="shared" si="146"/>
        <v>900000</v>
      </c>
      <c r="S234" s="58"/>
    </row>
    <row r="235" spans="1:19" s="14" customFormat="1" ht="36" x14ac:dyDescent="0.2">
      <c r="A235" s="1"/>
      <c r="B235" s="2"/>
      <c r="C235" s="2"/>
      <c r="D235" s="15" t="s">
        <v>542</v>
      </c>
      <c r="E235" s="4">
        <v>900000</v>
      </c>
      <c r="F235" s="4">
        <f t="shared" ref="F235" si="148">G235</f>
        <v>0</v>
      </c>
      <c r="G235" s="4"/>
      <c r="H235" s="4"/>
      <c r="I235" s="4">
        <f t="shared" si="142"/>
        <v>900000</v>
      </c>
      <c r="J235" s="4"/>
      <c r="K235" s="4">
        <f t="shared" si="143"/>
        <v>0</v>
      </c>
      <c r="L235" s="4"/>
      <c r="M235" s="4"/>
      <c r="N235" s="4"/>
      <c r="O235" s="4">
        <f t="shared" si="144"/>
        <v>0</v>
      </c>
      <c r="P235" s="4">
        <f t="shared" si="145"/>
        <v>900000</v>
      </c>
      <c r="Q235" s="4">
        <f t="shared" si="130"/>
        <v>0</v>
      </c>
      <c r="R235" s="4">
        <f t="shared" si="146"/>
        <v>900000</v>
      </c>
      <c r="S235" s="58"/>
    </row>
    <row r="236" spans="1:19" s="14" customFormat="1" ht="12" x14ac:dyDescent="0.2">
      <c r="A236" s="1" t="s">
        <v>443</v>
      </c>
      <c r="B236" s="1" t="s">
        <v>288</v>
      </c>
      <c r="C236" s="2" t="s">
        <v>24</v>
      </c>
      <c r="D236" s="63" t="s">
        <v>195</v>
      </c>
      <c r="E236" s="4">
        <f>E238+E239+E240+E241</f>
        <v>3600000</v>
      </c>
      <c r="F236" s="4">
        <f t="shared" ref="F236:O236" si="149">F238+F239+F240+F241</f>
        <v>0</v>
      </c>
      <c r="G236" s="4">
        <f t="shared" si="149"/>
        <v>0</v>
      </c>
      <c r="H236" s="4">
        <f t="shared" si="149"/>
        <v>0</v>
      </c>
      <c r="I236" s="4">
        <f t="shared" si="149"/>
        <v>3600000</v>
      </c>
      <c r="J236" s="4">
        <f t="shared" si="149"/>
        <v>0</v>
      </c>
      <c r="K236" s="4">
        <f t="shared" si="149"/>
        <v>190000</v>
      </c>
      <c r="L236" s="4">
        <f t="shared" si="149"/>
        <v>190000</v>
      </c>
      <c r="M236" s="4">
        <f t="shared" si="149"/>
        <v>0</v>
      </c>
      <c r="N236" s="4">
        <f t="shared" si="149"/>
        <v>190000</v>
      </c>
      <c r="O236" s="4">
        <f t="shared" si="149"/>
        <v>190000</v>
      </c>
      <c r="P236" s="4">
        <f t="shared" si="145"/>
        <v>3600000</v>
      </c>
      <c r="Q236" s="4">
        <f t="shared" si="130"/>
        <v>190000</v>
      </c>
      <c r="R236" s="4">
        <f t="shared" si="146"/>
        <v>3790000</v>
      </c>
      <c r="S236" s="58"/>
    </row>
    <row r="237" spans="1:19" s="14" customFormat="1" ht="12" x14ac:dyDescent="0.2">
      <c r="A237" s="1"/>
      <c r="B237" s="1"/>
      <c r="C237" s="2"/>
      <c r="D237" s="63" t="s">
        <v>300</v>
      </c>
      <c r="E237" s="4"/>
      <c r="F237" s="4"/>
      <c r="G237" s="4"/>
      <c r="H237" s="4"/>
      <c r="I237" s="4">
        <f t="shared" si="142"/>
        <v>0</v>
      </c>
      <c r="J237" s="4"/>
      <c r="K237" s="4">
        <f t="shared" si="143"/>
        <v>0</v>
      </c>
      <c r="L237" s="4"/>
      <c r="M237" s="4"/>
      <c r="N237" s="4"/>
      <c r="O237" s="4">
        <f t="shared" si="144"/>
        <v>0</v>
      </c>
      <c r="P237" s="4">
        <f t="shared" si="145"/>
        <v>0</v>
      </c>
      <c r="Q237" s="4">
        <f t="shared" si="130"/>
        <v>0</v>
      </c>
      <c r="R237" s="4">
        <f t="shared" si="146"/>
        <v>0</v>
      </c>
      <c r="S237" s="58"/>
    </row>
    <row r="238" spans="1:19" s="14" customFormat="1" ht="24" x14ac:dyDescent="0.2">
      <c r="A238" s="1"/>
      <c r="B238" s="2"/>
      <c r="C238" s="2"/>
      <c r="D238" s="15" t="s">
        <v>444</v>
      </c>
      <c r="E238" s="4">
        <v>1000000</v>
      </c>
      <c r="F238" s="4">
        <f t="shared" ref="F238:F241" si="150">G238</f>
        <v>0</v>
      </c>
      <c r="G238" s="4"/>
      <c r="H238" s="4"/>
      <c r="I238" s="4">
        <f t="shared" si="142"/>
        <v>1000000</v>
      </c>
      <c r="J238" s="4"/>
      <c r="K238" s="4">
        <f t="shared" si="143"/>
        <v>190000</v>
      </c>
      <c r="L238" s="4">
        <f>190000</f>
        <v>190000</v>
      </c>
      <c r="M238" s="4"/>
      <c r="N238" s="4">
        <f>190000</f>
        <v>190000</v>
      </c>
      <c r="O238" s="4">
        <f t="shared" si="144"/>
        <v>190000</v>
      </c>
      <c r="P238" s="4">
        <f t="shared" si="145"/>
        <v>1000000</v>
      </c>
      <c r="Q238" s="4">
        <f t="shared" si="130"/>
        <v>190000</v>
      </c>
      <c r="R238" s="4">
        <f t="shared" si="146"/>
        <v>1190000</v>
      </c>
      <c r="S238" s="58"/>
    </row>
    <row r="239" spans="1:19" s="14" customFormat="1" ht="48" x14ac:dyDescent="0.2">
      <c r="A239" s="1"/>
      <c r="B239" s="2"/>
      <c r="C239" s="2"/>
      <c r="D239" s="63" t="s">
        <v>445</v>
      </c>
      <c r="E239" s="4">
        <v>1300000</v>
      </c>
      <c r="F239" s="4">
        <f t="shared" si="150"/>
        <v>0</v>
      </c>
      <c r="G239" s="4"/>
      <c r="H239" s="4"/>
      <c r="I239" s="4">
        <f t="shared" si="142"/>
        <v>1300000</v>
      </c>
      <c r="J239" s="4"/>
      <c r="K239" s="4">
        <f t="shared" si="143"/>
        <v>0</v>
      </c>
      <c r="L239" s="4"/>
      <c r="M239" s="4"/>
      <c r="N239" s="4"/>
      <c r="O239" s="4">
        <f t="shared" si="144"/>
        <v>0</v>
      </c>
      <c r="P239" s="4">
        <f t="shared" si="145"/>
        <v>1300000</v>
      </c>
      <c r="Q239" s="4">
        <f t="shared" si="130"/>
        <v>0</v>
      </c>
      <c r="R239" s="4">
        <f t="shared" si="146"/>
        <v>1300000</v>
      </c>
      <c r="S239" s="58"/>
    </row>
    <row r="240" spans="1:19" s="14" customFormat="1" ht="36" x14ac:dyDescent="0.2">
      <c r="A240" s="1"/>
      <c r="B240" s="2"/>
      <c r="C240" s="2"/>
      <c r="D240" s="15" t="s">
        <v>446</v>
      </c>
      <c r="E240" s="4">
        <v>1200000</v>
      </c>
      <c r="F240" s="4">
        <f t="shared" si="150"/>
        <v>0</v>
      </c>
      <c r="G240" s="4"/>
      <c r="H240" s="4"/>
      <c r="I240" s="4">
        <f t="shared" si="142"/>
        <v>1200000</v>
      </c>
      <c r="J240" s="4"/>
      <c r="K240" s="4">
        <f t="shared" si="143"/>
        <v>0</v>
      </c>
      <c r="L240" s="4"/>
      <c r="M240" s="4"/>
      <c r="N240" s="4"/>
      <c r="O240" s="4">
        <f t="shared" si="144"/>
        <v>0</v>
      </c>
      <c r="P240" s="4">
        <f t="shared" si="145"/>
        <v>1200000</v>
      </c>
      <c r="Q240" s="4">
        <f t="shared" si="130"/>
        <v>0</v>
      </c>
      <c r="R240" s="4">
        <f t="shared" si="146"/>
        <v>1200000</v>
      </c>
      <c r="S240" s="58"/>
    </row>
    <row r="241" spans="1:19" s="14" customFormat="1" ht="24" x14ac:dyDescent="0.2">
      <c r="A241" s="1"/>
      <c r="B241" s="2"/>
      <c r="C241" s="2"/>
      <c r="D241" s="15" t="s">
        <v>447</v>
      </c>
      <c r="E241" s="4">
        <v>100000</v>
      </c>
      <c r="F241" s="4">
        <f t="shared" si="150"/>
        <v>0</v>
      </c>
      <c r="G241" s="4"/>
      <c r="H241" s="4"/>
      <c r="I241" s="4">
        <f t="shared" si="142"/>
        <v>100000</v>
      </c>
      <c r="J241" s="4"/>
      <c r="K241" s="4">
        <f t="shared" si="143"/>
        <v>0</v>
      </c>
      <c r="L241" s="4"/>
      <c r="M241" s="4"/>
      <c r="N241" s="4"/>
      <c r="O241" s="4">
        <f t="shared" si="144"/>
        <v>0</v>
      </c>
      <c r="P241" s="4">
        <f t="shared" si="145"/>
        <v>100000</v>
      </c>
      <c r="Q241" s="4">
        <f t="shared" si="130"/>
        <v>0</v>
      </c>
      <c r="R241" s="4">
        <f t="shared" si="146"/>
        <v>100000</v>
      </c>
      <c r="S241" s="58"/>
    </row>
    <row r="242" spans="1:19" s="13" customFormat="1" ht="36" x14ac:dyDescent="0.2">
      <c r="A242" s="16" t="s">
        <v>198</v>
      </c>
      <c r="B242" s="10"/>
      <c r="C242" s="10"/>
      <c r="D242" s="11" t="s">
        <v>448</v>
      </c>
      <c r="E242" s="12">
        <f>E244+E245+E246+E247+E248+E249+E250+E252</f>
        <v>23036300</v>
      </c>
      <c r="F242" s="12">
        <f t="shared" ref="F242:I242" si="151">F244+F245+F246+F247+F248+F249+F250+F252</f>
        <v>-500000</v>
      </c>
      <c r="G242" s="12">
        <f t="shared" si="151"/>
        <v>-500000</v>
      </c>
      <c r="H242" s="12">
        <f t="shared" si="151"/>
        <v>0</v>
      </c>
      <c r="I242" s="12">
        <f t="shared" si="151"/>
        <v>22536300</v>
      </c>
      <c r="J242" s="12">
        <f>J244+J245+J246+J247+J248+J249+J250+J252+J251+J258</f>
        <v>300000</v>
      </c>
      <c r="K242" s="12">
        <f t="shared" ref="K242:N242" si="152">K244+K245+K246+K247+K248+K249+K250+K252+K251+K258</f>
        <v>20566400</v>
      </c>
      <c r="L242" s="12">
        <f>L244+L245+L246+L247+L248+L249+L250+L252+L251+L258</f>
        <v>19516400</v>
      </c>
      <c r="M242" s="12">
        <f t="shared" si="152"/>
        <v>0</v>
      </c>
      <c r="N242" s="12">
        <f t="shared" si="152"/>
        <v>20566400</v>
      </c>
      <c r="O242" s="12">
        <f>O244+O245+O246+O247+O248+O249+O250+O252+O251+O258</f>
        <v>20866400</v>
      </c>
      <c r="P242" s="12">
        <f>P244+P245+P246+P247+P248+P249+P250+P252+P251+P258</f>
        <v>23336300</v>
      </c>
      <c r="Q242" s="12">
        <f t="shared" ref="Q242:R242" si="153">Q244+Q245+Q246+Q247+Q248+Q249+Q250+Q252+Q251+Q258</f>
        <v>20066400</v>
      </c>
      <c r="R242" s="12">
        <f t="shared" si="153"/>
        <v>43402700</v>
      </c>
      <c r="S242" s="58"/>
    </row>
    <row r="243" spans="1:19" s="13" customFormat="1" ht="36" x14ac:dyDescent="0.2">
      <c r="A243" s="16" t="s">
        <v>189</v>
      </c>
      <c r="B243" s="10"/>
      <c r="C243" s="10"/>
      <c r="D243" s="11" t="s">
        <v>448</v>
      </c>
      <c r="E243" s="12"/>
      <c r="F243" s="12"/>
      <c r="G243" s="12"/>
      <c r="H243" s="12"/>
      <c r="I243" s="12"/>
      <c r="J243" s="4">
        <v>0</v>
      </c>
      <c r="K243" s="4"/>
      <c r="L243" s="12"/>
      <c r="M243" s="12"/>
      <c r="N243" s="12"/>
      <c r="O243" s="12"/>
      <c r="P243" s="12">
        <f t="shared" si="122"/>
        <v>0</v>
      </c>
      <c r="Q243" s="12">
        <f t="shared" si="123"/>
        <v>0</v>
      </c>
      <c r="R243" s="12">
        <f t="shared" si="124"/>
        <v>0</v>
      </c>
      <c r="S243" s="58"/>
    </row>
    <row r="244" spans="1:19" s="14" customFormat="1" ht="24" x14ac:dyDescent="0.2">
      <c r="A244" s="1" t="s">
        <v>190</v>
      </c>
      <c r="B244" s="2" t="s">
        <v>59</v>
      </c>
      <c r="C244" s="2" t="s">
        <v>21</v>
      </c>
      <c r="D244" s="3" t="s">
        <v>368</v>
      </c>
      <c r="E244" s="4">
        <v>6067400</v>
      </c>
      <c r="F244" s="4">
        <f>G244</f>
        <v>0</v>
      </c>
      <c r="G244" s="4"/>
      <c r="H244" s="4"/>
      <c r="I244" s="4">
        <f t="shared" ref="I244" si="154">E244+F244</f>
        <v>6067400</v>
      </c>
      <c r="J244" s="4"/>
      <c r="K244" s="4">
        <f t="shared" ref="K244:K253" si="155">M244+N244</f>
        <v>37608</v>
      </c>
      <c r="L244" s="4">
        <f>37608</f>
        <v>37608</v>
      </c>
      <c r="M244" s="4"/>
      <c r="N244" s="4">
        <f>37608</f>
        <v>37608</v>
      </c>
      <c r="O244" s="4">
        <f t="shared" ref="O244:O251" si="156">J244+K244</f>
        <v>37608</v>
      </c>
      <c r="P244" s="4">
        <f t="shared" si="122"/>
        <v>6067400</v>
      </c>
      <c r="Q244" s="4">
        <f t="shared" si="123"/>
        <v>37608</v>
      </c>
      <c r="R244" s="4">
        <f t="shared" si="124"/>
        <v>6105008</v>
      </c>
      <c r="S244" s="58"/>
    </row>
    <row r="245" spans="1:19" s="14" customFormat="1" ht="24" x14ac:dyDescent="0.2">
      <c r="A245" s="1" t="s">
        <v>449</v>
      </c>
      <c r="B245" s="2" t="s">
        <v>92</v>
      </c>
      <c r="C245" s="2" t="s">
        <v>23</v>
      </c>
      <c r="D245" s="3" t="s">
        <v>93</v>
      </c>
      <c r="E245" s="4">
        <v>6200000</v>
      </c>
      <c r="F245" s="4">
        <f t="shared" ref="F245:F258" si="157">G245</f>
        <v>0</v>
      </c>
      <c r="G245" s="4"/>
      <c r="H245" s="4"/>
      <c r="I245" s="4">
        <f t="shared" ref="I245:I257" si="158">E245+F245</f>
        <v>6200000</v>
      </c>
      <c r="J245" s="4"/>
      <c r="K245" s="4">
        <f t="shared" si="155"/>
        <v>0</v>
      </c>
      <c r="L245" s="4"/>
      <c r="M245" s="4"/>
      <c r="N245" s="4"/>
      <c r="O245" s="4">
        <f t="shared" si="156"/>
        <v>0</v>
      </c>
      <c r="P245" s="4">
        <f t="shared" si="122"/>
        <v>6200000</v>
      </c>
      <c r="Q245" s="4">
        <f t="shared" si="123"/>
        <v>0</v>
      </c>
      <c r="R245" s="4">
        <f t="shared" si="124"/>
        <v>6200000</v>
      </c>
      <c r="S245" s="58"/>
    </row>
    <row r="246" spans="1:19" s="14" customFormat="1" ht="12" x14ac:dyDescent="0.2">
      <c r="A246" s="1" t="s">
        <v>450</v>
      </c>
      <c r="B246" s="2" t="s">
        <v>94</v>
      </c>
      <c r="C246" s="2" t="s">
        <v>23</v>
      </c>
      <c r="D246" s="3" t="s">
        <v>95</v>
      </c>
      <c r="E246" s="4">
        <v>4773000</v>
      </c>
      <c r="F246" s="4">
        <f t="shared" si="157"/>
        <v>0</v>
      </c>
      <c r="G246" s="4"/>
      <c r="H246" s="4"/>
      <c r="I246" s="4">
        <f t="shared" si="158"/>
        <v>4773000</v>
      </c>
      <c r="J246" s="4"/>
      <c r="K246" s="4">
        <f t="shared" si="155"/>
        <v>0</v>
      </c>
      <c r="L246" s="4"/>
      <c r="M246" s="4"/>
      <c r="N246" s="4"/>
      <c r="O246" s="4">
        <f t="shared" si="156"/>
        <v>0</v>
      </c>
      <c r="P246" s="4">
        <f t="shared" si="122"/>
        <v>4773000</v>
      </c>
      <c r="Q246" s="4">
        <f t="shared" si="123"/>
        <v>0</v>
      </c>
      <c r="R246" s="4">
        <f t="shared" si="124"/>
        <v>4773000</v>
      </c>
      <c r="S246" s="58"/>
    </row>
    <row r="247" spans="1:19" s="14" customFormat="1" ht="24" x14ac:dyDescent="0.2">
      <c r="A247" s="1" t="s">
        <v>451</v>
      </c>
      <c r="B247" s="2" t="s">
        <v>236</v>
      </c>
      <c r="C247" s="2" t="s">
        <v>209</v>
      </c>
      <c r="D247" s="3" t="s">
        <v>428</v>
      </c>
      <c r="E247" s="4"/>
      <c r="F247" s="4">
        <f t="shared" si="157"/>
        <v>0</v>
      </c>
      <c r="G247" s="4"/>
      <c r="H247" s="4"/>
      <c r="I247" s="4">
        <f t="shared" si="158"/>
        <v>0</v>
      </c>
      <c r="J247" s="4">
        <v>300000</v>
      </c>
      <c r="K247" s="4">
        <f t="shared" si="155"/>
        <v>-300000</v>
      </c>
      <c r="L247" s="4">
        <f>-300000</f>
        <v>-300000</v>
      </c>
      <c r="M247" s="4"/>
      <c r="N247" s="4">
        <f>-300000</f>
        <v>-300000</v>
      </c>
      <c r="O247" s="4">
        <f t="shared" si="156"/>
        <v>0</v>
      </c>
      <c r="P247" s="4">
        <f t="shared" si="122"/>
        <v>300000</v>
      </c>
      <c r="Q247" s="4">
        <f t="shared" si="123"/>
        <v>-300000</v>
      </c>
      <c r="R247" s="4">
        <f t="shared" si="124"/>
        <v>0</v>
      </c>
      <c r="S247" s="58"/>
    </row>
    <row r="248" spans="1:19" s="14" customFormat="1" ht="24" x14ac:dyDescent="0.2">
      <c r="A248" s="1" t="s">
        <v>281</v>
      </c>
      <c r="B248" s="2" t="s">
        <v>282</v>
      </c>
      <c r="C248" s="2" t="s">
        <v>24</v>
      </c>
      <c r="D248" s="3" t="s">
        <v>97</v>
      </c>
      <c r="E248" s="4">
        <v>1000000</v>
      </c>
      <c r="F248" s="4">
        <f t="shared" si="157"/>
        <v>0</v>
      </c>
      <c r="G248" s="4"/>
      <c r="H248" s="4"/>
      <c r="I248" s="4">
        <f t="shared" si="158"/>
        <v>1000000</v>
      </c>
      <c r="J248" s="4"/>
      <c r="K248" s="4">
        <f t="shared" si="155"/>
        <v>0</v>
      </c>
      <c r="L248" s="4"/>
      <c r="M248" s="4"/>
      <c r="N248" s="4"/>
      <c r="O248" s="4">
        <f t="shared" si="156"/>
        <v>0</v>
      </c>
      <c r="P248" s="4">
        <f t="shared" si="122"/>
        <v>1000000</v>
      </c>
      <c r="Q248" s="4">
        <f t="shared" si="123"/>
        <v>0</v>
      </c>
      <c r="R248" s="4">
        <f t="shared" si="124"/>
        <v>1000000</v>
      </c>
      <c r="S248" s="58"/>
    </row>
    <row r="249" spans="1:19" s="14" customFormat="1" ht="24" x14ac:dyDescent="0.2">
      <c r="A249" s="1" t="s">
        <v>197</v>
      </c>
      <c r="B249" s="2" t="s">
        <v>98</v>
      </c>
      <c r="C249" s="2" t="s">
        <v>25</v>
      </c>
      <c r="D249" s="3" t="s">
        <v>6</v>
      </c>
      <c r="E249" s="4">
        <v>760000</v>
      </c>
      <c r="F249" s="4">
        <f t="shared" si="157"/>
        <v>0</v>
      </c>
      <c r="G249" s="4"/>
      <c r="H249" s="4"/>
      <c r="I249" s="4">
        <f t="shared" si="158"/>
        <v>760000</v>
      </c>
      <c r="J249" s="4"/>
      <c r="K249" s="4">
        <f t="shared" si="155"/>
        <v>0</v>
      </c>
      <c r="L249" s="4"/>
      <c r="M249" s="4"/>
      <c r="N249" s="4"/>
      <c r="O249" s="4">
        <f t="shared" si="156"/>
        <v>0</v>
      </c>
      <c r="P249" s="4">
        <f t="shared" si="122"/>
        <v>760000</v>
      </c>
      <c r="Q249" s="4">
        <f t="shared" si="123"/>
        <v>0</v>
      </c>
      <c r="R249" s="4">
        <f t="shared" si="124"/>
        <v>760000</v>
      </c>
      <c r="S249" s="58"/>
    </row>
    <row r="250" spans="1:19" s="14" customFormat="1" ht="12" x14ac:dyDescent="0.2">
      <c r="A250" s="1" t="s">
        <v>193</v>
      </c>
      <c r="B250" s="2" t="s">
        <v>194</v>
      </c>
      <c r="C250" s="2" t="s">
        <v>188</v>
      </c>
      <c r="D250" s="15" t="s">
        <v>192</v>
      </c>
      <c r="E250" s="4">
        <v>200000</v>
      </c>
      <c r="F250" s="4">
        <f t="shared" si="157"/>
        <v>0</v>
      </c>
      <c r="G250" s="4"/>
      <c r="H250" s="4"/>
      <c r="I250" s="4">
        <f t="shared" si="158"/>
        <v>200000</v>
      </c>
      <c r="J250" s="4"/>
      <c r="K250" s="4">
        <f t="shared" si="155"/>
        <v>0</v>
      </c>
      <c r="L250" s="4"/>
      <c r="M250" s="4"/>
      <c r="N250" s="4"/>
      <c r="O250" s="4">
        <f t="shared" si="156"/>
        <v>0</v>
      </c>
      <c r="P250" s="4">
        <f t="shared" si="122"/>
        <v>200000</v>
      </c>
      <c r="Q250" s="4">
        <f t="shared" si="123"/>
        <v>0</v>
      </c>
      <c r="R250" s="4">
        <f t="shared" si="124"/>
        <v>200000</v>
      </c>
      <c r="S250" s="58"/>
    </row>
    <row r="251" spans="1:19" s="14" customFormat="1" ht="24" x14ac:dyDescent="0.2">
      <c r="A251" s="2" t="s">
        <v>511</v>
      </c>
      <c r="B251" s="2" t="s">
        <v>78</v>
      </c>
      <c r="C251" s="2" t="s">
        <v>24</v>
      </c>
      <c r="D251" s="62" t="s">
        <v>482</v>
      </c>
      <c r="E251" s="4"/>
      <c r="F251" s="4"/>
      <c r="G251" s="4"/>
      <c r="H251" s="4"/>
      <c r="I251" s="4"/>
      <c r="J251" s="4"/>
      <c r="K251" s="4">
        <f t="shared" si="155"/>
        <v>18484000</v>
      </c>
      <c r="L251" s="4">
        <f>18484000</f>
        <v>18484000</v>
      </c>
      <c r="M251" s="4"/>
      <c r="N251" s="4">
        <f>18484000</f>
        <v>18484000</v>
      </c>
      <c r="O251" s="4">
        <f t="shared" si="156"/>
        <v>18484000</v>
      </c>
      <c r="P251" s="4">
        <f t="shared" si="122"/>
        <v>0</v>
      </c>
      <c r="Q251" s="4">
        <f t="shared" si="123"/>
        <v>18484000</v>
      </c>
      <c r="R251" s="4">
        <f t="shared" si="124"/>
        <v>18484000</v>
      </c>
      <c r="S251" s="58"/>
    </row>
    <row r="252" spans="1:19" s="14" customFormat="1" ht="12" x14ac:dyDescent="0.2">
      <c r="A252" s="1" t="s">
        <v>191</v>
      </c>
      <c r="B252" s="1" t="s">
        <v>288</v>
      </c>
      <c r="C252" s="2" t="s">
        <v>24</v>
      </c>
      <c r="D252" s="63" t="s">
        <v>195</v>
      </c>
      <c r="E252" s="4">
        <f>E255+E256+E257</f>
        <v>4035900</v>
      </c>
      <c r="F252" s="4">
        <f t="shared" ref="F252:M252" si="159">F255+F256+F257</f>
        <v>-500000</v>
      </c>
      <c r="G252" s="4">
        <f t="shared" si="159"/>
        <v>-500000</v>
      </c>
      <c r="H252" s="4">
        <f t="shared" si="159"/>
        <v>0</v>
      </c>
      <c r="I252" s="4">
        <f t="shared" si="159"/>
        <v>3535900</v>
      </c>
      <c r="J252" s="4">
        <f t="shared" si="159"/>
        <v>0</v>
      </c>
      <c r="K252" s="4">
        <f t="shared" si="155"/>
        <v>1294792</v>
      </c>
      <c r="L252" s="4">
        <f>994792+300000</f>
        <v>1294792</v>
      </c>
      <c r="M252" s="4">
        <f t="shared" si="159"/>
        <v>0</v>
      </c>
      <c r="N252" s="4">
        <f>994792+300000</f>
        <v>1294792</v>
      </c>
      <c r="O252" s="4">
        <f t="shared" ref="O252:O258" si="160">J252+K252</f>
        <v>1294792</v>
      </c>
      <c r="P252" s="4">
        <f t="shared" si="122"/>
        <v>4035900</v>
      </c>
      <c r="Q252" s="4">
        <f t="shared" si="123"/>
        <v>794792</v>
      </c>
      <c r="R252" s="4">
        <f t="shared" si="124"/>
        <v>4830692</v>
      </c>
      <c r="S252" s="58"/>
    </row>
    <row r="253" spans="1:19" s="14" customFormat="1" ht="12" x14ac:dyDescent="0.2">
      <c r="A253" s="1"/>
      <c r="B253" s="1"/>
      <c r="C253" s="2"/>
      <c r="D253" s="63" t="s">
        <v>196</v>
      </c>
      <c r="E253" s="4">
        <v>0</v>
      </c>
      <c r="F253" s="4">
        <f t="shared" si="157"/>
        <v>0</v>
      </c>
      <c r="G253" s="4"/>
      <c r="H253" s="4"/>
      <c r="I253" s="4">
        <f t="shared" si="158"/>
        <v>0</v>
      </c>
      <c r="J253" s="4"/>
      <c r="K253" s="4">
        <f t="shared" si="155"/>
        <v>0</v>
      </c>
      <c r="L253" s="4"/>
      <c r="M253" s="4"/>
      <c r="N253" s="4"/>
      <c r="O253" s="4">
        <f t="shared" si="160"/>
        <v>0</v>
      </c>
      <c r="P253" s="4">
        <f t="shared" si="122"/>
        <v>0</v>
      </c>
      <c r="Q253" s="4">
        <f t="shared" si="123"/>
        <v>0</v>
      </c>
      <c r="R253" s="4">
        <f t="shared" si="124"/>
        <v>0</v>
      </c>
      <c r="S253" s="58"/>
    </row>
    <row r="254" spans="1:19" s="14" customFormat="1" ht="12" x14ac:dyDescent="0.2">
      <c r="A254" s="1"/>
      <c r="B254" s="1"/>
      <c r="C254" s="2"/>
      <c r="D254" s="63" t="s">
        <v>196</v>
      </c>
      <c r="E254" s="4"/>
      <c r="F254" s="4">
        <f t="shared" si="157"/>
        <v>0</v>
      </c>
      <c r="G254" s="4"/>
      <c r="H254" s="4"/>
      <c r="I254" s="4">
        <f t="shared" si="158"/>
        <v>0</v>
      </c>
      <c r="J254" s="4"/>
      <c r="K254" s="4">
        <f t="shared" ref="K254:K258" si="161">M254+N254</f>
        <v>0</v>
      </c>
      <c r="L254" s="4"/>
      <c r="M254" s="4"/>
      <c r="N254" s="4"/>
      <c r="O254" s="4">
        <f t="shared" si="160"/>
        <v>0</v>
      </c>
      <c r="P254" s="4">
        <f t="shared" si="122"/>
        <v>0</v>
      </c>
      <c r="Q254" s="4">
        <f t="shared" si="123"/>
        <v>0</v>
      </c>
      <c r="R254" s="4">
        <f t="shared" si="124"/>
        <v>0</v>
      </c>
      <c r="S254" s="58"/>
    </row>
    <row r="255" spans="1:19" s="14" customFormat="1" ht="36" x14ac:dyDescent="0.2">
      <c r="A255" s="1"/>
      <c r="B255" s="1"/>
      <c r="C255" s="2"/>
      <c r="D255" s="63" t="s">
        <v>336</v>
      </c>
      <c r="E255" s="4">
        <v>500000</v>
      </c>
      <c r="F255" s="4">
        <f t="shared" si="157"/>
        <v>0</v>
      </c>
      <c r="G255" s="4"/>
      <c r="H255" s="4"/>
      <c r="I255" s="4">
        <f t="shared" si="158"/>
        <v>500000</v>
      </c>
      <c r="J255" s="4"/>
      <c r="K255" s="4">
        <f t="shared" si="161"/>
        <v>500000</v>
      </c>
      <c r="L255" s="4">
        <f>500000</f>
        <v>500000</v>
      </c>
      <c r="M255" s="4"/>
      <c r="N255" s="4">
        <f>500000</f>
        <v>500000</v>
      </c>
      <c r="O255" s="4">
        <f t="shared" si="160"/>
        <v>500000</v>
      </c>
      <c r="P255" s="4">
        <f t="shared" si="122"/>
        <v>500000</v>
      </c>
      <c r="Q255" s="4">
        <f t="shared" si="123"/>
        <v>500000</v>
      </c>
      <c r="R255" s="4">
        <f t="shared" si="124"/>
        <v>1000000</v>
      </c>
      <c r="S255" s="58"/>
    </row>
    <row r="256" spans="1:19" s="14" customFormat="1" ht="36" x14ac:dyDescent="0.2">
      <c r="A256" s="1"/>
      <c r="B256" s="2"/>
      <c r="C256" s="2"/>
      <c r="D256" s="74" t="s">
        <v>340</v>
      </c>
      <c r="E256" s="4">
        <v>3435900</v>
      </c>
      <c r="F256" s="4">
        <f t="shared" si="157"/>
        <v>-500000</v>
      </c>
      <c r="G256" s="4">
        <f>-500000</f>
        <v>-500000</v>
      </c>
      <c r="H256" s="4"/>
      <c r="I256" s="4">
        <f t="shared" si="158"/>
        <v>2935900</v>
      </c>
      <c r="J256" s="4"/>
      <c r="K256" s="4">
        <f t="shared" si="161"/>
        <v>244792</v>
      </c>
      <c r="L256" s="4">
        <f>244792</f>
        <v>244792</v>
      </c>
      <c r="M256" s="4"/>
      <c r="N256" s="4">
        <f>244792</f>
        <v>244792</v>
      </c>
      <c r="O256" s="4">
        <f t="shared" si="160"/>
        <v>244792</v>
      </c>
      <c r="P256" s="4">
        <f t="shared" si="122"/>
        <v>3435900</v>
      </c>
      <c r="Q256" s="4">
        <f t="shared" si="123"/>
        <v>-255208</v>
      </c>
      <c r="R256" s="4">
        <f t="shared" si="124"/>
        <v>3180692</v>
      </c>
      <c r="S256" s="58"/>
    </row>
    <row r="257" spans="1:19" s="13" customFormat="1" ht="24" x14ac:dyDescent="0.2">
      <c r="A257" s="1"/>
      <c r="B257" s="2"/>
      <c r="C257" s="2"/>
      <c r="D257" s="74" t="s">
        <v>452</v>
      </c>
      <c r="E257" s="4">
        <v>100000</v>
      </c>
      <c r="F257" s="4">
        <f t="shared" si="157"/>
        <v>0</v>
      </c>
      <c r="G257" s="4"/>
      <c r="H257" s="4"/>
      <c r="I257" s="4">
        <f t="shared" si="158"/>
        <v>100000</v>
      </c>
      <c r="J257" s="4"/>
      <c r="K257" s="4">
        <f t="shared" si="161"/>
        <v>0</v>
      </c>
      <c r="L257" s="4"/>
      <c r="M257" s="4"/>
      <c r="N257" s="4"/>
      <c r="O257" s="4">
        <f t="shared" si="160"/>
        <v>0</v>
      </c>
      <c r="P257" s="4">
        <f t="shared" si="122"/>
        <v>100000</v>
      </c>
      <c r="Q257" s="4">
        <f t="shared" si="123"/>
        <v>0</v>
      </c>
      <c r="R257" s="4">
        <f t="shared" si="124"/>
        <v>100000</v>
      </c>
      <c r="S257" s="58"/>
    </row>
    <row r="258" spans="1:19" s="14" customFormat="1" ht="24" x14ac:dyDescent="0.2">
      <c r="A258" s="1" t="s">
        <v>522</v>
      </c>
      <c r="B258" s="2" t="s">
        <v>96</v>
      </c>
      <c r="C258" s="2" t="s">
        <v>15</v>
      </c>
      <c r="D258" s="3" t="s">
        <v>5</v>
      </c>
      <c r="E258" s="4"/>
      <c r="F258" s="4">
        <f t="shared" si="157"/>
        <v>0</v>
      </c>
      <c r="G258" s="4"/>
      <c r="H258" s="4"/>
      <c r="I258" s="4"/>
      <c r="J258" s="4"/>
      <c r="K258" s="4">
        <f t="shared" si="161"/>
        <v>1050000</v>
      </c>
      <c r="L258" s="4"/>
      <c r="M258" s="4"/>
      <c r="N258" s="4">
        <v>1050000</v>
      </c>
      <c r="O258" s="4">
        <f t="shared" si="160"/>
        <v>1050000</v>
      </c>
      <c r="P258" s="4">
        <f t="shared" si="122"/>
        <v>0</v>
      </c>
      <c r="Q258" s="4">
        <f t="shared" si="123"/>
        <v>1050000</v>
      </c>
      <c r="R258" s="4">
        <f t="shared" si="124"/>
        <v>1050000</v>
      </c>
      <c r="S258" s="58"/>
    </row>
    <row r="259" spans="1:19" s="13" customFormat="1" ht="24" x14ac:dyDescent="0.2">
      <c r="A259" s="16" t="s">
        <v>199</v>
      </c>
      <c r="B259" s="10"/>
      <c r="C259" s="10"/>
      <c r="D259" s="17" t="s">
        <v>453</v>
      </c>
      <c r="E259" s="12">
        <f>SUM(E261:E264)</f>
        <v>10249200</v>
      </c>
      <c r="F259" s="12">
        <f t="shared" ref="F259:N259" si="162">SUM(F261:F264)</f>
        <v>50100</v>
      </c>
      <c r="G259" s="12">
        <f t="shared" si="162"/>
        <v>50100</v>
      </c>
      <c r="H259" s="12">
        <f t="shared" si="162"/>
        <v>0</v>
      </c>
      <c r="I259" s="12">
        <f t="shared" si="162"/>
        <v>10299300</v>
      </c>
      <c r="J259" s="12">
        <f t="shared" si="162"/>
        <v>300000</v>
      </c>
      <c r="K259" s="12">
        <f t="shared" si="162"/>
        <v>249000</v>
      </c>
      <c r="L259" s="12">
        <f t="shared" si="162"/>
        <v>49000</v>
      </c>
      <c r="M259" s="12">
        <f t="shared" si="162"/>
        <v>200000</v>
      </c>
      <c r="N259" s="12">
        <f t="shared" si="162"/>
        <v>49000</v>
      </c>
      <c r="O259" s="12">
        <f>SUM(O261:O264)</f>
        <v>549000</v>
      </c>
      <c r="P259" s="12">
        <f>SUM(P261:P264)</f>
        <v>10549200</v>
      </c>
      <c r="Q259" s="12">
        <f t="shared" ref="Q259:R259" si="163">SUM(Q261:Q264)</f>
        <v>299100</v>
      </c>
      <c r="R259" s="12">
        <f t="shared" si="163"/>
        <v>10848300</v>
      </c>
      <c r="S259" s="58"/>
    </row>
    <row r="260" spans="1:19" s="13" customFormat="1" ht="24" x14ac:dyDescent="0.2">
      <c r="A260" s="16" t="s">
        <v>200</v>
      </c>
      <c r="B260" s="10"/>
      <c r="C260" s="10"/>
      <c r="D260" s="17" t="s">
        <v>453</v>
      </c>
      <c r="E260" s="12"/>
      <c r="F260" s="12"/>
      <c r="G260" s="12"/>
      <c r="H260" s="12"/>
      <c r="I260" s="12"/>
      <c r="J260" s="4"/>
      <c r="K260" s="4"/>
      <c r="L260" s="12"/>
      <c r="M260" s="12"/>
      <c r="N260" s="12"/>
      <c r="O260" s="12"/>
      <c r="P260" s="12"/>
      <c r="Q260" s="12"/>
      <c r="R260" s="12"/>
      <c r="S260" s="58"/>
    </row>
    <row r="261" spans="1:19" s="14" customFormat="1" ht="24" x14ac:dyDescent="0.2">
      <c r="A261" s="1" t="s">
        <v>201</v>
      </c>
      <c r="B261" s="2" t="s">
        <v>59</v>
      </c>
      <c r="C261" s="2" t="s">
        <v>21</v>
      </c>
      <c r="D261" s="3" t="s">
        <v>368</v>
      </c>
      <c r="E261" s="4">
        <v>9841200</v>
      </c>
      <c r="F261" s="4">
        <f t="shared" ref="F261:F264" si="164">G261</f>
        <v>0</v>
      </c>
      <c r="G261" s="4"/>
      <c r="H261" s="4"/>
      <c r="I261" s="4">
        <f t="shared" ref="I261:I264" si="165">E261+F261</f>
        <v>9841200</v>
      </c>
      <c r="J261" s="4"/>
      <c r="K261" s="4">
        <f t="shared" ref="K261:K264" si="166">M261+N261</f>
        <v>49000</v>
      </c>
      <c r="L261" s="4">
        <f>49000</f>
        <v>49000</v>
      </c>
      <c r="M261" s="4"/>
      <c r="N261" s="4">
        <f>49000</f>
        <v>49000</v>
      </c>
      <c r="O261" s="4">
        <f t="shared" ref="O261:O264" si="167">J261+K261</f>
        <v>49000</v>
      </c>
      <c r="P261" s="4">
        <f t="shared" ref="P261:P264" si="168">E261+J261</f>
        <v>9841200</v>
      </c>
      <c r="Q261" s="4">
        <f t="shared" ref="Q261:Q264" si="169">F261+K261</f>
        <v>49000</v>
      </c>
      <c r="R261" s="4">
        <f t="shared" ref="R261:R264" si="170">I261+O261</f>
        <v>9890200</v>
      </c>
      <c r="S261" s="58"/>
    </row>
    <row r="262" spans="1:19" s="14" customFormat="1" ht="12" x14ac:dyDescent="0.2">
      <c r="A262" s="1" t="s">
        <v>206</v>
      </c>
      <c r="B262" s="2" t="s">
        <v>10</v>
      </c>
      <c r="C262" s="2" t="s">
        <v>10</v>
      </c>
      <c r="D262" s="3" t="s">
        <v>165</v>
      </c>
      <c r="E262" s="4">
        <v>50000</v>
      </c>
      <c r="F262" s="4">
        <f t="shared" si="164"/>
        <v>0</v>
      </c>
      <c r="G262" s="4"/>
      <c r="H262" s="4"/>
      <c r="I262" s="4">
        <f t="shared" si="165"/>
        <v>50000</v>
      </c>
      <c r="J262" s="4">
        <v>0</v>
      </c>
      <c r="K262" s="4">
        <f t="shared" si="166"/>
        <v>0</v>
      </c>
      <c r="L262" s="4"/>
      <c r="M262" s="4"/>
      <c r="N262" s="4"/>
      <c r="O262" s="4">
        <f t="shared" si="167"/>
        <v>0</v>
      </c>
      <c r="P262" s="4">
        <f t="shared" si="168"/>
        <v>50000</v>
      </c>
      <c r="Q262" s="4">
        <f t="shared" si="169"/>
        <v>0</v>
      </c>
      <c r="R262" s="4">
        <f t="shared" si="170"/>
        <v>50000</v>
      </c>
      <c r="S262" s="58"/>
    </row>
    <row r="263" spans="1:19" s="14" customFormat="1" ht="12" x14ac:dyDescent="0.2">
      <c r="A263" s="1" t="s">
        <v>202</v>
      </c>
      <c r="B263" s="2" t="s">
        <v>203</v>
      </c>
      <c r="C263" s="2" t="s">
        <v>204</v>
      </c>
      <c r="D263" s="3" t="s">
        <v>205</v>
      </c>
      <c r="E263" s="4">
        <v>358000</v>
      </c>
      <c r="F263" s="4">
        <f t="shared" si="164"/>
        <v>50100</v>
      </c>
      <c r="G263" s="4">
        <f>100000+400000-449900</f>
        <v>50100</v>
      </c>
      <c r="H263" s="4"/>
      <c r="I263" s="4">
        <f t="shared" si="165"/>
        <v>408100</v>
      </c>
      <c r="J263" s="4">
        <v>0</v>
      </c>
      <c r="K263" s="4">
        <f t="shared" si="166"/>
        <v>0</v>
      </c>
      <c r="L263" s="4"/>
      <c r="M263" s="4"/>
      <c r="N263" s="4"/>
      <c r="O263" s="4">
        <f t="shared" si="167"/>
        <v>0</v>
      </c>
      <c r="P263" s="4">
        <f t="shared" si="168"/>
        <v>358000</v>
      </c>
      <c r="Q263" s="4">
        <f t="shared" si="169"/>
        <v>50100</v>
      </c>
      <c r="R263" s="4">
        <f t="shared" si="170"/>
        <v>408100</v>
      </c>
      <c r="S263" s="58"/>
    </row>
    <row r="264" spans="1:19" s="14" customFormat="1" ht="24" x14ac:dyDescent="0.2">
      <c r="A264" s="1" t="s">
        <v>329</v>
      </c>
      <c r="B264" s="2" t="s">
        <v>96</v>
      </c>
      <c r="C264" s="2" t="s">
        <v>15</v>
      </c>
      <c r="D264" s="3" t="s">
        <v>5</v>
      </c>
      <c r="E264" s="4">
        <v>0</v>
      </c>
      <c r="F264" s="4">
        <f t="shared" si="164"/>
        <v>0</v>
      </c>
      <c r="G264" s="4"/>
      <c r="H264" s="4"/>
      <c r="I264" s="4">
        <f t="shared" si="165"/>
        <v>0</v>
      </c>
      <c r="J264" s="4">
        <v>300000</v>
      </c>
      <c r="K264" s="4">
        <f t="shared" si="166"/>
        <v>200000</v>
      </c>
      <c r="L264" s="4"/>
      <c r="M264" s="4">
        <f>200000</f>
        <v>200000</v>
      </c>
      <c r="N264" s="4"/>
      <c r="O264" s="4">
        <f t="shared" si="167"/>
        <v>500000</v>
      </c>
      <c r="P264" s="4">
        <f t="shared" si="168"/>
        <v>300000</v>
      </c>
      <c r="Q264" s="4">
        <f t="shared" si="169"/>
        <v>200000</v>
      </c>
      <c r="R264" s="4">
        <f t="shared" si="170"/>
        <v>500000</v>
      </c>
      <c r="S264" s="58"/>
    </row>
    <row r="265" spans="1:19" s="13" customFormat="1" ht="36" x14ac:dyDescent="0.2">
      <c r="A265" s="16" t="s">
        <v>454</v>
      </c>
      <c r="B265" s="10"/>
      <c r="C265" s="10"/>
      <c r="D265" s="17" t="s">
        <v>458</v>
      </c>
      <c r="E265" s="12">
        <f>E267+E268</f>
        <v>14580000</v>
      </c>
      <c r="F265" s="12">
        <f t="shared" ref="F265:O265" si="171">F267+F268</f>
        <v>240400</v>
      </c>
      <c r="G265" s="12">
        <f t="shared" si="171"/>
        <v>240400</v>
      </c>
      <c r="H265" s="12">
        <f t="shared" si="171"/>
        <v>0</v>
      </c>
      <c r="I265" s="12">
        <f t="shared" si="171"/>
        <v>14820400</v>
      </c>
      <c r="J265" s="12">
        <f t="shared" si="171"/>
        <v>0</v>
      </c>
      <c r="K265" s="12">
        <f t="shared" si="171"/>
        <v>0</v>
      </c>
      <c r="L265" s="12">
        <f t="shared" si="171"/>
        <v>0</v>
      </c>
      <c r="M265" s="12">
        <f t="shared" si="171"/>
        <v>0</v>
      </c>
      <c r="N265" s="12">
        <f t="shared" si="171"/>
        <v>0</v>
      </c>
      <c r="O265" s="12">
        <f t="shared" si="171"/>
        <v>0</v>
      </c>
      <c r="P265" s="12">
        <f>P267+P268</f>
        <v>14580000</v>
      </c>
      <c r="Q265" s="12">
        <f t="shared" ref="Q265:R265" si="172">Q267+Q268</f>
        <v>240400</v>
      </c>
      <c r="R265" s="12">
        <f t="shared" si="172"/>
        <v>14820400</v>
      </c>
      <c r="S265" s="58"/>
    </row>
    <row r="266" spans="1:19" s="14" customFormat="1" ht="36" x14ac:dyDescent="0.2">
      <c r="A266" s="16" t="s">
        <v>455</v>
      </c>
      <c r="B266" s="10"/>
      <c r="C266" s="10"/>
      <c r="D266" s="17" t="s">
        <v>458</v>
      </c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58"/>
    </row>
    <row r="267" spans="1:19" s="14" customFormat="1" ht="24" x14ac:dyDescent="0.2">
      <c r="A267" s="1" t="s">
        <v>456</v>
      </c>
      <c r="B267" s="2" t="s">
        <v>59</v>
      </c>
      <c r="C267" s="2" t="s">
        <v>21</v>
      </c>
      <c r="D267" s="3" t="s">
        <v>368</v>
      </c>
      <c r="E267" s="4">
        <v>14380000</v>
      </c>
      <c r="F267" s="4">
        <f t="shared" ref="F267:F270" si="173">G267</f>
        <v>240400</v>
      </c>
      <c r="G267" s="4">
        <f>49900+190500</f>
        <v>240400</v>
      </c>
      <c r="H267" s="4"/>
      <c r="I267" s="4">
        <f t="shared" ref="I267:I270" si="174">E267+F267</f>
        <v>14620400</v>
      </c>
      <c r="J267" s="4"/>
      <c r="K267" s="4">
        <f t="shared" ref="K267:K270" si="175">M267+N267</f>
        <v>0</v>
      </c>
      <c r="L267" s="4"/>
      <c r="M267" s="4"/>
      <c r="N267" s="4"/>
      <c r="O267" s="4">
        <f t="shared" ref="O267:O270" si="176">J267+K267</f>
        <v>0</v>
      </c>
      <c r="P267" s="4">
        <f t="shared" ref="P267:P270" si="177">E267+J267</f>
        <v>14380000</v>
      </c>
      <c r="Q267" s="4">
        <f t="shared" ref="Q267:Q270" si="178">F267+K267</f>
        <v>240400</v>
      </c>
      <c r="R267" s="4">
        <f t="shared" ref="R267:R270" si="179">I267+O267</f>
        <v>14620400</v>
      </c>
      <c r="S267" s="58"/>
    </row>
    <row r="268" spans="1:19" s="14" customFormat="1" ht="12" x14ac:dyDescent="0.2">
      <c r="A268" s="1" t="s">
        <v>457</v>
      </c>
      <c r="B268" s="2" t="s">
        <v>10</v>
      </c>
      <c r="C268" s="2" t="s">
        <v>13</v>
      </c>
      <c r="D268" s="3" t="s">
        <v>165</v>
      </c>
      <c r="E268" s="4">
        <f>E270</f>
        <v>200000</v>
      </c>
      <c r="F268" s="4">
        <f t="shared" ref="F268:O268" si="180">F270</f>
        <v>0</v>
      </c>
      <c r="G268" s="4">
        <f t="shared" si="180"/>
        <v>0</v>
      </c>
      <c r="H268" s="4">
        <f t="shared" si="180"/>
        <v>0</v>
      </c>
      <c r="I268" s="4">
        <f t="shared" si="180"/>
        <v>200000</v>
      </c>
      <c r="J268" s="4">
        <f t="shared" si="180"/>
        <v>0</v>
      </c>
      <c r="K268" s="4">
        <f t="shared" si="180"/>
        <v>0</v>
      </c>
      <c r="L268" s="4">
        <f t="shared" si="180"/>
        <v>0</v>
      </c>
      <c r="M268" s="4">
        <f t="shared" si="180"/>
        <v>0</v>
      </c>
      <c r="N268" s="4">
        <f t="shared" si="180"/>
        <v>0</v>
      </c>
      <c r="O268" s="4">
        <f t="shared" si="180"/>
        <v>0</v>
      </c>
      <c r="P268" s="4">
        <f t="shared" si="177"/>
        <v>200000</v>
      </c>
      <c r="Q268" s="4">
        <f t="shared" si="178"/>
        <v>0</v>
      </c>
      <c r="R268" s="4">
        <f t="shared" si="179"/>
        <v>200000</v>
      </c>
      <c r="S268" s="58"/>
    </row>
    <row r="269" spans="1:19" s="14" customFormat="1" ht="12" x14ac:dyDescent="0.2">
      <c r="A269" s="1"/>
      <c r="B269" s="2"/>
      <c r="C269" s="2"/>
      <c r="D269" s="3" t="s">
        <v>353</v>
      </c>
      <c r="E269" s="4"/>
      <c r="F269" s="4">
        <f t="shared" si="173"/>
        <v>0</v>
      </c>
      <c r="G269" s="4"/>
      <c r="H269" s="4"/>
      <c r="I269" s="4">
        <f t="shared" si="174"/>
        <v>0</v>
      </c>
      <c r="J269" s="4"/>
      <c r="K269" s="4">
        <f t="shared" si="175"/>
        <v>0</v>
      </c>
      <c r="L269" s="4"/>
      <c r="M269" s="4"/>
      <c r="N269" s="4"/>
      <c r="O269" s="4">
        <f t="shared" si="176"/>
        <v>0</v>
      </c>
      <c r="P269" s="4">
        <f t="shared" si="177"/>
        <v>0</v>
      </c>
      <c r="Q269" s="4">
        <f t="shared" si="178"/>
        <v>0</v>
      </c>
      <c r="R269" s="4">
        <f t="shared" si="179"/>
        <v>0</v>
      </c>
      <c r="S269" s="58"/>
    </row>
    <row r="270" spans="1:19" s="14" customFormat="1" ht="36" x14ac:dyDescent="0.2">
      <c r="A270" s="1"/>
      <c r="B270" s="2"/>
      <c r="C270" s="2"/>
      <c r="D270" s="15" t="s">
        <v>303</v>
      </c>
      <c r="E270" s="4">
        <v>200000</v>
      </c>
      <c r="F270" s="4">
        <f t="shared" si="173"/>
        <v>0</v>
      </c>
      <c r="G270" s="4"/>
      <c r="H270" s="4"/>
      <c r="I270" s="4">
        <f t="shared" si="174"/>
        <v>200000</v>
      </c>
      <c r="J270" s="4"/>
      <c r="K270" s="4">
        <f t="shared" si="175"/>
        <v>0</v>
      </c>
      <c r="L270" s="4"/>
      <c r="M270" s="4"/>
      <c r="N270" s="4"/>
      <c r="O270" s="4">
        <f t="shared" si="176"/>
        <v>0</v>
      </c>
      <c r="P270" s="4">
        <f t="shared" si="177"/>
        <v>200000</v>
      </c>
      <c r="Q270" s="4">
        <f t="shared" si="178"/>
        <v>0</v>
      </c>
      <c r="R270" s="4">
        <f t="shared" si="179"/>
        <v>200000</v>
      </c>
      <c r="S270" s="58"/>
    </row>
    <row r="271" spans="1:19" s="13" customFormat="1" ht="24" x14ac:dyDescent="0.2">
      <c r="A271" s="16" t="s">
        <v>117</v>
      </c>
      <c r="B271" s="10"/>
      <c r="C271" s="10"/>
      <c r="D271" s="11" t="s">
        <v>463</v>
      </c>
      <c r="E271" s="12">
        <f>E273+E275+E281+E282+E283</f>
        <v>197246800</v>
      </c>
      <c r="F271" s="12">
        <f t="shared" ref="F271:I271" si="181">F273+F275+F281+F282+F283</f>
        <v>-16988688</v>
      </c>
      <c r="G271" s="12">
        <f t="shared" si="181"/>
        <v>-16988688</v>
      </c>
      <c r="H271" s="12">
        <f t="shared" si="181"/>
        <v>0</v>
      </c>
      <c r="I271" s="12">
        <f t="shared" si="181"/>
        <v>180258112</v>
      </c>
      <c r="J271" s="12">
        <f>J273+J275+J281+J282+J283+J284</f>
        <v>2823502</v>
      </c>
      <c r="K271" s="12">
        <f>K273+K275+K281+K282+K283+K284</f>
        <v>4471900</v>
      </c>
      <c r="L271" s="12">
        <f t="shared" ref="L271:N271" si="182">L273+L275+L281+L282+L283+L284</f>
        <v>4471900</v>
      </c>
      <c r="M271" s="12">
        <f t="shared" si="182"/>
        <v>0</v>
      </c>
      <c r="N271" s="12">
        <f t="shared" si="182"/>
        <v>4471900</v>
      </c>
      <c r="O271" s="12">
        <f>O273+O275+O281+O282+O283+O284</f>
        <v>7295402</v>
      </c>
      <c r="P271" s="12">
        <f>P273+P275+P281+P282+P283+P284</f>
        <v>200070302</v>
      </c>
      <c r="Q271" s="12">
        <f t="shared" ref="Q271:R271" si="183">Q273+Q275+Q281+Q282+Q283+Q284</f>
        <v>-12516788</v>
      </c>
      <c r="R271" s="12">
        <f t="shared" si="183"/>
        <v>187553514</v>
      </c>
      <c r="S271" s="58"/>
    </row>
    <row r="272" spans="1:19" s="13" customFormat="1" ht="24" x14ac:dyDescent="0.2">
      <c r="A272" s="16" t="s">
        <v>118</v>
      </c>
      <c r="B272" s="10"/>
      <c r="C272" s="10"/>
      <c r="D272" s="11" t="s">
        <v>463</v>
      </c>
      <c r="E272" s="12"/>
      <c r="F272" s="12"/>
      <c r="G272" s="12"/>
      <c r="H272" s="12"/>
      <c r="I272" s="12"/>
      <c r="J272" s="4">
        <v>0</v>
      </c>
      <c r="K272" s="4"/>
      <c r="L272" s="12"/>
      <c r="M272" s="12"/>
      <c r="N272" s="12"/>
      <c r="O272" s="12"/>
      <c r="P272" s="12">
        <f t="shared" si="122"/>
        <v>0</v>
      </c>
      <c r="Q272" s="12">
        <f t="shared" si="123"/>
        <v>0</v>
      </c>
      <c r="R272" s="12">
        <f t="shared" si="124"/>
        <v>0</v>
      </c>
      <c r="S272" s="58"/>
    </row>
    <row r="273" spans="1:19" s="14" customFormat="1" ht="24" x14ac:dyDescent="0.2">
      <c r="A273" s="1" t="s">
        <v>119</v>
      </c>
      <c r="B273" s="2" t="s">
        <v>59</v>
      </c>
      <c r="C273" s="2" t="s">
        <v>21</v>
      </c>
      <c r="D273" s="3" t="s">
        <v>368</v>
      </c>
      <c r="E273" s="4">
        <v>17080000</v>
      </c>
      <c r="F273" s="4">
        <f>G273</f>
        <v>0</v>
      </c>
      <c r="G273" s="4"/>
      <c r="H273" s="4"/>
      <c r="I273" s="4">
        <f>E273+F273</f>
        <v>17080000</v>
      </c>
      <c r="J273" s="4"/>
      <c r="K273" s="4">
        <f t="shared" ref="K273:K283" si="184">M273+N273</f>
        <v>0</v>
      </c>
      <c r="L273" s="4"/>
      <c r="M273" s="4"/>
      <c r="N273" s="4"/>
      <c r="O273" s="4">
        <f t="shared" ref="O273:O283" si="185">J273+K273</f>
        <v>0</v>
      </c>
      <c r="P273" s="4">
        <f t="shared" si="122"/>
        <v>17080000</v>
      </c>
      <c r="Q273" s="4">
        <f t="shared" si="123"/>
        <v>0</v>
      </c>
      <c r="R273" s="4">
        <f t="shared" si="124"/>
        <v>17080000</v>
      </c>
      <c r="S273" s="58"/>
    </row>
    <row r="274" spans="1:19" s="14" customFormat="1" ht="12" x14ac:dyDescent="0.2">
      <c r="A274" s="1"/>
      <c r="B274" s="2"/>
      <c r="C274" s="2"/>
      <c r="D274" s="3"/>
      <c r="E274" s="4"/>
      <c r="F274" s="4"/>
      <c r="G274" s="4"/>
      <c r="H274" s="4"/>
      <c r="I274" s="4"/>
      <c r="J274" s="4">
        <v>0</v>
      </c>
      <c r="K274" s="4">
        <f t="shared" si="184"/>
        <v>0</v>
      </c>
      <c r="L274" s="4"/>
      <c r="M274" s="4"/>
      <c r="N274" s="4"/>
      <c r="O274" s="4">
        <f t="shared" si="185"/>
        <v>0</v>
      </c>
      <c r="P274" s="4">
        <f t="shared" si="122"/>
        <v>0</v>
      </c>
      <c r="Q274" s="4">
        <f t="shared" si="123"/>
        <v>0</v>
      </c>
      <c r="R274" s="4">
        <f t="shared" si="124"/>
        <v>0</v>
      </c>
      <c r="S274" s="58"/>
    </row>
    <row r="275" spans="1:19" s="14" customFormat="1" ht="12" x14ac:dyDescent="0.2">
      <c r="A275" s="1" t="s">
        <v>183</v>
      </c>
      <c r="B275" s="2" t="s">
        <v>10</v>
      </c>
      <c r="C275" s="2" t="s">
        <v>13</v>
      </c>
      <c r="D275" s="3" t="s">
        <v>184</v>
      </c>
      <c r="E275" s="4">
        <f>E277+E278+E279+E280</f>
        <v>31700000</v>
      </c>
      <c r="F275" s="4">
        <f t="shared" ref="F275:M275" si="186">F277+F278+F279+F280</f>
        <v>-15398341</v>
      </c>
      <c r="G275" s="4">
        <f t="shared" si="186"/>
        <v>-15398341</v>
      </c>
      <c r="H275" s="4">
        <f t="shared" si="186"/>
        <v>0</v>
      </c>
      <c r="I275" s="4">
        <f t="shared" si="186"/>
        <v>16301659</v>
      </c>
      <c r="J275" s="4">
        <f t="shared" si="186"/>
        <v>0</v>
      </c>
      <c r="K275" s="4">
        <f t="shared" si="184"/>
        <v>2000000</v>
      </c>
      <c r="L275" s="4">
        <f>2000000</f>
        <v>2000000</v>
      </c>
      <c r="M275" s="4">
        <f t="shared" si="186"/>
        <v>0</v>
      </c>
      <c r="N275" s="4">
        <f>2000000</f>
        <v>2000000</v>
      </c>
      <c r="O275" s="4">
        <f t="shared" si="185"/>
        <v>2000000</v>
      </c>
      <c r="P275" s="4">
        <f t="shared" si="122"/>
        <v>31700000</v>
      </c>
      <c r="Q275" s="4">
        <f t="shared" si="123"/>
        <v>-13398341</v>
      </c>
      <c r="R275" s="4">
        <f t="shared" si="124"/>
        <v>18301659</v>
      </c>
      <c r="S275" s="58"/>
    </row>
    <row r="276" spans="1:19" s="14" customFormat="1" ht="12" x14ac:dyDescent="0.2">
      <c r="A276" s="1"/>
      <c r="B276" s="2"/>
      <c r="C276" s="2"/>
      <c r="D276" s="3" t="s">
        <v>26</v>
      </c>
      <c r="E276" s="4"/>
      <c r="F276" s="4"/>
      <c r="G276" s="4"/>
      <c r="H276" s="4"/>
      <c r="I276" s="4"/>
      <c r="J276" s="4">
        <v>0</v>
      </c>
      <c r="K276" s="4">
        <f t="shared" si="184"/>
        <v>0</v>
      </c>
      <c r="L276" s="4"/>
      <c r="M276" s="4"/>
      <c r="N276" s="4"/>
      <c r="O276" s="4">
        <f t="shared" si="185"/>
        <v>0</v>
      </c>
      <c r="P276" s="4">
        <f t="shared" si="122"/>
        <v>0</v>
      </c>
      <c r="Q276" s="4">
        <f t="shared" si="123"/>
        <v>0</v>
      </c>
      <c r="R276" s="4">
        <f t="shared" si="124"/>
        <v>0</v>
      </c>
      <c r="S276" s="58"/>
    </row>
    <row r="277" spans="1:19" s="14" customFormat="1" ht="12" x14ac:dyDescent="0.2">
      <c r="A277" s="1"/>
      <c r="B277" s="2"/>
      <c r="C277" s="2"/>
      <c r="D277" s="15" t="s">
        <v>27</v>
      </c>
      <c r="E277" s="4">
        <v>200000</v>
      </c>
      <c r="F277" s="4">
        <f t="shared" ref="F277:F283" si="187">G277</f>
        <v>0</v>
      </c>
      <c r="G277" s="4"/>
      <c r="H277" s="4"/>
      <c r="I277" s="4">
        <f t="shared" ref="I277:I283" si="188">E277+F277</f>
        <v>200000</v>
      </c>
      <c r="J277" s="4">
        <v>0</v>
      </c>
      <c r="K277" s="4">
        <f t="shared" si="184"/>
        <v>0</v>
      </c>
      <c r="L277" s="4"/>
      <c r="M277" s="4"/>
      <c r="N277" s="4"/>
      <c r="O277" s="4">
        <f t="shared" si="185"/>
        <v>0</v>
      </c>
      <c r="P277" s="4">
        <f t="shared" si="122"/>
        <v>200000</v>
      </c>
      <c r="Q277" s="4">
        <f t="shared" si="123"/>
        <v>0</v>
      </c>
      <c r="R277" s="4">
        <f t="shared" si="124"/>
        <v>200000</v>
      </c>
      <c r="S277" s="58"/>
    </row>
    <row r="278" spans="1:19" s="14" customFormat="1" ht="36" x14ac:dyDescent="0.2">
      <c r="A278" s="1"/>
      <c r="B278" s="2"/>
      <c r="C278" s="2"/>
      <c r="D278" s="3" t="s">
        <v>341</v>
      </c>
      <c r="E278" s="4">
        <v>12700000</v>
      </c>
      <c r="F278" s="4">
        <f t="shared" si="187"/>
        <v>-6057829</v>
      </c>
      <c r="G278" s="4">
        <f>-367490-272030-144810-190920-196380-78000-86600-81872-196780-417685-189885-3835377</f>
        <v>-6057829</v>
      </c>
      <c r="H278" s="4"/>
      <c r="I278" s="4">
        <f t="shared" si="188"/>
        <v>6642171</v>
      </c>
      <c r="J278" s="4">
        <v>0</v>
      </c>
      <c r="K278" s="4">
        <f t="shared" si="184"/>
        <v>0</v>
      </c>
      <c r="L278" s="4"/>
      <c r="M278" s="4"/>
      <c r="N278" s="4"/>
      <c r="O278" s="4">
        <f t="shared" si="185"/>
        <v>0</v>
      </c>
      <c r="P278" s="4">
        <f t="shared" si="122"/>
        <v>12700000</v>
      </c>
      <c r="Q278" s="4">
        <f t="shared" si="123"/>
        <v>-6057829</v>
      </c>
      <c r="R278" s="4">
        <f t="shared" si="124"/>
        <v>6642171</v>
      </c>
      <c r="S278" s="58"/>
    </row>
    <row r="279" spans="1:19" s="14" customFormat="1" ht="24" x14ac:dyDescent="0.2">
      <c r="A279" s="1"/>
      <c r="B279" s="2"/>
      <c r="C279" s="2"/>
      <c r="D279" s="3" t="s">
        <v>54</v>
      </c>
      <c r="E279" s="4">
        <v>18000000</v>
      </c>
      <c r="F279" s="4">
        <f t="shared" si="187"/>
        <v>-9340512</v>
      </c>
      <c r="G279" s="4">
        <v>-9340512</v>
      </c>
      <c r="H279" s="4"/>
      <c r="I279" s="4">
        <f t="shared" si="188"/>
        <v>8659488</v>
      </c>
      <c r="J279" s="4">
        <v>0</v>
      </c>
      <c r="K279" s="4">
        <f t="shared" si="184"/>
        <v>0</v>
      </c>
      <c r="L279" s="4"/>
      <c r="M279" s="4"/>
      <c r="N279" s="4"/>
      <c r="O279" s="4">
        <f t="shared" si="185"/>
        <v>0</v>
      </c>
      <c r="P279" s="4">
        <f t="shared" si="122"/>
        <v>18000000</v>
      </c>
      <c r="Q279" s="4">
        <f t="shared" si="123"/>
        <v>-9340512</v>
      </c>
      <c r="R279" s="4">
        <f t="shared" si="124"/>
        <v>8659488</v>
      </c>
      <c r="S279" s="58"/>
    </row>
    <row r="280" spans="1:19" s="14" customFormat="1" ht="12" x14ac:dyDescent="0.2">
      <c r="A280" s="1"/>
      <c r="B280" s="2"/>
      <c r="C280" s="2"/>
      <c r="D280" s="52" t="s">
        <v>342</v>
      </c>
      <c r="E280" s="4">
        <v>800000</v>
      </c>
      <c r="F280" s="4">
        <f t="shared" si="187"/>
        <v>0</v>
      </c>
      <c r="G280" s="4"/>
      <c r="H280" s="4"/>
      <c r="I280" s="4">
        <f t="shared" si="188"/>
        <v>800000</v>
      </c>
      <c r="J280" s="4">
        <v>0</v>
      </c>
      <c r="K280" s="4">
        <f t="shared" si="184"/>
        <v>0</v>
      </c>
      <c r="L280" s="4"/>
      <c r="M280" s="4"/>
      <c r="N280" s="4"/>
      <c r="O280" s="4">
        <f t="shared" si="185"/>
        <v>0</v>
      </c>
      <c r="P280" s="4">
        <f t="shared" si="122"/>
        <v>800000</v>
      </c>
      <c r="Q280" s="4">
        <f t="shared" si="123"/>
        <v>0</v>
      </c>
      <c r="R280" s="4">
        <f t="shared" si="124"/>
        <v>800000</v>
      </c>
      <c r="S280" s="58"/>
    </row>
    <row r="281" spans="1:19" s="14" customFormat="1" ht="12" x14ac:dyDescent="0.2">
      <c r="A281" s="1" t="s">
        <v>120</v>
      </c>
      <c r="B281" s="2" t="s">
        <v>99</v>
      </c>
      <c r="C281" s="2" t="s">
        <v>101</v>
      </c>
      <c r="D281" s="3" t="s">
        <v>100</v>
      </c>
      <c r="E281" s="4">
        <f>80000000-2000000</f>
        <v>78000000</v>
      </c>
      <c r="F281" s="4">
        <f t="shared" si="187"/>
        <v>-1590347</v>
      </c>
      <c r="G281" s="4">
        <f>-100000-400000-250000-93202-190500-49900-49520-133516-119709-55000-100000-49000</f>
        <v>-1590347</v>
      </c>
      <c r="H281" s="4"/>
      <c r="I281" s="4">
        <f t="shared" si="188"/>
        <v>76409653</v>
      </c>
      <c r="J281" s="4">
        <v>0</v>
      </c>
      <c r="K281" s="4">
        <f t="shared" si="184"/>
        <v>0</v>
      </c>
      <c r="L281" s="4"/>
      <c r="M281" s="4"/>
      <c r="N281" s="4"/>
      <c r="O281" s="4">
        <f>J281+K281</f>
        <v>0</v>
      </c>
      <c r="P281" s="4">
        <f t="shared" si="122"/>
        <v>78000000</v>
      </c>
      <c r="Q281" s="4">
        <f t="shared" si="123"/>
        <v>-1590347</v>
      </c>
      <c r="R281" s="4">
        <f t="shared" si="124"/>
        <v>76409653</v>
      </c>
      <c r="S281" s="58"/>
    </row>
    <row r="282" spans="1:19" s="14" customFormat="1" ht="12" x14ac:dyDescent="0.2">
      <c r="A282" s="1" t="s">
        <v>459</v>
      </c>
      <c r="B282" s="2" t="s">
        <v>460</v>
      </c>
      <c r="C282" s="2" t="s">
        <v>13</v>
      </c>
      <c r="D282" s="3" t="s">
        <v>461</v>
      </c>
      <c r="E282" s="4">
        <f>5000000-49000+2000000-1000000-25000-143000-40000</f>
        <v>5743000</v>
      </c>
      <c r="F282" s="4">
        <f t="shared" si="187"/>
        <v>0</v>
      </c>
      <c r="G282" s="4"/>
      <c r="H282" s="4"/>
      <c r="I282" s="4">
        <f t="shared" si="188"/>
        <v>5743000</v>
      </c>
      <c r="J282" s="4">
        <v>0</v>
      </c>
      <c r="K282" s="4">
        <f t="shared" si="184"/>
        <v>0</v>
      </c>
      <c r="L282" s="4"/>
      <c r="M282" s="4"/>
      <c r="N282" s="4"/>
      <c r="O282" s="4">
        <f t="shared" si="185"/>
        <v>0</v>
      </c>
      <c r="P282" s="4">
        <f t="shared" si="122"/>
        <v>5743000</v>
      </c>
      <c r="Q282" s="4">
        <f t="shared" si="123"/>
        <v>0</v>
      </c>
      <c r="R282" s="4">
        <f t="shared" si="124"/>
        <v>5743000</v>
      </c>
      <c r="S282" s="58"/>
    </row>
    <row r="283" spans="1:19" s="14" customFormat="1" ht="12" x14ac:dyDescent="0.2">
      <c r="A283" s="1" t="s">
        <v>182</v>
      </c>
      <c r="B283" s="2" t="s">
        <v>102</v>
      </c>
      <c r="C283" s="2" t="s">
        <v>10</v>
      </c>
      <c r="D283" s="66" t="s">
        <v>12</v>
      </c>
      <c r="E283" s="4">
        <v>64723800</v>
      </c>
      <c r="F283" s="4">
        <f t="shared" si="187"/>
        <v>0</v>
      </c>
      <c r="G283" s="4"/>
      <c r="H283" s="4"/>
      <c r="I283" s="4">
        <f t="shared" si="188"/>
        <v>64723800</v>
      </c>
      <c r="J283" s="4">
        <v>0</v>
      </c>
      <c r="K283" s="4">
        <f t="shared" si="184"/>
        <v>0</v>
      </c>
      <c r="L283" s="4"/>
      <c r="M283" s="4"/>
      <c r="N283" s="4"/>
      <c r="O283" s="4">
        <f t="shared" si="185"/>
        <v>0</v>
      </c>
      <c r="P283" s="4">
        <f t="shared" si="122"/>
        <v>64723800</v>
      </c>
      <c r="Q283" s="4">
        <f t="shared" si="123"/>
        <v>0</v>
      </c>
      <c r="R283" s="4">
        <f t="shared" si="124"/>
        <v>64723800</v>
      </c>
      <c r="S283" s="58"/>
    </row>
    <row r="284" spans="1:19" s="14" customFormat="1" ht="12" x14ac:dyDescent="0.2">
      <c r="A284" s="2" t="s">
        <v>512</v>
      </c>
      <c r="B284" s="1" t="s">
        <v>513</v>
      </c>
      <c r="C284" s="2" t="s">
        <v>10</v>
      </c>
      <c r="D284" s="63" t="s">
        <v>514</v>
      </c>
      <c r="E284" s="4"/>
      <c r="F284" s="4"/>
      <c r="G284" s="4"/>
      <c r="H284" s="4"/>
      <c r="I284" s="4"/>
      <c r="J284" s="4">
        <f>SUM(J286:J289)</f>
        <v>2823502</v>
      </c>
      <c r="K284" s="4">
        <f t="shared" ref="K284:N284" si="189">SUM(K286:K289)</f>
        <v>2471900</v>
      </c>
      <c r="L284" s="4">
        <f t="shared" si="189"/>
        <v>2471900</v>
      </c>
      <c r="M284" s="4">
        <f t="shared" si="189"/>
        <v>0</v>
      </c>
      <c r="N284" s="4">
        <f t="shared" si="189"/>
        <v>2471900</v>
      </c>
      <c r="O284" s="4">
        <f t="shared" ref="O284:O289" si="190">J284+K284</f>
        <v>5295402</v>
      </c>
      <c r="P284" s="4">
        <f t="shared" ref="P284:P289" si="191">E284+J284</f>
        <v>2823502</v>
      </c>
      <c r="Q284" s="4">
        <f t="shared" ref="Q284:Q289" si="192">F284+K284</f>
        <v>2471900</v>
      </c>
      <c r="R284" s="4">
        <f t="shared" ref="R284:R289" si="193">I284+O284</f>
        <v>5295402</v>
      </c>
      <c r="S284" s="58"/>
    </row>
    <row r="285" spans="1:19" s="14" customFormat="1" ht="12" x14ac:dyDescent="0.2">
      <c r="A285" s="2"/>
      <c r="B285" s="1"/>
      <c r="C285" s="2"/>
      <c r="D285" s="63" t="s">
        <v>353</v>
      </c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>
        <f t="shared" si="191"/>
        <v>0</v>
      </c>
      <c r="Q285" s="4">
        <f t="shared" si="192"/>
        <v>0</v>
      </c>
      <c r="R285" s="4">
        <f t="shared" si="193"/>
        <v>0</v>
      </c>
      <c r="S285" s="58"/>
    </row>
    <row r="286" spans="1:19" s="14" customFormat="1" ht="48" x14ac:dyDescent="0.2">
      <c r="A286" s="2"/>
      <c r="B286" s="1"/>
      <c r="C286" s="2"/>
      <c r="D286" s="15" t="s">
        <v>524</v>
      </c>
      <c r="E286" s="4"/>
      <c r="F286" s="4"/>
      <c r="G286" s="4"/>
      <c r="H286" s="4"/>
      <c r="I286" s="4"/>
      <c r="J286" s="4"/>
      <c r="K286" s="4">
        <f t="shared" ref="K286:K289" si="194">M286+N286</f>
        <v>998000</v>
      </c>
      <c r="L286" s="4">
        <f>998000</f>
        <v>998000</v>
      </c>
      <c r="M286" s="4"/>
      <c r="N286" s="4">
        <f>998000</f>
        <v>998000</v>
      </c>
      <c r="O286" s="4">
        <f t="shared" si="190"/>
        <v>998000</v>
      </c>
      <c r="P286" s="4">
        <f t="shared" si="191"/>
        <v>0</v>
      </c>
      <c r="Q286" s="4">
        <f t="shared" si="192"/>
        <v>998000</v>
      </c>
      <c r="R286" s="4">
        <f t="shared" si="193"/>
        <v>998000</v>
      </c>
      <c r="S286" s="58"/>
    </row>
    <row r="287" spans="1:19" s="14" customFormat="1" ht="36" x14ac:dyDescent="0.2">
      <c r="A287" s="2"/>
      <c r="B287" s="1"/>
      <c r="C287" s="2"/>
      <c r="D287" s="15" t="s">
        <v>525</v>
      </c>
      <c r="E287" s="4"/>
      <c r="F287" s="4"/>
      <c r="G287" s="4"/>
      <c r="H287" s="4"/>
      <c r="I287" s="4"/>
      <c r="J287" s="4"/>
      <c r="K287" s="4">
        <f t="shared" si="194"/>
        <v>1000000</v>
      </c>
      <c r="L287" s="4">
        <f>1000000</f>
        <v>1000000</v>
      </c>
      <c r="M287" s="4"/>
      <c r="N287" s="4">
        <f>1000000</f>
        <v>1000000</v>
      </c>
      <c r="O287" s="4">
        <f t="shared" si="190"/>
        <v>1000000</v>
      </c>
      <c r="P287" s="4">
        <f t="shared" si="191"/>
        <v>0</v>
      </c>
      <c r="Q287" s="4">
        <f t="shared" si="192"/>
        <v>1000000</v>
      </c>
      <c r="R287" s="4">
        <f t="shared" si="193"/>
        <v>1000000</v>
      </c>
      <c r="S287" s="58"/>
    </row>
    <row r="288" spans="1:19" s="14" customFormat="1" ht="48" x14ac:dyDescent="0.2">
      <c r="A288" s="2"/>
      <c r="B288" s="1"/>
      <c r="C288" s="2"/>
      <c r="D288" s="15" t="s">
        <v>526</v>
      </c>
      <c r="E288" s="4"/>
      <c r="F288" s="4"/>
      <c r="G288" s="4"/>
      <c r="H288" s="4"/>
      <c r="I288" s="4"/>
      <c r="J288" s="4"/>
      <c r="K288" s="4">
        <f t="shared" si="194"/>
        <v>473900</v>
      </c>
      <c r="L288" s="4">
        <f>473900</f>
        <v>473900</v>
      </c>
      <c r="M288" s="4"/>
      <c r="N288" s="4">
        <f>473900</f>
        <v>473900</v>
      </c>
      <c r="O288" s="4">
        <f t="shared" si="190"/>
        <v>473900</v>
      </c>
      <c r="P288" s="4">
        <f t="shared" si="191"/>
        <v>0</v>
      </c>
      <c r="Q288" s="4">
        <f t="shared" si="192"/>
        <v>473900</v>
      </c>
      <c r="R288" s="4">
        <f t="shared" si="193"/>
        <v>473900</v>
      </c>
      <c r="S288" s="58"/>
    </row>
    <row r="289" spans="1:19" s="14" customFormat="1" ht="60.75" thickBot="1" x14ac:dyDescent="0.25">
      <c r="A289" s="75"/>
      <c r="B289" s="76"/>
      <c r="C289" s="75"/>
      <c r="D289" s="77" t="s">
        <v>527</v>
      </c>
      <c r="E289" s="56"/>
      <c r="F289" s="56"/>
      <c r="G289" s="56"/>
      <c r="H289" s="56"/>
      <c r="I289" s="56"/>
      <c r="J289" s="56">
        <f>2823502</f>
        <v>2823502</v>
      </c>
      <c r="K289" s="56">
        <f t="shared" si="194"/>
        <v>0</v>
      </c>
      <c r="L289" s="56"/>
      <c r="M289" s="56"/>
      <c r="N289" s="56"/>
      <c r="O289" s="56">
        <f t="shared" si="190"/>
        <v>2823502</v>
      </c>
      <c r="P289" s="56">
        <f t="shared" si="191"/>
        <v>2823502</v>
      </c>
      <c r="Q289" s="56">
        <f t="shared" si="192"/>
        <v>0</v>
      </c>
      <c r="R289" s="56">
        <f t="shared" si="193"/>
        <v>2823502</v>
      </c>
      <c r="S289" s="58"/>
    </row>
    <row r="290" spans="1:19" s="55" customFormat="1" ht="15" thickBot="1" x14ac:dyDescent="0.25">
      <c r="A290" s="53"/>
      <c r="B290" s="88" t="s">
        <v>1</v>
      </c>
      <c r="C290" s="88"/>
      <c r="D290" s="88"/>
      <c r="E290" s="54">
        <f t="shared" ref="E290:R290" si="195">E10+E53+E92+E106+E139+E143+E156+E167+E180+E190+E204+E214+E221+E231+E242+E259+E265+E271</f>
        <v>2512123903</v>
      </c>
      <c r="F290" s="54">
        <f t="shared" si="195"/>
        <v>-27517699.73</v>
      </c>
      <c r="G290" s="54">
        <f t="shared" si="195"/>
        <v>-27517699.73</v>
      </c>
      <c r="H290" s="54">
        <f t="shared" si="195"/>
        <v>0</v>
      </c>
      <c r="I290" s="54">
        <f t="shared" si="195"/>
        <v>2484631203.2700005</v>
      </c>
      <c r="J290" s="54">
        <f t="shared" si="195"/>
        <v>967182500</v>
      </c>
      <c r="K290" s="54">
        <f t="shared" si="195"/>
        <v>121010816</v>
      </c>
      <c r="L290" s="54">
        <f t="shared" si="195"/>
        <v>115055592</v>
      </c>
      <c r="M290" s="54">
        <f t="shared" si="195"/>
        <v>1123700</v>
      </c>
      <c r="N290" s="54">
        <f t="shared" si="195"/>
        <v>119887116</v>
      </c>
      <c r="O290" s="54">
        <f t="shared" si="195"/>
        <v>1088193316</v>
      </c>
      <c r="P290" s="54">
        <f t="shared" si="195"/>
        <v>3479331403</v>
      </c>
      <c r="Q290" s="54">
        <f t="shared" si="195"/>
        <v>93493116.270000011</v>
      </c>
      <c r="R290" s="57">
        <f t="shared" si="195"/>
        <v>3572824519.2700005</v>
      </c>
      <c r="S290" s="58"/>
    </row>
    <row r="291" spans="1:19" s="6" customFormat="1" ht="15.75" x14ac:dyDescent="0.25">
      <c r="A291" s="5"/>
      <c r="B291" s="8"/>
      <c r="C291" s="8"/>
      <c r="D291" s="23"/>
      <c r="E291" s="24"/>
      <c r="F291" s="24"/>
      <c r="G291" s="24"/>
      <c r="H291" s="24"/>
      <c r="I291" s="25"/>
      <c r="J291" s="26"/>
      <c r="K291" s="27"/>
      <c r="L291" s="28"/>
      <c r="M291" s="28"/>
      <c r="N291" s="28"/>
      <c r="O291" s="60"/>
      <c r="P291" s="5"/>
      <c r="Q291" s="5"/>
      <c r="R291" s="30"/>
    </row>
    <row r="292" spans="1:19" s="6" customFormat="1" ht="18.75" x14ac:dyDescent="0.3">
      <c r="A292" s="5"/>
      <c r="B292" s="78" t="s">
        <v>354</v>
      </c>
      <c r="C292" s="79"/>
      <c r="D292" s="79"/>
      <c r="E292" s="79"/>
      <c r="F292" s="78"/>
      <c r="G292" s="79"/>
      <c r="H292" s="78"/>
      <c r="I292" s="79"/>
      <c r="J292" s="79"/>
      <c r="K292" s="79"/>
      <c r="L292" s="78" t="s">
        <v>462</v>
      </c>
      <c r="M292" s="79"/>
      <c r="N292" s="29"/>
      <c r="O292" s="29"/>
      <c r="P292" s="29"/>
      <c r="Q292" s="30"/>
      <c r="R292" s="36"/>
    </row>
    <row r="293" spans="1:19" ht="15.75" x14ac:dyDescent="0.25">
      <c r="D293" s="31"/>
      <c r="E293" s="32"/>
      <c r="F293" s="33"/>
      <c r="G293" s="33"/>
      <c r="H293" s="33"/>
      <c r="I293" s="34"/>
      <c r="J293" s="34"/>
      <c r="K293" s="35"/>
      <c r="L293" s="29"/>
      <c r="M293" s="29"/>
      <c r="N293" s="29"/>
      <c r="O293" s="40"/>
      <c r="P293" s="29"/>
      <c r="R293" s="36"/>
    </row>
    <row r="294" spans="1:19" ht="12.75" x14ac:dyDescent="0.2">
      <c r="D294" s="31"/>
      <c r="E294" s="38"/>
      <c r="F294" s="38"/>
      <c r="G294" s="38"/>
      <c r="H294" s="38"/>
      <c r="I294" s="34"/>
      <c r="J294" s="34"/>
      <c r="K294" s="39"/>
      <c r="L294" s="39"/>
      <c r="M294" s="39"/>
      <c r="N294" s="39"/>
      <c r="O294" s="40"/>
      <c r="R294" s="41"/>
    </row>
    <row r="295" spans="1:19" x14ac:dyDescent="0.2">
      <c r="D295" s="31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3"/>
    </row>
    <row r="296" spans="1:19" x14ac:dyDescent="0.2">
      <c r="D296" s="31"/>
      <c r="E296" s="33"/>
      <c r="F296" s="44"/>
      <c r="G296" s="31"/>
      <c r="H296" s="31"/>
      <c r="I296" s="42"/>
      <c r="J296" s="31"/>
      <c r="K296" s="39"/>
      <c r="L296" s="39"/>
      <c r="M296" s="39"/>
      <c r="N296" s="39"/>
      <c r="O296" s="39"/>
    </row>
    <row r="297" spans="1:19" x14ac:dyDescent="0.2">
      <c r="D297" s="31"/>
      <c r="E297" s="33"/>
      <c r="F297" s="44"/>
      <c r="G297" s="31"/>
      <c r="H297" s="31"/>
      <c r="I297" s="45"/>
      <c r="J297" s="31"/>
      <c r="K297" s="39"/>
      <c r="L297" s="39"/>
      <c r="M297" s="39"/>
      <c r="N297" s="39"/>
      <c r="O297" s="39"/>
    </row>
    <row r="298" spans="1:19" x14ac:dyDescent="0.2">
      <c r="D298" s="31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8"/>
    </row>
    <row r="299" spans="1:19" x14ac:dyDescent="0.2">
      <c r="D299" s="31"/>
      <c r="E299" s="31"/>
      <c r="F299" s="44"/>
      <c r="G299" s="31"/>
      <c r="H299" s="31"/>
      <c r="I299" s="34"/>
      <c r="J299" s="34"/>
      <c r="K299" s="34"/>
      <c r="L299" s="34"/>
      <c r="M299" s="34"/>
      <c r="N299" s="34"/>
      <c r="O299" s="34"/>
      <c r="P299" s="34"/>
      <c r="Q299" s="34"/>
      <c r="R299" s="34"/>
    </row>
    <row r="300" spans="1:19" x14ac:dyDescent="0.2">
      <c r="D300" s="31"/>
      <c r="E300" s="31"/>
      <c r="F300" s="31"/>
      <c r="G300" s="31"/>
      <c r="H300" s="31"/>
      <c r="I300" s="31"/>
      <c r="J300" s="31"/>
    </row>
    <row r="301" spans="1:19" x14ac:dyDescent="0.2">
      <c r="D301" s="31"/>
      <c r="E301" s="31"/>
      <c r="F301" s="31"/>
      <c r="G301" s="31"/>
      <c r="H301" s="31"/>
      <c r="I301" s="31"/>
      <c r="J301" s="31"/>
    </row>
    <row r="302" spans="1:19" x14ac:dyDescent="0.2">
      <c r="D302" s="31"/>
      <c r="E302" s="34"/>
      <c r="F302" s="42"/>
      <c r="G302" s="31"/>
      <c r="H302" s="31"/>
      <c r="I302" s="31"/>
      <c r="J302" s="34"/>
    </row>
    <row r="303" spans="1:19" x14ac:dyDescent="0.2">
      <c r="D303" s="31"/>
      <c r="E303" s="31"/>
      <c r="F303" s="31"/>
      <c r="G303" s="31"/>
      <c r="H303" s="31"/>
      <c r="I303" s="31"/>
      <c r="J303" s="31"/>
      <c r="N303" s="47"/>
    </row>
    <row r="304" spans="1:19" x14ac:dyDescent="0.2">
      <c r="D304" s="31"/>
      <c r="E304" s="34"/>
      <c r="F304" s="31"/>
      <c r="G304" s="31"/>
      <c r="H304" s="31"/>
      <c r="I304" s="31"/>
      <c r="J304" s="31"/>
      <c r="P304" s="30"/>
    </row>
    <row r="305" spans="4:12" x14ac:dyDescent="0.2">
      <c r="D305" s="31"/>
      <c r="E305" s="31"/>
      <c r="F305" s="31"/>
      <c r="G305" s="31"/>
      <c r="H305" s="31"/>
      <c r="I305" s="31"/>
      <c r="J305" s="31"/>
    </row>
    <row r="306" spans="4:12" x14ac:dyDescent="0.2">
      <c r="D306" s="31"/>
      <c r="E306" s="31"/>
      <c r="F306" s="34"/>
      <c r="G306" s="31"/>
      <c r="H306" s="31"/>
      <c r="I306" s="31"/>
      <c r="J306" s="31"/>
    </row>
    <row r="307" spans="4:12" x14ac:dyDescent="0.2">
      <c r="D307" s="31"/>
      <c r="E307" s="31"/>
      <c r="F307" s="31"/>
      <c r="G307" s="31"/>
      <c r="H307" s="31"/>
      <c r="I307" s="31"/>
      <c r="J307" s="31"/>
      <c r="L307" s="48"/>
    </row>
    <row r="308" spans="4:12" x14ac:dyDescent="0.2">
      <c r="D308" s="31"/>
      <c r="E308" s="31"/>
      <c r="F308" s="31"/>
      <c r="G308" s="34"/>
      <c r="H308" s="31"/>
      <c r="I308" s="31"/>
      <c r="J308" s="31"/>
    </row>
    <row r="309" spans="4:12" x14ac:dyDescent="0.2">
      <c r="D309" s="31"/>
      <c r="E309" s="31"/>
      <c r="F309" s="31"/>
      <c r="G309" s="31"/>
      <c r="H309" s="31"/>
      <c r="I309" s="31"/>
      <c r="J309" s="31"/>
    </row>
    <row r="310" spans="4:12" x14ac:dyDescent="0.2">
      <c r="D310" s="31"/>
      <c r="E310" s="31"/>
      <c r="F310" s="34"/>
      <c r="G310" s="31"/>
      <c r="H310" s="31"/>
      <c r="I310" s="31"/>
      <c r="J310" s="31"/>
    </row>
    <row r="311" spans="4:12" x14ac:dyDescent="0.2">
      <c r="D311" s="31"/>
      <c r="E311" s="31"/>
      <c r="F311" s="31"/>
      <c r="G311" s="31"/>
      <c r="H311" s="31"/>
      <c r="I311" s="31"/>
      <c r="J311" s="31"/>
    </row>
    <row r="312" spans="4:12" x14ac:dyDescent="0.2">
      <c r="D312" s="31"/>
      <c r="E312" s="31"/>
      <c r="F312" s="31"/>
      <c r="G312" s="31"/>
      <c r="H312" s="31"/>
      <c r="I312" s="31"/>
      <c r="J312" s="31"/>
    </row>
    <row r="315" spans="4:12" x14ac:dyDescent="0.2">
      <c r="G315" s="48"/>
      <c r="H315" s="48"/>
    </row>
    <row r="316" spans="4:12" x14ac:dyDescent="0.2">
      <c r="G316" s="48"/>
    </row>
    <row r="319" spans="4:12" x14ac:dyDescent="0.2">
      <c r="E319" s="48"/>
      <c r="F319" s="48"/>
      <c r="G319" s="48"/>
      <c r="H319" s="48"/>
    </row>
  </sheetData>
  <mergeCells count="27">
    <mergeCell ref="P6:R8"/>
    <mergeCell ref="P4:Q4"/>
    <mergeCell ref="B290:D290"/>
    <mergeCell ref="G8:G9"/>
    <mergeCell ref="H8:H9"/>
    <mergeCell ref="M8:M9"/>
    <mergeCell ref="N8:N9"/>
    <mergeCell ref="E7:E9"/>
    <mergeCell ref="J7:J9"/>
    <mergeCell ref="J6:O6"/>
    <mergeCell ref="F7:G7"/>
    <mergeCell ref="F8:F9"/>
    <mergeCell ref="K7:N7"/>
    <mergeCell ref="K8:K9"/>
    <mergeCell ref="L8:L9"/>
    <mergeCell ref="B1:N1"/>
    <mergeCell ref="B2:N2"/>
    <mergeCell ref="O7:O9"/>
    <mergeCell ref="N4:O4"/>
    <mergeCell ref="A5:B5"/>
    <mergeCell ref="A6:A9"/>
    <mergeCell ref="B6:B9"/>
    <mergeCell ref="D6:D9"/>
    <mergeCell ref="I7:I9"/>
    <mergeCell ref="C6:C9"/>
    <mergeCell ref="E6:I6"/>
    <mergeCell ref="C5:D5"/>
  </mergeCells>
  <phoneticPr fontId="5" type="noConversion"/>
  <pageMargins left="0.39370078740157483" right="0.19685039370078741" top="1.3779527559055118" bottom="0.19685039370078741" header="0.31496062992125984" footer="0.31496062992125984"/>
  <pageSetup paperSize="9" scale="52" fitToHeight="30" orientation="landscape" r:id="rId1"/>
  <rowBreaks count="2" manualBreakCount="2">
    <brk id="238" max="17" man="1"/>
    <brk id="270" max="17" man="1"/>
  </rowBreaks>
  <ignoredErrors>
    <ignoredError sqref="I60:I63 F60:F63 F74 I7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Motruk</dc:creator>
  <cp:lastModifiedBy>Користувач Windows</cp:lastModifiedBy>
  <cp:lastPrinted>2021-04-23T10:45:53Z</cp:lastPrinted>
  <dcterms:created xsi:type="dcterms:W3CDTF">2016-12-02T14:24:23Z</dcterms:created>
  <dcterms:modified xsi:type="dcterms:W3CDTF">2021-04-23T11:23:10Z</dcterms:modified>
</cp:coreProperties>
</file>