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755"/>
  </bookViews>
  <sheets>
    <sheet name="Аркуш1" sheetId="1" r:id="rId1"/>
    <sheet name="Аркуш2" sheetId="2" r:id="rId2"/>
    <sheet name="Аркуш3" sheetId="3" r:id="rId3"/>
  </sheets>
  <definedNames>
    <definedName name="_xlnm.Print_Area" localSheetId="0">Аркуш1!$A$1:$R$24</definedName>
  </definedNames>
  <calcPr calcId="144525"/>
</workbook>
</file>

<file path=xl/calcChain.xml><?xml version="1.0" encoding="utf-8"?>
<calcChain xmlns="http://schemas.openxmlformats.org/spreadsheetml/2006/main">
  <c r="N24" i="1" l="1"/>
  <c r="L24" i="1"/>
  <c r="F15" i="1"/>
  <c r="H15" i="1" s="1"/>
  <c r="I15" i="1" s="1"/>
  <c r="J14" i="1" s="1"/>
  <c r="M14" i="1"/>
  <c r="O14" i="1" s="1"/>
  <c r="F14" i="1"/>
  <c r="H14" i="1" s="1"/>
  <c r="I14" i="1" s="1"/>
  <c r="M22" i="1"/>
  <c r="O22" i="1" s="1"/>
  <c r="M20" i="1"/>
  <c r="O20" i="1" s="1"/>
  <c r="M18" i="1"/>
  <c r="O18" i="1" s="1"/>
  <c r="M16" i="1"/>
  <c r="O16" i="1" s="1"/>
  <c r="M12" i="1"/>
  <c r="O12" i="1" s="1"/>
  <c r="F23" i="1"/>
  <c r="G23" i="1" s="1"/>
  <c r="F21" i="1"/>
  <c r="G21" i="1" s="1"/>
  <c r="F19" i="1"/>
  <c r="G19" i="1" s="1"/>
  <c r="F17" i="1"/>
  <c r="H17" i="1" s="1"/>
  <c r="I17" i="1" s="1"/>
  <c r="J16" i="1" s="1"/>
  <c r="F13" i="1"/>
  <c r="H13" i="1" s="1"/>
  <c r="I13" i="1" s="1"/>
  <c r="J12" i="1" s="1"/>
  <c r="F22" i="1"/>
  <c r="F20" i="1"/>
  <c r="G20" i="1" s="1"/>
  <c r="F18" i="1"/>
  <c r="K14" i="1" l="1"/>
  <c r="M24" i="1"/>
  <c r="O24" i="1" s="1"/>
  <c r="P14" i="1"/>
  <c r="Q14" i="1" s="1"/>
  <c r="H23" i="1"/>
  <c r="I23" i="1" s="1"/>
  <c r="J22" i="1" s="1"/>
  <c r="H21" i="1"/>
  <c r="I21" i="1" s="1"/>
  <c r="J20" i="1" s="1"/>
  <c r="H19" i="1"/>
  <c r="I19" i="1" s="1"/>
  <c r="G22" i="1"/>
  <c r="H22" i="1" s="1"/>
  <c r="I22" i="1" s="1"/>
  <c r="H20" i="1"/>
  <c r="I20" i="1" s="1"/>
  <c r="G18" i="1"/>
  <c r="H18" i="1" s="1"/>
  <c r="I18" i="1" s="1"/>
  <c r="K22" i="1" l="1"/>
  <c r="K20" i="1"/>
  <c r="J18" i="1"/>
  <c r="J24" i="1" s="1"/>
  <c r="R14" i="1"/>
  <c r="F16" i="1"/>
  <c r="H16" i="1" s="1"/>
  <c r="I16" i="1" s="1"/>
  <c r="F12" i="1"/>
  <c r="H12" i="1" s="1"/>
  <c r="I12" i="1" s="1"/>
  <c r="I24" i="1" l="1"/>
  <c r="P22" i="1"/>
  <c r="K24" i="1"/>
  <c r="K12" i="1"/>
  <c r="K16" i="1"/>
  <c r="Q22" i="1"/>
  <c r="P20" i="1"/>
  <c r="K18" i="1"/>
  <c r="P18" i="1" s="1"/>
  <c r="R22" i="1" l="1"/>
  <c r="Q18" i="1"/>
  <c r="R18" i="1" s="1"/>
  <c r="Q20" i="1"/>
  <c r="R20" i="1" s="1"/>
  <c r="P16" i="1"/>
  <c r="P12" i="1"/>
  <c r="P24" i="1" l="1"/>
  <c r="Q12" i="1"/>
  <c r="R12" i="1" s="1"/>
  <c r="Q16" i="1"/>
  <c r="R16" i="1" s="1"/>
  <c r="Q24" i="1" l="1"/>
  <c r="R24" i="1" s="1"/>
</calcChain>
</file>

<file path=xl/sharedStrings.xml><?xml version="1.0" encoding="utf-8"?>
<sst xmlns="http://schemas.openxmlformats.org/spreadsheetml/2006/main" count="33" uniqueCount="31">
  <si>
    <t>Мінімальна зарплата, грн</t>
  </si>
  <si>
    <t>Коефіцієнт 1, зг. з галузевою угодою</t>
  </si>
  <si>
    <t>120% до розміру мін. ЗП роб.1-го розряду</t>
  </si>
  <si>
    <t>Основна ЗП з коефіцієнтами за місяць, грн</t>
  </si>
  <si>
    <t>Додаткова зарплата (премії, надбавки) ЗП осн*0,2</t>
  </si>
  <si>
    <t>Коефіцієнт 2,  (премія, надбавки зг. з законд. про опл. праці)</t>
  </si>
  <si>
    <t>Новий річний фонд оплати праці всіх двірників</t>
  </si>
  <si>
    <t>Коефіцієнт зміни ЗП</t>
  </si>
  <si>
    <t>Нові відрахуння на ЗП</t>
  </si>
  <si>
    <t>Коефіцієнт зміни витрат = 1+Пзп*(Взн-Взд)/Взд</t>
  </si>
  <si>
    <t xml:space="preserve">Річна ЗП нова 1 працівника, </t>
  </si>
  <si>
    <t>Місячна ЗП 1 працівника= Оос+Од</t>
  </si>
  <si>
    <r>
      <t xml:space="preserve">Річна ЗП </t>
    </r>
    <r>
      <rPr>
        <b/>
        <sz val="11"/>
        <color theme="1"/>
        <rFont val="Calibri"/>
        <family val="2"/>
        <charset val="204"/>
        <scheme val="minor"/>
      </rPr>
      <t>дюча</t>
    </r>
    <r>
      <rPr>
        <sz val="11"/>
        <color theme="1"/>
        <rFont val="Calibri"/>
        <family val="2"/>
        <charset val="204"/>
        <scheme val="minor"/>
      </rPr>
      <t xml:space="preserve"> 1 працівника, </t>
    </r>
  </si>
  <si>
    <t>Види послуг</t>
  </si>
  <si>
    <t>Прибирання прибудинкових, діюча ЗП</t>
  </si>
  <si>
    <t>Прибирання прибудинкових, нова ЗП</t>
  </si>
  <si>
    <t>Прибирання дитячих майданчиків, діюча ЗП</t>
  </si>
  <si>
    <t>Прибирання дитячих майданчиків, нова ЗП</t>
  </si>
  <si>
    <t>Прибирання сходових, діяюча ЗП</t>
  </si>
  <si>
    <t>Прибирання сходових,нова ЗП</t>
  </si>
  <si>
    <t>Обслуговування електромереж,діюча ЗП</t>
  </si>
  <si>
    <t>Обслуговування електромереж,нова ЗП</t>
  </si>
  <si>
    <t>Облсуговування мереж, діюча ЗП</t>
  </si>
  <si>
    <t>Облсуговування мереж, нова ЗП</t>
  </si>
  <si>
    <t>Діючі відрахуння на ЗП, грн</t>
  </si>
  <si>
    <t>Загальні витрати за калькуляцією на рік, грн</t>
  </si>
  <si>
    <t>Питома вага зарплати з відрахуваннями у діючих витратах, Пзп</t>
  </si>
  <si>
    <t>Діючий річний фонд ЗП, грн</t>
  </si>
  <si>
    <t>Розрахунок коефіцієнта зміни витрат, пов'язаних з наданням послуг у зв'язку із збільшення мінімальної заробітної плати для коригування тарифів з утримання житлових будинків</t>
  </si>
  <si>
    <t>Всього:</t>
  </si>
  <si>
    <t>Комунальне підприємство "Муніципальна інвестиційна управляюча компанія"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</si>
</sst>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8">
    <xf numFmtId="0" fontId="0" fillId="0" borderId="0" xfId="0"/>
    <xf numFmtId="164" fontId="1" fillId="0" borderId="1" xfId="1" applyFont="1" applyFill="1" applyBorder="1"/>
    <xf numFmtId="0" fontId="0" fillId="0" borderId="0" xfId="0" applyFont="1" applyFill="1"/>
    <xf numFmtId="0" fontId="0" fillId="0" borderId="1" xfId="0" applyFont="1" applyFill="1" applyBorder="1"/>
    <xf numFmtId="2" fontId="0" fillId="0" borderId="1" xfId="0" applyNumberFormat="1" applyFont="1" applyFill="1" applyBorder="1"/>
    <xf numFmtId="164" fontId="0" fillId="0" borderId="1" xfId="1" applyFont="1" applyFill="1" applyBorder="1"/>
    <xf numFmtId="164" fontId="0" fillId="0" borderId="1" xfId="0" applyNumberFormat="1" applyFont="1" applyFill="1" applyBorder="1"/>
    <xf numFmtId="0" fontId="0" fillId="0" borderId="2" xfId="0" applyFill="1" applyBorder="1"/>
    <xf numFmtId="164" fontId="0" fillId="0" borderId="3" xfId="0" applyNumberFormat="1" applyFont="1" applyFill="1" applyBorder="1"/>
    <xf numFmtId="0" fontId="0" fillId="0" borderId="3" xfId="0" applyFont="1" applyFill="1" applyBorder="1"/>
    <xf numFmtId="0" fontId="0" fillId="0" borderId="4" xfId="0" applyFill="1" applyBorder="1"/>
    <xf numFmtId="0" fontId="0" fillId="0" borderId="5" xfId="0" applyFont="1" applyFill="1" applyBorder="1"/>
    <xf numFmtId="2" fontId="0" fillId="0" borderId="5" xfId="0" applyNumberFormat="1" applyFont="1" applyFill="1" applyBorder="1"/>
    <xf numFmtId="0" fontId="0" fillId="0" borderId="6" xfId="0" applyFont="1" applyFill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" fillId="0" borderId="0" xfId="0" applyFont="1" applyFill="1"/>
    <xf numFmtId="0" fontId="0" fillId="0" borderId="8" xfId="0" applyFont="1" applyFill="1" applyBorder="1" applyAlignment="1">
      <alignment horizontal="center" vertical="center" textRotation="89" wrapText="1"/>
    </xf>
    <xf numFmtId="0" fontId="1" fillId="0" borderId="8" xfId="0" applyFont="1" applyFill="1" applyBorder="1" applyAlignment="1">
      <alignment horizontal="center" vertical="center" textRotation="89" wrapText="1"/>
    </xf>
    <xf numFmtId="0" fontId="1" fillId="0" borderId="8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textRotation="90" wrapText="1"/>
    </xf>
    <xf numFmtId="164" fontId="3" fillId="0" borderId="1" xfId="1" applyFont="1" applyFill="1" applyBorder="1"/>
    <xf numFmtId="164" fontId="1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_р_._-;\-* #,##0.00_р_._-;_-* &quot;-&quot;??_р_._-;_-@_-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border outline="0">
        <top style="medium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447675</xdr:colOff>
      <xdr:row>0</xdr:row>
      <xdr:rowOff>85725</xdr:rowOff>
    </xdr:from>
    <xdr:to>
      <xdr:col>17</xdr:col>
      <xdr:colOff>628650</xdr:colOff>
      <xdr:row>6</xdr:row>
      <xdr:rowOff>85725</xdr:rowOff>
    </xdr:to>
    <xdr:sp macro="" textlink="">
      <xdr:nvSpPr>
        <xdr:cNvPr id="2" name="TextBox 1"/>
        <xdr:cNvSpPr txBox="1"/>
      </xdr:nvSpPr>
      <xdr:spPr>
        <a:xfrm>
          <a:off x="11791950" y="85725"/>
          <a:ext cx="3048000" cy="1143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uk-UA" sz="1100"/>
            <a:t>"Затверджую"</a:t>
          </a:r>
        </a:p>
        <a:p>
          <a:pPr algn="ctr"/>
          <a:r>
            <a:rPr lang="uk-UA" sz="1100"/>
            <a:t>"_____" ___________________ 2016 р.</a:t>
          </a:r>
        </a:p>
        <a:p>
          <a:pPr algn="ctr"/>
          <a:r>
            <a:rPr lang="uk-UA" sz="1100"/>
            <a:t>Директор КП "Муніципальна інвестиційна управляюча компанія" </a:t>
          </a:r>
        </a:p>
        <a:p>
          <a:pPr algn="ctr"/>
          <a:r>
            <a:rPr lang="uk-UA" sz="1100"/>
            <a:t/>
          </a:r>
          <a:br>
            <a:rPr lang="uk-UA" sz="1100"/>
          </a:br>
          <a:r>
            <a:rPr lang="uk-UA" sz="1100"/>
            <a:t>__________________________Джус М.Д.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Таблица1" displayName="Таблица1" ref="A11:R24" totalsRowShown="0" headerRowDxfId="16" headerRowBorderDxfId="15" tableBorderDxfId="14">
  <autoFilter ref="A11:R24"/>
  <tableColumns count="18">
    <tableColumn id="1" name="Види послуг" dataDxfId="13"/>
    <tableColumn id="2" name="Мінімальна зарплата, грн" dataDxfId="12"/>
    <tableColumn id="3" name="Коефіцієнт 1, зг. з галузевою угодою" dataDxfId="11"/>
    <tableColumn id="4" name="Коефіцієнт 2,  (премія, надбавки зг. з законд. про опл. праці)" dataDxfId="10"/>
    <tableColumn id="5" name="120% до розміру мін. ЗП роб.1-го розряду" dataDxfId="9"/>
    <tableColumn id="6" name="Основна ЗП з коефіцієнтами за місяць, грн" dataDxfId="8"/>
    <tableColumn id="7" name="Додаткова зарплата (премії, надбавки) ЗП осн*0,2" dataDxfId="7"/>
    <tableColumn id="8" name="Місячна ЗП 1 працівника= Оос+Од" dataDxfId="6"/>
    <tableColumn id="9" name="Річна ЗП дюча 1 працівника, " dataDxfId="5"/>
    <tableColumn id="10" name="Річна ЗП нова 1 працівника, " dataDxfId="4"/>
    <tableColumn id="12" name="Коефіцієнт зміни ЗП" dataDxfId="3" dataCellStyle="Финансовый"/>
    <tableColumn id="13" name="Діючий річний фонд ЗП, грн"/>
    <tableColumn id="14" name="Діючі відрахуння на ЗП, грн"/>
    <tableColumn id="15" name="Загальні витрати за калькуляцією на рік, грн"/>
    <tableColumn id="16" name="Питома вага зарплати з відрахуваннями у діючих витратах, Пзп" dataDxfId="2" dataCellStyle="Финансовый"/>
    <tableColumn id="17" name="Новий річний фонд оплати праці всіх двірників"/>
    <tableColumn id="18" name="Нові відрахуння на ЗП" dataDxfId="1"/>
    <tableColumn id="19" name="Коефіцієнт зміни витрат = 1+Пзп*(Взн-Взд)/Взд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R24"/>
  <sheetViews>
    <sheetView tabSelected="1" topLeftCell="A2" workbookViewId="0">
      <selection activeCell="D11" sqref="D11"/>
    </sheetView>
  </sheetViews>
  <sheetFormatPr defaultRowHeight="15" x14ac:dyDescent="0.25"/>
  <cols>
    <col min="1" max="1" width="40.7109375" style="2" customWidth="1"/>
    <col min="2" max="2" width="10.5703125" style="2" customWidth="1"/>
    <col min="3" max="3" width="7" style="2" customWidth="1"/>
    <col min="4" max="4" width="8.7109375" style="2" customWidth="1"/>
    <col min="5" max="5" width="5.42578125" style="2" customWidth="1"/>
    <col min="6" max="6" width="13.140625" style="2" customWidth="1"/>
    <col min="7" max="7" width="14" style="2" customWidth="1"/>
    <col min="8" max="8" width="12.28515625" style="2" customWidth="1"/>
    <col min="9" max="9" width="13.5703125" style="2" customWidth="1"/>
    <col min="10" max="10" width="14.7109375" style="2" customWidth="1"/>
    <col min="11" max="11" width="7.5703125" style="2" customWidth="1"/>
    <col min="12" max="12" width="16.42578125" style="2" customWidth="1"/>
    <col min="13" max="13" width="15.42578125" style="2" customWidth="1"/>
    <col min="14" max="14" width="16.5703125" style="2" customWidth="1"/>
    <col min="15" max="15" width="10.28515625" style="2" customWidth="1"/>
    <col min="16" max="16" width="17.28515625" style="2" customWidth="1"/>
    <col min="17" max="17" width="16" style="2" customWidth="1"/>
    <col min="18" max="18" width="14" style="2" customWidth="1"/>
    <col min="19" max="16384" width="9.140625" style="2"/>
  </cols>
  <sheetData>
    <row r="7" spans="1:18" ht="15" customHeight="1" x14ac:dyDescent="0.3"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18" ht="24" customHeight="1" x14ac:dyDescent="0.35">
      <c r="A8" s="26" t="s">
        <v>30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</row>
    <row r="9" spans="1:18" ht="30.75" customHeight="1" x14ac:dyDescent="0.25">
      <c r="A9" s="27" t="s">
        <v>28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1" spans="1:18" ht="133.5" customHeight="1" x14ac:dyDescent="0.25">
      <c r="A11" s="14" t="s">
        <v>13</v>
      </c>
      <c r="B11" s="15" t="s">
        <v>0</v>
      </c>
      <c r="C11" s="19" t="s">
        <v>1</v>
      </c>
      <c r="D11" s="19" t="s">
        <v>5</v>
      </c>
      <c r="E11" s="19" t="s">
        <v>2</v>
      </c>
      <c r="F11" s="16" t="s">
        <v>3</v>
      </c>
      <c r="G11" s="16" t="s">
        <v>4</v>
      </c>
      <c r="H11" s="17" t="s">
        <v>11</v>
      </c>
      <c r="I11" s="17" t="s">
        <v>12</v>
      </c>
      <c r="J11" s="17" t="s">
        <v>10</v>
      </c>
      <c r="K11" s="20" t="s">
        <v>7</v>
      </c>
      <c r="L11" s="15" t="s">
        <v>27</v>
      </c>
      <c r="M11" s="15" t="s">
        <v>24</v>
      </c>
      <c r="N11" s="15" t="s">
        <v>25</v>
      </c>
      <c r="O11" s="21" t="s">
        <v>26</v>
      </c>
      <c r="P11" s="15" t="s">
        <v>6</v>
      </c>
      <c r="Q11" s="15" t="s">
        <v>8</v>
      </c>
      <c r="R11" s="22" t="s">
        <v>9</v>
      </c>
    </row>
    <row r="12" spans="1:18" x14ac:dyDescent="0.25">
      <c r="A12" s="7" t="s">
        <v>14</v>
      </c>
      <c r="B12" s="3">
        <v>1378</v>
      </c>
      <c r="C12" s="3">
        <v>1.2</v>
      </c>
      <c r="D12" s="3">
        <v>1.2</v>
      </c>
      <c r="E12" s="3"/>
      <c r="F12" s="4">
        <f t="shared" ref="F12:F17" si="0">B12*C12*D12</f>
        <v>1984.3199999999997</v>
      </c>
      <c r="G12" s="4">
        <v>0</v>
      </c>
      <c r="H12" s="4">
        <f t="shared" ref="H12:H23" si="1">F12+G12</f>
        <v>1984.3199999999997</v>
      </c>
      <c r="I12" s="4">
        <f t="shared" ref="I12:I23" si="2">H12*12</f>
        <v>23811.839999999997</v>
      </c>
      <c r="J12" s="4">
        <f>I13</f>
        <v>55296</v>
      </c>
      <c r="K12" s="5">
        <f>J12/I12</f>
        <v>2.3222060957910018</v>
      </c>
      <c r="L12" s="23">
        <v>5562780.79</v>
      </c>
      <c r="M12" s="23">
        <f>L12*0.22</f>
        <v>1223811.7738000001</v>
      </c>
      <c r="N12" s="23">
        <v>10061022.640000001</v>
      </c>
      <c r="O12" s="23">
        <f>(L12+M12)/N12</f>
        <v>0.67454301681205631</v>
      </c>
      <c r="P12" s="23">
        <f>L12*K12</f>
        <v>12917923.460087085</v>
      </c>
      <c r="Q12" s="6">
        <f>P12*0.22</f>
        <v>2841943.1612191587</v>
      </c>
      <c r="R12" s="8">
        <f>1+O12*(P12+Q12-L12-M12)/(L12+M12)</f>
        <v>1.8918848887021533</v>
      </c>
    </row>
    <row r="13" spans="1:18" x14ac:dyDescent="0.25">
      <c r="A13" s="7" t="s">
        <v>15</v>
      </c>
      <c r="B13" s="3">
        <v>3200</v>
      </c>
      <c r="C13" s="3">
        <v>1.2</v>
      </c>
      <c r="D13" s="3">
        <v>1.2</v>
      </c>
      <c r="E13" s="3"/>
      <c r="F13" s="4">
        <f t="shared" si="0"/>
        <v>4608</v>
      </c>
      <c r="G13" s="4">
        <v>0</v>
      </c>
      <c r="H13" s="4">
        <f t="shared" si="1"/>
        <v>4608</v>
      </c>
      <c r="I13" s="4">
        <f t="shared" si="2"/>
        <v>55296</v>
      </c>
      <c r="J13" s="4"/>
      <c r="K13" s="4"/>
      <c r="L13" s="4"/>
      <c r="M13" s="4"/>
      <c r="N13" s="3"/>
      <c r="O13" s="3"/>
      <c r="P13" s="3"/>
      <c r="Q13" s="3"/>
      <c r="R13" s="9"/>
    </row>
    <row r="14" spans="1:18" x14ac:dyDescent="0.25">
      <c r="A14" s="7" t="s">
        <v>16</v>
      </c>
      <c r="B14" s="3">
        <v>1378</v>
      </c>
      <c r="C14" s="3">
        <v>1.2</v>
      </c>
      <c r="D14" s="3">
        <v>1.2</v>
      </c>
      <c r="E14" s="3"/>
      <c r="F14" s="4">
        <f t="shared" si="0"/>
        <v>1984.3199999999997</v>
      </c>
      <c r="G14" s="4">
        <v>0</v>
      </c>
      <c r="H14" s="4">
        <f t="shared" si="1"/>
        <v>1984.3199999999997</v>
      </c>
      <c r="I14" s="4">
        <f t="shared" si="2"/>
        <v>23811.839999999997</v>
      </c>
      <c r="J14" s="4">
        <f>I15</f>
        <v>55296</v>
      </c>
      <c r="K14" s="5">
        <f>J14/I14</f>
        <v>2.3222060957910018</v>
      </c>
      <c r="L14" s="23">
        <v>945520.73</v>
      </c>
      <c r="M14" s="23">
        <f>L14*0.22</f>
        <v>208014.5606</v>
      </c>
      <c r="N14" s="23">
        <v>1710098.93</v>
      </c>
      <c r="O14" s="23">
        <f>(L14+M14)/N14</f>
        <v>0.67454301640899805</v>
      </c>
      <c r="P14" s="23">
        <f>L14*K14</f>
        <v>2195694.0029027578</v>
      </c>
      <c r="Q14" s="6">
        <f>P14*0.22</f>
        <v>483052.68063860672</v>
      </c>
      <c r="R14" s="8">
        <f>1+O14*(P14+Q14-L14-M14)/(L14+M14)</f>
        <v>1.891884888169227</v>
      </c>
    </row>
    <row r="15" spans="1:18" x14ac:dyDescent="0.25">
      <c r="A15" s="7" t="s">
        <v>17</v>
      </c>
      <c r="B15" s="3">
        <v>3200</v>
      </c>
      <c r="C15" s="3">
        <v>1.2</v>
      </c>
      <c r="D15" s="3">
        <v>1.2</v>
      </c>
      <c r="E15" s="3"/>
      <c r="F15" s="4">
        <f t="shared" si="0"/>
        <v>4608</v>
      </c>
      <c r="G15" s="4">
        <v>0</v>
      </c>
      <c r="H15" s="4">
        <f t="shared" si="1"/>
        <v>4608</v>
      </c>
      <c r="I15" s="4">
        <f t="shared" si="2"/>
        <v>55296</v>
      </c>
      <c r="J15" s="4"/>
      <c r="K15" s="4"/>
      <c r="L15" s="4"/>
      <c r="M15" s="4"/>
      <c r="N15" s="3"/>
      <c r="O15" s="3"/>
      <c r="P15" s="3"/>
      <c r="Q15" s="3"/>
      <c r="R15" s="9"/>
    </row>
    <row r="16" spans="1:18" x14ac:dyDescent="0.25">
      <c r="A16" s="7" t="s">
        <v>18</v>
      </c>
      <c r="B16" s="3">
        <v>1378</v>
      </c>
      <c r="C16" s="3">
        <v>1.2</v>
      </c>
      <c r="D16" s="3">
        <v>1.2</v>
      </c>
      <c r="E16" s="3"/>
      <c r="F16" s="4">
        <f t="shared" si="0"/>
        <v>1984.3199999999997</v>
      </c>
      <c r="G16" s="4">
        <v>0</v>
      </c>
      <c r="H16" s="4">
        <f t="shared" si="1"/>
        <v>1984.3199999999997</v>
      </c>
      <c r="I16" s="4">
        <f t="shared" si="2"/>
        <v>23811.839999999997</v>
      </c>
      <c r="J16" s="4">
        <f>I17</f>
        <v>55296</v>
      </c>
      <c r="K16" s="5">
        <f>J16/I16</f>
        <v>2.3222060957910018</v>
      </c>
      <c r="L16" s="23">
        <v>2735710.95</v>
      </c>
      <c r="M16" s="23">
        <f>L16*0.22</f>
        <v>601856.4090000001</v>
      </c>
      <c r="N16" s="23">
        <v>5161605.6100000003</v>
      </c>
      <c r="O16" s="23">
        <f>(L16+M16)/N16</f>
        <v>0.64661417612648631</v>
      </c>
      <c r="P16" s="23">
        <f>L16*K16</f>
        <v>6352884.6444121925</v>
      </c>
      <c r="Q16" s="6">
        <f>P16*0.22</f>
        <v>1397634.6217706823</v>
      </c>
      <c r="R16" s="8">
        <f>1+O16*(P16+Q16-L16-M16)/(L16+M16)</f>
        <v>1.8549572052993166</v>
      </c>
    </row>
    <row r="17" spans="1:18" x14ac:dyDescent="0.25">
      <c r="A17" s="7" t="s">
        <v>19</v>
      </c>
      <c r="B17" s="3">
        <v>3200</v>
      </c>
      <c r="C17" s="3">
        <v>1.2</v>
      </c>
      <c r="D17" s="3">
        <v>1.2</v>
      </c>
      <c r="E17" s="3"/>
      <c r="F17" s="4">
        <f t="shared" si="0"/>
        <v>4608</v>
      </c>
      <c r="G17" s="4">
        <v>0</v>
      </c>
      <c r="H17" s="4">
        <f t="shared" si="1"/>
        <v>4608</v>
      </c>
      <c r="I17" s="4">
        <f t="shared" si="2"/>
        <v>55296</v>
      </c>
      <c r="J17" s="4"/>
      <c r="K17" s="4"/>
      <c r="L17" s="4"/>
      <c r="M17" s="4"/>
      <c r="N17" s="4"/>
      <c r="O17" s="4"/>
      <c r="P17" s="4"/>
      <c r="Q17" s="3"/>
      <c r="R17" s="9"/>
    </row>
    <row r="18" spans="1:18" x14ac:dyDescent="0.25">
      <c r="A18" s="7" t="s">
        <v>20</v>
      </c>
      <c r="B18" s="3">
        <v>1378</v>
      </c>
      <c r="C18" s="3">
        <v>1.2</v>
      </c>
      <c r="D18" s="3">
        <v>1.42</v>
      </c>
      <c r="E18" s="3">
        <v>1.2</v>
      </c>
      <c r="F18" s="3">
        <f t="shared" ref="F18:F23" si="3">B18*C18*D18*E18</f>
        <v>2817.7343999999994</v>
      </c>
      <c r="G18" s="3">
        <f t="shared" ref="G18:G23" si="4">F18*0.2</f>
        <v>563.54687999999987</v>
      </c>
      <c r="H18" s="3">
        <f t="shared" si="1"/>
        <v>3381.2812799999992</v>
      </c>
      <c r="I18" s="4">
        <f t="shared" si="2"/>
        <v>40575.375359999991</v>
      </c>
      <c r="J18" s="4">
        <f>I19</f>
        <v>94224.383999999976</v>
      </c>
      <c r="K18" s="5">
        <f>J18/I18</f>
        <v>2.3222060957910013</v>
      </c>
      <c r="L18" s="23">
        <v>1424391.72</v>
      </c>
      <c r="M18" s="23">
        <f>L18*0.22</f>
        <v>313366.17839999998</v>
      </c>
      <c r="N18" s="23">
        <v>3197457.39</v>
      </c>
      <c r="O18" s="23">
        <f>(L18+M18)/N18</f>
        <v>0.5434811747092585</v>
      </c>
      <c r="P18" s="23">
        <f>L18*K18</f>
        <v>3307731.1349782292</v>
      </c>
      <c r="Q18" s="6">
        <f>P18*0.22</f>
        <v>727700.84969521046</v>
      </c>
      <c r="R18" s="8">
        <f>1+O18*(P18+Q18-L18-M18)/(L18+M18)</f>
        <v>1.7185941221482359</v>
      </c>
    </row>
    <row r="19" spans="1:18" x14ac:dyDescent="0.25">
      <c r="A19" s="7" t="s">
        <v>21</v>
      </c>
      <c r="B19" s="3">
        <v>3200</v>
      </c>
      <c r="C19" s="3">
        <v>1.2</v>
      </c>
      <c r="D19" s="3">
        <v>1.42</v>
      </c>
      <c r="E19" s="3">
        <v>1.2</v>
      </c>
      <c r="F19" s="3">
        <f t="shared" si="3"/>
        <v>6543.3599999999988</v>
      </c>
      <c r="G19" s="3">
        <f t="shared" si="4"/>
        <v>1308.6719999999998</v>
      </c>
      <c r="H19" s="3">
        <f t="shared" si="1"/>
        <v>7852.0319999999983</v>
      </c>
      <c r="I19" s="4">
        <f t="shared" si="2"/>
        <v>94224.383999999976</v>
      </c>
      <c r="J19" s="4"/>
      <c r="K19" s="4"/>
      <c r="L19" s="4"/>
      <c r="M19" s="4"/>
      <c r="N19" s="4"/>
      <c r="O19" s="4"/>
      <c r="P19" s="4"/>
      <c r="Q19" s="3"/>
      <c r="R19" s="9"/>
    </row>
    <row r="20" spans="1:18" x14ac:dyDescent="0.25">
      <c r="A20" s="7" t="s">
        <v>22</v>
      </c>
      <c r="B20" s="3">
        <v>1378</v>
      </c>
      <c r="C20" s="3">
        <v>1.2</v>
      </c>
      <c r="D20" s="3">
        <v>1.35</v>
      </c>
      <c r="E20" s="3">
        <v>1.2</v>
      </c>
      <c r="F20" s="4">
        <f t="shared" si="3"/>
        <v>2678.8319999999999</v>
      </c>
      <c r="G20" s="4">
        <f t="shared" si="4"/>
        <v>535.76639999999998</v>
      </c>
      <c r="H20" s="4">
        <f t="shared" si="1"/>
        <v>3214.5983999999999</v>
      </c>
      <c r="I20" s="4">
        <f t="shared" si="2"/>
        <v>38575.180800000002</v>
      </c>
      <c r="J20" s="4">
        <f>I21</f>
        <v>89579.520000000004</v>
      </c>
      <c r="K20" s="5">
        <f>J20/I20</f>
        <v>2.3222060957910013</v>
      </c>
      <c r="L20" s="23">
        <v>3351342.47</v>
      </c>
      <c r="M20" s="23">
        <f>L20*0.22</f>
        <v>737295.34340000001</v>
      </c>
      <c r="N20" s="23">
        <v>8455229.8800000008</v>
      </c>
      <c r="O20" s="23">
        <f>(L20+M20)/N20</f>
        <v>0.48356317586009856</v>
      </c>
      <c r="P20" s="23">
        <f>L20*K20</f>
        <v>7782507.9129172713</v>
      </c>
      <c r="Q20" s="6">
        <f>P20*0.22</f>
        <v>1712151.7408417996</v>
      </c>
      <c r="R20" s="8">
        <f>1+O20*(P20+Q20-L20-M20)/(L20+M20)</f>
        <v>1.6393701788222783</v>
      </c>
    </row>
    <row r="21" spans="1:18" x14ac:dyDescent="0.25">
      <c r="A21" s="7" t="s">
        <v>23</v>
      </c>
      <c r="B21" s="3">
        <v>3200</v>
      </c>
      <c r="C21" s="3">
        <v>1.2</v>
      </c>
      <c r="D21" s="3">
        <v>1.35</v>
      </c>
      <c r="E21" s="3">
        <v>1.2</v>
      </c>
      <c r="F21" s="4">
        <f t="shared" si="3"/>
        <v>6220.8</v>
      </c>
      <c r="G21" s="4">
        <f t="shared" si="4"/>
        <v>1244.1600000000001</v>
      </c>
      <c r="H21" s="4">
        <f t="shared" si="1"/>
        <v>7464.96</v>
      </c>
      <c r="I21" s="4">
        <f t="shared" si="2"/>
        <v>89579.520000000004</v>
      </c>
      <c r="J21" s="4"/>
      <c r="K21" s="4"/>
      <c r="L21" s="4"/>
      <c r="M21" s="4"/>
      <c r="N21" s="4"/>
      <c r="O21" s="4"/>
      <c r="P21" s="4"/>
      <c r="Q21" s="3"/>
      <c r="R21" s="9"/>
    </row>
    <row r="22" spans="1:18" x14ac:dyDescent="0.25">
      <c r="A22" s="7" t="s">
        <v>22</v>
      </c>
      <c r="B22" s="3">
        <v>1378</v>
      </c>
      <c r="C22" s="3">
        <v>1.2</v>
      </c>
      <c r="D22" s="3">
        <v>1.54</v>
      </c>
      <c r="E22" s="3">
        <v>1.2</v>
      </c>
      <c r="F22" s="4">
        <f t="shared" si="3"/>
        <v>3055.8527999999997</v>
      </c>
      <c r="G22" s="4">
        <f t="shared" si="4"/>
        <v>611.17055999999991</v>
      </c>
      <c r="H22" s="4">
        <f t="shared" si="1"/>
        <v>3667.0233599999997</v>
      </c>
      <c r="I22" s="4">
        <f t="shared" si="2"/>
        <v>44004.280319999998</v>
      </c>
      <c r="J22" s="4">
        <f>I23</f>
        <v>102187.008</v>
      </c>
      <c r="K22" s="5">
        <f>J22/I22</f>
        <v>2.3222060957910018</v>
      </c>
      <c r="L22" s="23">
        <v>919492.37</v>
      </c>
      <c r="M22" s="23">
        <f>L22*0.22</f>
        <v>202288.32139999999</v>
      </c>
      <c r="N22" s="23">
        <v>8455229.8800000008</v>
      </c>
      <c r="O22" s="23">
        <f>(L22+M22)/N22</f>
        <v>0.13267299734256305</v>
      </c>
      <c r="P22" s="23">
        <f>L22*K22</f>
        <v>2135250.7866473151</v>
      </c>
      <c r="Q22" s="6">
        <f>P22*0.22</f>
        <v>469755.17306240933</v>
      </c>
      <c r="R22" s="8">
        <f>1+O22*(P22+Q22-L22-M22)/(L22+M22)</f>
        <v>1.1754210458332002</v>
      </c>
    </row>
    <row r="23" spans="1:18" ht="15.75" thickBot="1" x14ac:dyDescent="0.3">
      <c r="A23" s="10" t="s">
        <v>23</v>
      </c>
      <c r="B23" s="11">
        <v>3200</v>
      </c>
      <c r="C23" s="11">
        <v>1.2</v>
      </c>
      <c r="D23" s="11">
        <v>1.54</v>
      </c>
      <c r="E23" s="11">
        <v>1.2</v>
      </c>
      <c r="F23" s="12">
        <f t="shared" si="3"/>
        <v>7096.3200000000006</v>
      </c>
      <c r="G23" s="12">
        <f t="shared" si="4"/>
        <v>1419.2640000000001</v>
      </c>
      <c r="H23" s="12">
        <f t="shared" si="1"/>
        <v>8515.5840000000007</v>
      </c>
      <c r="I23" s="12">
        <f t="shared" si="2"/>
        <v>102187.008</v>
      </c>
      <c r="J23" s="12"/>
      <c r="K23" s="12"/>
      <c r="L23" s="12"/>
      <c r="M23" s="12"/>
      <c r="N23" s="11"/>
      <c r="O23" s="11"/>
      <c r="P23" s="11"/>
      <c r="Q23" s="11"/>
      <c r="R23" s="13"/>
    </row>
    <row r="24" spans="1:18" x14ac:dyDescent="0.25">
      <c r="A24" s="18" t="s">
        <v>29</v>
      </c>
      <c r="B24" s="18"/>
      <c r="C24" s="18"/>
      <c r="D24" s="18"/>
      <c r="E24" s="18"/>
      <c r="F24" s="18"/>
      <c r="G24" s="18"/>
      <c r="H24" s="18"/>
      <c r="I24" s="24">
        <f>I12+I14+I16+I18+I20+I22</f>
        <v>194590.35647999999</v>
      </c>
      <c r="J24" s="24">
        <f>J12+J14+J16+J18+J20+J22</f>
        <v>451878.91200000001</v>
      </c>
      <c r="K24" s="1">
        <f>J24/I24</f>
        <v>2.3222060957910018</v>
      </c>
      <c r="L24" s="24">
        <f>L12+L14+L16+L18+L20+L22</f>
        <v>14939239.029999999</v>
      </c>
      <c r="M24" s="24">
        <f>M12+M14+M16+M18+M20+M22</f>
        <v>3286632.5866</v>
      </c>
      <c r="N24" s="24">
        <f>N12+N14+N16+N18+N20</f>
        <v>28585414.450000003</v>
      </c>
      <c r="O24" s="1">
        <f>(L24+M24)/N24</f>
        <v>0.63759340094507522</v>
      </c>
      <c r="P24" s="24">
        <f>P12+P14+P16+P18+P20+P22</f>
        <v>34691991.941944845</v>
      </c>
      <c r="Q24" s="24">
        <f>Q12+Q14+Q16+Q18+Q20+Q22</f>
        <v>7632238.2272278666</v>
      </c>
      <c r="R24" s="24">
        <f>1+O24*(P24+Q24-L24-M24)/(L24+M24)</f>
        <v>1.8430298813656945</v>
      </c>
    </row>
  </sheetData>
  <mergeCells count="3">
    <mergeCell ref="B7:R7"/>
    <mergeCell ref="A8:R8"/>
    <mergeCell ref="A9:R9"/>
  </mergeCells>
  <pageMargins left="0.78740157480314965" right="0.39370078740157483" top="0.74803149606299213" bottom="0.39370078740157483" header="0.31496062992125984" footer="0.31496062992125984"/>
  <pageSetup paperSize="9" scale="51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Аркуш1</vt:lpstr>
      <vt:lpstr>Аркуш2</vt:lpstr>
      <vt:lpstr>Аркуш3</vt:lpstr>
      <vt:lpstr>Аркуш1!Область_печати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</dc:creator>
  <cp:lastModifiedBy>user</cp:lastModifiedBy>
  <cp:lastPrinted>2016-11-10T12:12:35Z</cp:lastPrinted>
  <dcterms:created xsi:type="dcterms:W3CDTF">2015-12-24T09:04:08Z</dcterms:created>
  <dcterms:modified xsi:type="dcterms:W3CDTF">2016-12-23T09:27:42Z</dcterms:modified>
</cp:coreProperties>
</file>