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Kn+TRtnzmAdy20xqaubBhfAcPuZ53UnBycYE3BmzESwofTiQUHhWaCuUla/rIMVfJl/ZUZxPLuXVqz7EupToFA==" workbookSaltValue="BpSH3mIa6uGJGHhMYIFrTw==" workbookSpinCount="100000" lockStructure="1"/>
  <bookViews>
    <workbookView xWindow="0" yWindow="0" windowWidth="19200" windowHeight="11595" tabRatio="465"/>
  </bookViews>
  <sheets>
    <sheet name="Калькулятор" sheetId="1" r:id="rId1"/>
    <sheet name="Розрахунки" sheetId="7" state="hidden" r:id="rId2"/>
    <sheet name="Дані" sheetId="2" state="hidden" r:id="rId3"/>
    <sheet name="Графіки" sheetId="3" state="hidden" r:id="rId4"/>
    <sheet name="Регіони" sheetId="4" state="hidden" r:id="rId5"/>
    <sheet name="Тарифи" sheetId="5" state="hidden" r:id="rId6"/>
  </sheets>
  <definedNames>
    <definedName name="Вінницька_область">#REF!</definedName>
    <definedName name="Волинська_область">#REF!</definedName>
    <definedName name="Газовий_котел">Дані!$A$2:$A$21</definedName>
    <definedName name="Дизельний_котел">Дані!$A$23:$A$33</definedName>
    <definedName name="Дніпропетровська_область">#REF!</definedName>
    <definedName name="Донецька_область">#REF!</definedName>
    <definedName name="Електричний_котел">Дані!$A$35:$A$48</definedName>
    <definedName name="Житомирська_область">#REF!</definedName>
    <definedName name="Запорізька_область">#REF!</definedName>
    <definedName name="Івано_Франківська_область">#REF!</definedName>
    <definedName name="Київська_область">#REF!</definedName>
    <definedName name="Кіровоградська_область">#REF!</definedName>
    <definedName name="Котли">Дані!$A$69:$A$72</definedName>
    <definedName name="Котли1">Дані!$A$69:$A$72</definedName>
    <definedName name="Луганська_область">#REF!</definedName>
    <definedName name="Львівська_область">#REF!</definedName>
    <definedName name="м._Київ">#REF!</definedName>
    <definedName name="Миколаївська_область">#REF!</definedName>
    <definedName name="_xlnm.Print_Area" localSheetId="0">Калькулятор!$A$1:$H$54</definedName>
    <definedName name="Одеська_область">#REF!</definedName>
    <definedName name="Полтавська_область">#REF!</definedName>
    <definedName name="Регіони">Регіони!$A$3:$A$27</definedName>
    <definedName name="Рівненська_область">#REF!</definedName>
    <definedName name="Строк_кредиту">Дані!$A$76:$A$111</definedName>
    <definedName name="Сумська_область">#REF!</definedName>
    <definedName name="таня">Калькулятор!$E$49:$E$52</definedName>
    <definedName name="Твердопаливний_котел">Дані!$A$50:$A$65</definedName>
    <definedName name="Тернопільська_область">#REF!</definedName>
    <definedName name="Тип_фінансування">Розрахунки!$B$17:$B$18</definedName>
    <definedName name="Харківська_область">#REF!</definedName>
    <definedName name="Херсонська_область">#REF!</definedName>
    <definedName name="Хмельницька_область">#REF!</definedName>
    <definedName name="Централізоване">Дані!$A$67:$A$68</definedName>
    <definedName name="Черкаська_область">#REF!</definedName>
    <definedName name="Чернівецька_область">#REF!</definedName>
    <definedName name="Чернігівська_область">#REF!</definedName>
  </definedNames>
  <calcPr calcId="152511"/>
</workbook>
</file>

<file path=xl/calcChain.xml><?xml version="1.0" encoding="utf-8"?>
<calcChain xmlns="http://schemas.openxmlformats.org/spreadsheetml/2006/main">
  <c r="C21" i="2" l="1"/>
  <c r="E22" i="1"/>
  <c r="L7" i="7"/>
  <c r="B7" i="7" s="1"/>
  <c r="E12" i="7"/>
  <c r="B12" i="7"/>
  <c r="E11" i="7"/>
  <c r="E10" i="7"/>
  <c r="B10" i="7"/>
  <c r="E9" i="7"/>
  <c r="G7" i="7"/>
  <c r="F7" i="7" s="1"/>
  <c r="E7" i="7"/>
  <c r="E6" i="7"/>
  <c r="B6" i="7"/>
  <c r="E5" i="7"/>
  <c r="E4" i="7"/>
  <c r="B4" i="7"/>
  <c r="E3" i="7"/>
  <c r="A22" i="1" s="1"/>
  <c r="D22" i="1" s="1"/>
  <c r="B21" i="2"/>
  <c r="E33" i="2"/>
  <c r="C33" i="2"/>
  <c r="D33" i="2"/>
  <c r="F33" i="2"/>
  <c r="B33" i="2"/>
  <c r="C48" i="2"/>
  <c r="D48" i="2"/>
  <c r="F48" i="2"/>
  <c r="B48" i="2"/>
  <c r="C65" i="2"/>
  <c r="D65" i="2"/>
  <c r="E65" i="2"/>
  <c r="F65" i="2"/>
  <c r="B65" i="2"/>
  <c r="C32" i="1"/>
  <c r="B32" i="1"/>
  <c r="B22" i="1"/>
  <c r="C22" i="1"/>
  <c r="M4" i="7" s="1"/>
  <c r="D5" i="1"/>
  <c r="M5" i="7" l="1"/>
  <c r="M6" i="7"/>
  <c r="O7" i="7"/>
  <c r="M3" i="7"/>
  <c r="A5" i="1"/>
  <c r="F6" i="7" l="1"/>
  <c r="F4" i="7"/>
  <c r="F3" i="7"/>
  <c r="G12" i="7" s="1"/>
  <c r="F9" i="7"/>
  <c r="F12" i="7"/>
  <c r="F10" i="7"/>
  <c r="F11" i="7"/>
  <c r="H11" i="7" s="1"/>
  <c r="F5" i="7"/>
  <c r="H5" i="7" s="1"/>
  <c r="F67" i="2"/>
  <c r="F68" i="2"/>
  <c r="O7" i="3"/>
  <c r="H12" i="7" l="1"/>
  <c r="J12" i="7" s="1"/>
  <c r="G3" i="7"/>
  <c r="H3" i="7" s="1"/>
  <c r="J3" i="7" s="1"/>
  <c r="L3" i="7" s="1"/>
  <c r="B3" i="7" s="1"/>
  <c r="G9" i="7"/>
  <c r="G10" i="7"/>
  <c r="H10" i="7" s="1"/>
  <c r="G5" i="7"/>
  <c r="G4" i="7"/>
  <c r="H4" i="7" s="1"/>
  <c r="G6" i="7"/>
  <c r="H6" i="7" s="1"/>
  <c r="J6" i="7" s="1"/>
  <c r="G11" i="7"/>
  <c r="J5" i="7"/>
  <c r="L5" i="7" s="1"/>
  <c r="B5" i="7" s="1"/>
  <c r="O5" i="7" s="1"/>
  <c r="J11" i="7"/>
  <c r="L11" i="7" s="1"/>
  <c r="B11" i="7" s="1"/>
  <c r="O11" i="7" s="1"/>
  <c r="A32" i="1"/>
  <c r="E32" i="1" s="1"/>
  <c r="L9" i="7" l="1"/>
  <c r="B9" i="7" s="1"/>
  <c r="C12" i="7" s="1"/>
  <c r="C7" i="7"/>
  <c r="O6" i="7"/>
  <c r="D32" i="1"/>
  <c r="H9" i="7"/>
  <c r="O12" i="7"/>
  <c r="J10" i="7"/>
  <c r="O4" i="7"/>
  <c r="J4" i="7"/>
  <c r="O3" i="7"/>
  <c r="O9" i="7" l="1"/>
  <c r="P7" i="7"/>
  <c r="C17" i="7"/>
  <c r="A39" i="1"/>
  <c r="J17" i="7"/>
  <c r="C18" i="7"/>
  <c r="D21" i="7" s="1"/>
  <c r="J9" i="7"/>
  <c r="O10" i="7"/>
  <c r="P12" i="7" l="1"/>
  <c r="A48" i="1" s="1"/>
  <c r="C21" i="7"/>
  <c r="E21" i="7" s="1"/>
  <c r="F18" i="7" s="1"/>
  <c r="M7" i="3" s="1"/>
  <c r="E7" i="3"/>
  <c r="E8" i="3" s="1"/>
  <c r="E9" i="3" s="1"/>
  <c r="E10" i="3" s="1"/>
  <c r="E11" i="3" s="1"/>
  <c r="E12" i="3" s="1"/>
  <c r="E13" i="3" s="1"/>
  <c r="E14" i="3" s="1"/>
  <c r="E15" i="3" s="1"/>
  <c r="E16" i="3" s="1"/>
  <c r="A45" i="1"/>
  <c r="A51" i="1" l="1"/>
  <c r="A54" i="1" s="1"/>
  <c r="C16" i="3" l="1"/>
  <c r="C12" i="3"/>
  <c r="C8" i="3"/>
  <c r="C10" i="3"/>
  <c r="C9" i="3"/>
  <c r="C13" i="3"/>
  <c r="C15" i="3"/>
  <c r="C11" i="3"/>
  <c r="C14" i="3"/>
  <c r="C7" i="3"/>
  <c r="G7" i="3" s="1"/>
  <c r="K7" i="3" s="1"/>
  <c r="M8" i="3" l="1"/>
  <c r="G8" i="3"/>
  <c r="G9" i="3" s="1"/>
  <c r="G10" i="3" s="1"/>
  <c r="G11" i="3" s="1"/>
  <c r="G12" i="3" s="1"/>
  <c r="G13" i="3" s="1"/>
  <c r="G14" i="3" s="1"/>
  <c r="G15" i="3" s="1"/>
  <c r="G16" i="3" s="1"/>
  <c r="M9" i="3" l="1"/>
  <c r="K9" i="3" s="1"/>
  <c r="K8" i="3"/>
  <c r="M10" i="3" l="1"/>
  <c r="K10" i="3" s="1"/>
  <c r="M11" i="3" l="1"/>
  <c r="K11" i="3" s="1"/>
  <c r="M12" i="3" l="1"/>
  <c r="K12" i="3" s="1"/>
  <c r="M13" i="3" l="1"/>
  <c r="K13" i="3" s="1"/>
  <c r="M14" i="3" l="1"/>
  <c r="M15" i="3" s="1"/>
  <c r="M16" i="3" s="1"/>
  <c r="K16" i="3" s="1"/>
  <c r="K15" i="3" l="1"/>
  <c r="K14" i="3"/>
</calcChain>
</file>

<file path=xl/sharedStrings.xml><?xml version="1.0" encoding="utf-8"?>
<sst xmlns="http://schemas.openxmlformats.org/spreadsheetml/2006/main" count="287" uniqueCount="177">
  <si>
    <t>Vaillant atmoTEC plus VUW 200-5</t>
  </si>
  <si>
    <t>Потужність, кВт</t>
  </si>
  <si>
    <t>Споживання е.е, Вт</t>
  </si>
  <si>
    <t>Розхід газу, м3/год</t>
  </si>
  <si>
    <t>Ціна, грн</t>
  </si>
  <si>
    <t>ККД, %</t>
  </si>
  <si>
    <t>Viessmann Vitopend 100 WH1D</t>
  </si>
  <si>
    <t>Buderus LOGANO G124 WS</t>
  </si>
  <si>
    <t>Розхід топлива, л/год</t>
  </si>
  <si>
    <t>Viessmann Vitorond 100</t>
  </si>
  <si>
    <t>Днипро Мини КЭО-24/380</t>
  </si>
  <si>
    <t>Розхід топлива, кг/год</t>
  </si>
  <si>
    <t>STROPUVA S (дрова)</t>
  </si>
  <si>
    <t>STROPUVA S (вугілля)</t>
  </si>
  <si>
    <t>SAS UWT</t>
  </si>
  <si>
    <t>Газовий котел</t>
  </si>
  <si>
    <t>Дизельний котел</t>
  </si>
  <si>
    <t>Електричний котел</t>
  </si>
  <si>
    <t>Твердопаливний котел</t>
  </si>
  <si>
    <t>Виберіть марку Вашого котла</t>
  </si>
  <si>
    <t>Виберіть тип котла, який Ви бажаєте змонтувати</t>
  </si>
  <si>
    <t>Розхід ПЕР, од/год</t>
  </si>
  <si>
    <t>Виберіть марку котла</t>
  </si>
  <si>
    <t>Затрати на опалення</t>
  </si>
  <si>
    <t>грн/сезон</t>
  </si>
  <si>
    <t>Економія грошових коштів</t>
  </si>
  <si>
    <t>Простий термін окупності</t>
  </si>
  <si>
    <t>років</t>
  </si>
  <si>
    <t>рік</t>
  </si>
  <si>
    <t>Тариф</t>
  </si>
  <si>
    <t>термін окупності</t>
  </si>
  <si>
    <t>Інвестиції</t>
  </si>
  <si>
    <t>Введіть площу Вашого дому</t>
  </si>
  <si>
    <t>м2</t>
  </si>
  <si>
    <t>Виберіть Ваш регіон</t>
  </si>
  <si>
    <t xml:space="preserve">Найменування областей </t>
  </si>
  <si>
    <t>tpo</t>
  </si>
  <si>
    <t>tco</t>
  </si>
  <si>
    <t>опалювальний період, діб,</t>
  </si>
  <si>
    <t>Республіка Крим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</si>
  <si>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</si>
  <si>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</si>
  <si>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</si>
  <si>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</si>
  <si>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</si>
  <si>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</si>
  <si>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</si>
  <si>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</si>
  <si>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</si>
  <si>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</si>
  <si>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</si>
  <si>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</si>
  <si>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</si>
  <si>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</si>
  <si>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</si>
  <si>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</si>
  <si>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</si>
  <si>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</si>
  <si>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</si>
  <si>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</si>
  <si>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</si>
  <si>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</si>
  <si>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опалювальний період, діб</t>
  </si>
  <si>
    <t>Середня температура</t>
  </si>
  <si>
    <t>Газ</t>
  </si>
  <si>
    <t>Дизель</t>
  </si>
  <si>
    <t>Електричний</t>
  </si>
  <si>
    <t>Твердопаливний</t>
  </si>
  <si>
    <t>ккал/м3</t>
  </si>
  <si>
    <t>м3</t>
  </si>
  <si>
    <t>літрів</t>
  </si>
  <si>
    <t>кВтгод</t>
  </si>
  <si>
    <t>кг</t>
  </si>
  <si>
    <t>Гкал/сезон</t>
  </si>
  <si>
    <t>Затрати на опалення, грн</t>
  </si>
  <si>
    <t>Середня потужність котла, кВт</t>
  </si>
  <si>
    <t>Гроші, грн/сезон</t>
  </si>
  <si>
    <t>Сума, грн/сезон</t>
  </si>
  <si>
    <t>Опалення за сезон, кВтгод/сезон</t>
  </si>
  <si>
    <t>Після заміни</t>
  </si>
  <si>
    <t>Грошові річні збереження</t>
  </si>
  <si>
    <t>Централ</t>
  </si>
  <si>
    <t>Централізоване опалення</t>
  </si>
  <si>
    <t>-</t>
  </si>
  <si>
    <t>Тарифи на газ</t>
  </si>
  <si>
    <t>у період з 01 жовтня по 30 квітня (включно):</t>
  </si>
  <si>
    <t>за обсяг, спожитий до 200 м3 за місяць</t>
  </si>
  <si>
    <t>за обсяг, спожитий понад 200 м3 за місяць</t>
  </si>
  <si>
    <t>грн/м3</t>
  </si>
  <si>
    <t>Населенню, яке проживає в житлових будинках (у тому числі в житлових будинках готельного типу, квартирах та гуртожитках), обладнаних у встановленому порядку електроопалювальними установками (у тому числі в сільській місцевості):</t>
  </si>
  <si>
    <t>"1.3"</t>
  </si>
  <si>
    <t>У період з 01 жовтня 2015 року по 29 лютого 2016 року (включно):</t>
  </si>
  <si>
    <t>за обсяг, спожитий до 3600 кВт∙год електроенергії на місяць (включно)</t>
  </si>
  <si>
    <t>грн/кВтгод</t>
  </si>
  <si>
    <t>за обсяг, спожитий понад 3600 кВт∙год електроенергії на місяць</t>
  </si>
  <si>
    <t>Населенню, яке проживає в багатоквартирних будинках, не газифікованих природним газом і в яких відсутні або не функціонують системи централізованого теплопостачання (у тому числі в сільській місцевості):</t>
  </si>
  <si>
    <t>"1.4"</t>
  </si>
  <si>
    <t>На електроенергію, що відпускається населенню, на період з 01 вересня 2015 року по 29 лютого 2016 року включно</t>
  </si>
  <si>
    <t>од/сезон</t>
  </si>
  <si>
    <t>Кількість палива в сезон</t>
  </si>
  <si>
    <t>В місяць од</t>
  </si>
  <si>
    <t xml:space="preserve">Вулкан 20М </t>
  </si>
  <si>
    <t xml:space="preserve">Титан </t>
  </si>
  <si>
    <t>Бар.КС-Г</t>
  </si>
  <si>
    <t>Термо АОГВ</t>
  </si>
  <si>
    <t>Immergas</t>
  </si>
  <si>
    <t>Teplowest Optima</t>
  </si>
  <si>
    <t>NEVA 4510</t>
  </si>
  <si>
    <t>Dakon</t>
  </si>
  <si>
    <t>Kiturami TURBO</t>
  </si>
  <si>
    <t>Navien LFA</t>
  </si>
  <si>
    <t>Bosch Tronic 5000H</t>
  </si>
  <si>
    <t>EUROTHERM КОМФОРТ</t>
  </si>
  <si>
    <t>TENKO ECONOM</t>
  </si>
  <si>
    <t>ATON ELECTRO</t>
  </si>
  <si>
    <t> РОСС АОЭ</t>
  </si>
  <si>
    <t>MORA TOP ELECTRA LIGHT</t>
  </si>
  <si>
    <t>Котеко Watra</t>
  </si>
  <si>
    <t>Pereko KSW Alfa</t>
  </si>
  <si>
    <t>ALTEP КТ-2Е</t>
  </si>
  <si>
    <t>ATMOS DC</t>
  </si>
  <si>
    <t>Зменшення ККД</t>
  </si>
  <si>
    <t>350 (0,3)</t>
  </si>
  <si>
    <t>"Тула"</t>
  </si>
  <si>
    <t>230 (0,2)</t>
  </si>
  <si>
    <t>Э5-ДП</t>
  </si>
  <si>
    <t>КЧМ</t>
  </si>
  <si>
    <t>110(0,1)</t>
  </si>
  <si>
    <t>м. Київ</t>
  </si>
  <si>
    <t>Рівненська область</t>
  </si>
  <si>
    <t>Приблизні грошові витрати за опалювальний період, старий котел</t>
  </si>
  <si>
    <t>Термін експуатації Вашого старого котла</t>
  </si>
  <si>
    <t>Приблизні грошові витрати за опалювальний період, новий котел</t>
  </si>
  <si>
    <t>Івано Франківська область</t>
  </si>
  <si>
    <t>Середня потужність, кВт</t>
  </si>
  <si>
    <t>Виберіть тип фінансування</t>
  </si>
  <si>
    <t>Тип фінансування</t>
  </si>
  <si>
    <t>Власні кошти</t>
  </si>
  <si>
    <t>Кредитні кошти</t>
  </si>
  <si>
    <t>Вартість котла</t>
  </si>
  <si>
    <t>Банк, 3%</t>
  </si>
  <si>
    <t>Ставка кредиту, 25% - три місяці</t>
  </si>
  <si>
    <t>Сума</t>
  </si>
  <si>
    <t>Норма витрати теплоти для будівель, Гкал/м2</t>
  </si>
  <si>
    <t>Інший</t>
  </si>
  <si>
    <t>Виберіть із випадаючого списку</t>
  </si>
  <si>
    <t>Введіть параметр</t>
  </si>
  <si>
    <t>Відшкодування коштів державою</t>
  </si>
  <si>
    <t>грн.</t>
  </si>
  <si>
    <t>Виберіть строк кредитування</t>
  </si>
  <si>
    <t>місяців</t>
  </si>
  <si>
    <t>Строк кредиту</t>
  </si>
  <si>
    <t>Кредит</t>
  </si>
  <si>
    <t>Тіло кредиту</t>
  </si>
  <si>
    <t>Банк, 3%, 25% річних</t>
  </si>
  <si>
    <t>Универсал</t>
  </si>
  <si>
    <t>Колви КТ  Тsі</t>
  </si>
  <si>
    <t>Колви КТ  ТS</t>
  </si>
  <si>
    <t>Данко - В -У</t>
  </si>
  <si>
    <t>Маяк КС</t>
  </si>
  <si>
    <t>АТЕМ Житомир ВПГ</t>
  </si>
  <si>
    <t xml:space="preserve">Вулкан М </t>
  </si>
  <si>
    <t xml:space="preserve">Protherm Бизон </t>
  </si>
  <si>
    <t xml:space="preserve">LAMBORGHINI EXA </t>
  </si>
  <si>
    <t xml:space="preserve">Dakon Daline PTE </t>
  </si>
  <si>
    <t xml:space="preserve">Термо Бар Ж7 КЕП </t>
  </si>
  <si>
    <t>Kospel EKCO.R2</t>
  </si>
  <si>
    <t xml:space="preserve">Termia КОП </t>
  </si>
  <si>
    <t>PROTHERM K</t>
  </si>
  <si>
    <t xml:space="preserve">Візит KOS - Econom </t>
  </si>
  <si>
    <t>Данко ТН</t>
  </si>
  <si>
    <t>Корді АОТВ В</t>
  </si>
  <si>
    <t xml:space="preserve">Отавва КТ </t>
  </si>
  <si>
    <t>Ціна котла + встановлення, грн</t>
  </si>
  <si>
    <t>Виберіть тип Вашого котла</t>
  </si>
  <si>
    <t>Встановлена електрична потужність, Вт</t>
  </si>
  <si>
    <t>Кількість років (опалювальних періодів)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</si>
</sst>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0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wrapText="1"/>
    </xf>
    <xf numFmtId="0" fontId="0" fillId="4" borderId="1" xfId="0" applyFill="1" applyBorder="1"/>
    <xf numFmtId="0" fontId="1" fillId="4" borderId="1" xfId="0" applyFont="1" applyFill="1" applyBorder="1"/>
    <xf numFmtId="0" fontId="1" fillId="0" borderId="1" xfId="0" applyFont="1" applyBorder="1"/>
    <xf numFmtId="0" fontId="0" fillId="6" borderId="1" xfId="0" applyFill="1" applyBorder="1"/>
    <xf numFmtId="0" fontId="0" fillId="6" borderId="0" xfId="0" applyFill="1"/>
    <xf numFmtId="2" fontId="0" fillId="0" borderId="0" xfId="0" applyNumberFormat="1"/>
    <xf numFmtId="2" fontId="1" fillId="0" borderId="1" xfId="0" applyNumberFormat="1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center"/>
    </xf>
    <xf numFmtId="0" fontId="7" fillId="0" borderId="0" xfId="0" applyFont="1"/>
    <xf numFmtId="2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0" fillId="6" borderId="0" xfId="0" applyNumberFormat="1" applyFill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1" xfId="0" applyBorder="1"/>
    <xf numFmtId="0" fontId="0" fillId="0" borderId="1" xfId="0" applyFill="1" applyBorder="1" applyAlignment="1">
      <alignment horizontal="left"/>
    </xf>
    <xf numFmtId="0" fontId="8" fillId="0" borderId="0" xfId="0" applyFont="1"/>
    <xf numFmtId="0" fontId="8" fillId="0" borderId="1" xfId="0" applyFont="1" applyBorder="1"/>
    <xf numFmtId="0" fontId="5" fillId="0" borderId="1" xfId="0" applyFont="1" applyBorder="1"/>
    <xf numFmtId="0" fontId="8" fillId="0" borderId="1" xfId="1" applyFont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4" fillId="0" borderId="0" xfId="0" applyNumberFormat="1" applyFont="1"/>
    <xf numFmtId="2" fontId="0" fillId="0" borderId="1" xfId="0" applyNumberFormat="1" applyBorder="1"/>
    <xf numFmtId="0" fontId="1" fillId="0" borderId="1" xfId="0" applyFont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" xfId="0" applyFill="1" applyBorder="1"/>
    <xf numFmtId="0" fontId="8" fillId="7" borderId="1" xfId="0" applyFont="1" applyFill="1" applyBorder="1"/>
    <xf numFmtId="0" fontId="0" fillId="7" borderId="1" xfId="0" applyFill="1" applyBorder="1" applyAlignment="1">
      <alignment horizontal="center"/>
    </xf>
    <xf numFmtId="2" fontId="0" fillId="7" borderId="1" xfId="0" applyNumberFormat="1" applyFill="1" applyBorder="1"/>
    <xf numFmtId="0" fontId="0" fillId="7" borderId="1" xfId="0" applyFill="1" applyBorder="1" applyAlignment="1">
      <alignment horizontal="center" vertical="center"/>
    </xf>
    <xf numFmtId="2" fontId="0" fillId="6" borderId="1" xfId="0" applyNumberFormat="1" applyFill="1" applyBorder="1"/>
    <xf numFmtId="0" fontId="8" fillId="7" borderId="1" xfId="0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right"/>
    </xf>
    <xf numFmtId="2" fontId="0" fillId="7" borderId="1" xfId="0" applyNumberFormat="1" applyFill="1" applyBorder="1" applyAlignment="1">
      <alignment horizontal="center"/>
    </xf>
    <xf numFmtId="1" fontId="0" fillId="7" borderId="1" xfId="0" applyNumberFormat="1" applyFill="1" applyBorder="1"/>
    <xf numFmtId="1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Protection="1"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9" borderId="1" xfId="0" applyFill="1" applyBorder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2" fontId="0" fillId="0" borderId="1" xfId="0" applyNumberFormat="1" applyFill="1" applyBorder="1" applyAlignment="1" applyProtection="1">
      <alignment horizontal="center" vertical="center"/>
      <protection hidden="1"/>
    </xf>
    <xf numFmtId="1" fontId="0" fillId="0" borderId="1" xfId="0" applyNumberForma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10" fillId="0" borderId="1" xfId="0" applyFont="1" applyBorder="1" applyAlignment="1" applyProtection="1">
      <alignment horizontal="center" wrapText="1"/>
      <protection hidden="1"/>
    </xf>
    <xf numFmtId="0" fontId="2" fillId="7" borderId="1" xfId="0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8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9" borderId="8" xfId="0" applyFont="1" applyFill="1" applyBorder="1" applyAlignment="1" applyProtection="1">
      <alignment horizontal="center" vertical="center"/>
      <protection locked="0" hidden="1"/>
    </xf>
    <xf numFmtId="0" fontId="2" fillId="9" borderId="9" xfId="0" applyFont="1" applyFill="1" applyBorder="1" applyAlignment="1" applyProtection="1">
      <alignment horizontal="center" vertical="center"/>
      <protection locked="0" hidden="1"/>
    </xf>
    <xf numFmtId="0" fontId="2" fillId="9" borderId="10" xfId="0" applyFont="1" applyFill="1" applyBorder="1" applyAlignment="1" applyProtection="1">
      <alignment horizontal="center" vertical="center"/>
      <protection locked="0" hidden="1"/>
    </xf>
    <xf numFmtId="0" fontId="2" fillId="8" borderId="8" xfId="0" applyFont="1" applyFill="1" applyBorder="1" applyAlignment="1" applyProtection="1">
      <alignment horizontal="center" vertical="center"/>
      <protection hidden="1"/>
    </xf>
    <xf numFmtId="0" fontId="2" fillId="8" borderId="9" xfId="0" applyFont="1" applyFill="1" applyBorder="1" applyAlignment="1" applyProtection="1">
      <alignment horizontal="center" vertical="center"/>
      <protection hidden="1"/>
    </xf>
    <xf numFmtId="0" fontId="2" fillId="8" borderId="10" xfId="0" applyFont="1" applyFill="1" applyBorder="1" applyAlignment="1" applyProtection="1">
      <alignment horizontal="center" vertical="center"/>
      <protection hidden="1"/>
    </xf>
    <xf numFmtId="0" fontId="2" fillId="3" borderId="8" xfId="0" applyFont="1" applyFill="1" applyBorder="1" applyAlignment="1" applyProtection="1">
      <alignment horizontal="center"/>
      <protection locked="0" hidden="1"/>
    </xf>
    <xf numFmtId="0" fontId="2" fillId="3" borderId="9" xfId="0" applyFont="1" applyFill="1" applyBorder="1" applyAlignment="1" applyProtection="1">
      <alignment horizontal="center"/>
      <protection locked="0" hidden="1"/>
    </xf>
    <xf numFmtId="0" fontId="2" fillId="8" borderId="3" xfId="0" applyFont="1" applyFill="1" applyBorder="1" applyAlignment="1" applyProtection="1">
      <alignment horizontal="center" vertical="center"/>
      <protection hidden="1"/>
    </xf>
    <xf numFmtId="0" fontId="2" fillId="8" borderId="2" xfId="0" applyFont="1" applyFill="1" applyBorder="1" applyAlignment="1" applyProtection="1">
      <alignment horizontal="center" vertical="center"/>
      <protection hidden="1"/>
    </xf>
    <xf numFmtId="0" fontId="2" fillId="8" borderId="4" xfId="0" applyFont="1" applyFill="1" applyBorder="1" applyAlignment="1" applyProtection="1">
      <alignment horizontal="center" vertical="center"/>
      <protection hidden="1"/>
    </xf>
    <xf numFmtId="0" fontId="2" fillId="8" borderId="5" xfId="0" applyFont="1" applyFill="1" applyBorder="1" applyAlignment="1" applyProtection="1">
      <alignment horizontal="center" vertical="center"/>
      <protection hidden="1"/>
    </xf>
    <xf numFmtId="0" fontId="2" fillId="8" borderId="6" xfId="0" applyFont="1" applyFill="1" applyBorder="1" applyAlignment="1" applyProtection="1">
      <alignment horizontal="center" vertical="center"/>
      <protection hidden="1"/>
    </xf>
    <xf numFmtId="0" fontId="2" fillId="8" borderId="7" xfId="0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Protection="1">
      <protection hidden="1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uk-UA"/>
              <a:t>Графік зміни терміну окупності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891014686993964"/>
          <c:y val="0.16575240594925633"/>
          <c:w val="0.8243522644775787"/>
          <c:h val="0.56581765820939423"/>
        </c:manualLayout>
      </c:layout>
      <c:lineChart>
        <c:grouping val="standard"/>
        <c:varyColors val="0"/>
        <c:ser>
          <c:idx val="0"/>
          <c:order val="0"/>
          <c:cat>
            <c:numRef>
              <c:f>Графіки!$B$7:$B$16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Графіки!$K$7:$K$16</c:f>
              <c:numCache>
                <c:formatCode>General</c:formatCode>
                <c:ptCount val="10"/>
                <c:pt idx="0">
                  <c:v>3.0436446114732698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520344"/>
        <c:axId val="163520736"/>
      </c:lineChart>
      <c:catAx>
        <c:axId val="163520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uk-UA"/>
                  <a:t>Рік</a:t>
                </a:r>
              </a:p>
            </c:rich>
          </c:tx>
          <c:layout>
            <c:manualLayout>
              <c:xMode val="edge"/>
              <c:yMode val="edge"/>
              <c:x val="0.49263307086614178"/>
              <c:y val="0.883310002916301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3520736"/>
        <c:crosses val="autoZero"/>
        <c:auto val="1"/>
        <c:lblAlgn val="ctr"/>
        <c:lblOffset val="100"/>
        <c:noMultiLvlLbl val="0"/>
      </c:catAx>
      <c:valAx>
        <c:axId val="163520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3520344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uk-UA"/>
              <a:t>Графік росту тарифів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38596380271742"/>
          <c:y val="0.15941458773964048"/>
          <c:w val="0.81392825896762899"/>
          <c:h val="0.56581765820939445"/>
        </c:manualLayout>
      </c:layout>
      <c:lineChart>
        <c:grouping val="standard"/>
        <c:varyColors val="0"/>
        <c:ser>
          <c:idx val="0"/>
          <c:order val="0"/>
          <c:cat>
            <c:numRef>
              <c:f>Графіки!$B$7:$B$16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Графіки!$E$7:$E$16</c:f>
              <c:numCache>
                <c:formatCode>General</c:formatCode>
                <c:ptCount val="10"/>
                <c:pt idx="0" formatCode="0.00">
                  <c:v>7.1879999999999997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542176"/>
        <c:axId val="164542568"/>
      </c:lineChart>
      <c:catAx>
        <c:axId val="164542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uk-UA"/>
                  <a:t>Рік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542568"/>
        <c:crosses val="autoZero"/>
        <c:auto val="0"/>
        <c:lblAlgn val="ctr"/>
        <c:lblOffset val="100"/>
        <c:noMultiLvlLbl val="0"/>
      </c:catAx>
      <c:valAx>
        <c:axId val="16454256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>
            <a:headEnd type="oval"/>
            <a:tailEnd type="triangle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6454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20108</xdr:colOff>
      <xdr:row>2</xdr:row>
      <xdr:rowOff>83609</xdr:rowOff>
    </xdr:from>
    <xdr:to>
      <xdr:col>5</xdr:col>
      <xdr:colOff>182033</xdr:colOff>
      <xdr:row>2</xdr:row>
      <xdr:rowOff>243417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97525" y="538692"/>
          <a:ext cx="161925" cy="1598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11906</xdr:colOff>
      <xdr:row>15</xdr:row>
      <xdr:rowOff>130968</xdr:rowOff>
    </xdr:from>
    <xdr:to>
      <xdr:col>5</xdr:col>
      <xdr:colOff>173831</xdr:colOff>
      <xdr:row>15</xdr:row>
      <xdr:rowOff>290776</xdr:rowOff>
    </xdr:to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62812" y="3583781"/>
          <a:ext cx="161925" cy="15980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2285999</xdr:colOff>
      <xdr:row>19</xdr:row>
      <xdr:rowOff>59531</xdr:rowOff>
    </xdr:from>
    <xdr:to>
      <xdr:col>5</xdr:col>
      <xdr:colOff>161924</xdr:colOff>
      <xdr:row>19</xdr:row>
      <xdr:rowOff>219339</xdr:rowOff>
    </xdr:to>
    <xdr:pic>
      <xdr:nvPicPr>
        <xdr:cNvPr id="2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50905" y="5393531"/>
          <a:ext cx="161925" cy="1598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23813</xdr:colOff>
      <xdr:row>25</xdr:row>
      <xdr:rowOff>202407</xdr:rowOff>
    </xdr:from>
    <xdr:to>
      <xdr:col>5</xdr:col>
      <xdr:colOff>185738</xdr:colOff>
      <xdr:row>25</xdr:row>
      <xdr:rowOff>362215</xdr:rowOff>
    </xdr:to>
    <xdr:pic>
      <xdr:nvPicPr>
        <xdr:cNvPr id="2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89157" y="5929313"/>
          <a:ext cx="161925" cy="1598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0</xdr:colOff>
      <xdr:row>29</xdr:row>
      <xdr:rowOff>71438</xdr:rowOff>
    </xdr:from>
    <xdr:to>
      <xdr:col>5</xdr:col>
      <xdr:colOff>161925</xdr:colOff>
      <xdr:row>29</xdr:row>
      <xdr:rowOff>231246</xdr:rowOff>
    </xdr:to>
    <xdr:pic>
      <xdr:nvPicPr>
        <xdr:cNvPr id="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65344" y="7631907"/>
          <a:ext cx="161925" cy="159808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11906</xdr:colOff>
      <xdr:row>35</xdr:row>
      <xdr:rowOff>71437</xdr:rowOff>
    </xdr:from>
    <xdr:to>
      <xdr:col>5</xdr:col>
      <xdr:colOff>173831</xdr:colOff>
      <xdr:row>35</xdr:row>
      <xdr:rowOff>231245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77250" y="9001125"/>
          <a:ext cx="161925" cy="15980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21167</xdr:colOff>
      <xdr:row>41</xdr:row>
      <xdr:rowOff>63500</xdr:rowOff>
    </xdr:from>
    <xdr:to>
      <xdr:col>4</xdr:col>
      <xdr:colOff>183092</xdr:colOff>
      <xdr:row>41</xdr:row>
      <xdr:rowOff>223308</xdr:rowOff>
    </xdr:to>
    <xdr:pic>
      <xdr:nvPicPr>
        <xdr:cNvPr id="1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0" y="10329333"/>
          <a:ext cx="161925" cy="15980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21</xdr:row>
      <xdr:rowOff>123825</xdr:rowOff>
    </xdr:from>
    <xdr:to>
      <xdr:col>15</xdr:col>
      <xdr:colOff>161925</xdr:colOff>
      <xdr:row>38</xdr:row>
      <xdr:rowOff>114300</xdr:rowOff>
    </xdr:to>
    <xdr:graphicFrame macro="">
      <xdr:nvGraphicFramePr>
        <xdr:cNvPr id="2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552450</xdr:colOff>
      <xdr:row>21</xdr:row>
      <xdr:rowOff>9525</xdr:rowOff>
    </xdr:from>
    <xdr:to>
      <xdr:col>6</xdr:col>
      <xdr:colOff>1123950</xdr:colOff>
      <xdr:row>39</xdr:row>
      <xdr:rowOff>38100</xdr:rowOff>
    </xdr:to>
    <xdr:graphicFrame macro="">
      <xdr:nvGraphicFramePr>
        <xdr:cNvPr id="3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rketus.com.ua/ua/product/dakon-daline-pte-18/" TargetMode="External"/><Relationship Id="rId2" Type="http://schemas.openxmlformats.org/officeDocument/2006/relationships/hyperlink" Target="http://teplo-klimat.com.ua/otopitelnaya-tehnika/gasovye-kolonki/%D0%90%D0%A2%D0%95%D0%9C-%D0%96%D0%B8%D1%82%D0%BE%D0%BC%D0%B8%D1%80-%D0%92%D0%9F%D0%93-16.html" TargetMode="External"/><Relationship Id="rId1" Type="http://schemas.openxmlformats.org/officeDocument/2006/relationships/hyperlink" Target="http://www.energosvit.com.ua/index.php?page=menu3_2&amp;id=5435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6"/>
  <sheetViews>
    <sheetView tabSelected="1" view="pageBreakPreview" zoomScale="90" zoomScaleNormal="90" zoomScaleSheetLayoutView="90" workbookViewId="0">
      <selection activeCell="A42" sqref="A42:D42"/>
    </sheetView>
  </sheetViews>
  <sheetFormatPr defaultRowHeight="15" x14ac:dyDescent="0.25"/>
  <cols>
    <col min="1" max="1" width="28.5703125" style="66" customWidth="1"/>
    <col min="2" max="2" width="42.28515625" style="66" customWidth="1"/>
    <col min="3" max="3" width="19.5703125" style="66" customWidth="1"/>
    <col min="4" max="4" width="20.5703125" style="66" customWidth="1"/>
    <col min="5" max="5" width="34.28515625" style="66" customWidth="1"/>
    <col min="6" max="6" width="7" style="66" customWidth="1"/>
    <col min="7" max="7" width="10.5703125" style="66" customWidth="1"/>
    <col min="8" max="8" width="30" style="66" customWidth="1"/>
    <col min="9" max="9" width="18.85546875" style="66" customWidth="1"/>
    <col min="10" max="10" width="12.85546875" style="66" customWidth="1"/>
    <col min="11" max="11" width="20.42578125" style="66" customWidth="1"/>
    <col min="12" max="12" width="10.85546875" style="66" customWidth="1"/>
    <col min="13" max="13" width="15.28515625" style="66" customWidth="1"/>
    <col min="14" max="14" width="16.5703125" style="66" customWidth="1"/>
    <col min="15" max="15" width="9.140625" style="66"/>
    <col min="16" max="16" width="16.140625" style="66" customWidth="1"/>
    <col min="17" max="16384" width="9.140625" style="66"/>
  </cols>
  <sheetData>
    <row r="1" spans="1:8" ht="21" customHeight="1" x14ac:dyDescent="0.25">
      <c r="A1" s="82" t="s">
        <v>34</v>
      </c>
      <c r="B1" s="82"/>
      <c r="C1" s="82"/>
      <c r="D1" s="82"/>
      <c r="E1" s="82"/>
      <c r="F1" s="64"/>
      <c r="G1" s="65"/>
      <c r="H1" s="66" t="s">
        <v>145</v>
      </c>
    </row>
    <row r="2" spans="1:8" ht="15" customHeight="1" x14ac:dyDescent="0.25">
      <c r="A2" s="82"/>
      <c r="B2" s="82"/>
      <c r="C2" s="82"/>
      <c r="D2" s="82"/>
      <c r="E2" s="82"/>
      <c r="F2" s="64"/>
      <c r="G2" s="64"/>
    </row>
    <row r="3" spans="1:8" ht="21" x14ac:dyDescent="0.35">
      <c r="A3" s="79" t="s">
        <v>47</v>
      </c>
      <c r="B3" s="79"/>
      <c r="C3" s="79"/>
      <c r="D3" s="79"/>
      <c r="E3" s="79"/>
      <c r="F3" s="64"/>
      <c r="G3" s="67"/>
      <c r="H3" s="66" t="s">
        <v>146</v>
      </c>
    </row>
    <row r="4" spans="1:8" x14ac:dyDescent="0.25">
      <c r="A4" s="83" t="s">
        <v>62</v>
      </c>
      <c r="B4" s="83"/>
      <c r="D4" s="83" t="s">
        <v>63</v>
      </c>
      <c r="E4" s="83"/>
      <c r="F4" s="64"/>
      <c r="G4" s="64"/>
    </row>
    <row r="5" spans="1:8" ht="15" customHeight="1" x14ac:dyDescent="0.25">
      <c r="A5" s="84">
        <f>VLOOKUP(A3,Регіони!A2:D27,4,0)</f>
        <v>176</v>
      </c>
      <c r="B5" s="84"/>
      <c r="D5" s="85">
        <f>VLOOKUP(A3,Регіони!A2:D27,3,0)</f>
        <v>-0.1</v>
      </c>
      <c r="E5" s="86"/>
      <c r="F5" s="64"/>
      <c r="G5" s="64"/>
    </row>
    <row r="6" spans="1:8" ht="15" customHeight="1" x14ac:dyDescent="0.25">
      <c r="F6" s="64"/>
      <c r="G6" s="64"/>
    </row>
    <row r="7" spans="1:8" ht="21" x14ac:dyDescent="0.25">
      <c r="A7" s="90" t="s">
        <v>32</v>
      </c>
      <c r="B7" s="91"/>
      <c r="C7" s="91"/>
      <c r="D7" s="91"/>
      <c r="E7" s="92"/>
      <c r="F7" s="64"/>
      <c r="G7" s="64"/>
    </row>
    <row r="8" spans="1:8" ht="21.75" customHeight="1" x14ac:dyDescent="0.25">
      <c r="A8" s="87">
        <v>65</v>
      </c>
      <c r="B8" s="88"/>
      <c r="C8" s="88"/>
      <c r="D8" s="89"/>
      <c r="E8" s="65" t="s">
        <v>33</v>
      </c>
      <c r="F8" s="64"/>
      <c r="G8" s="64"/>
    </row>
    <row r="9" spans="1:8" ht="15.75" customHeight="1" x14ac:dyDescent="0.25">
      <c r="F9" s="64"/>
      <c r="G9" s="64"/>
    </row>
    <row r="10" spans="1:8" ht="21" customHeight="1" x14ac:dyDescent="0.25">
      <c r="A10" s="95" t="s">
        <v>131</v>
      </c>
      <c r="B10" s="96"/>
      <c r="C10" s="96"/>
      <c r="D10" s="96"/>
      <c r="E10" s="97"/>
      <c r="F10" s="64"/>
      <c r="G10" s="64"/>
    </row>
    <row r="11" spans="1:8" ht="15" customHeight="1" x14ac:dyDescent="0.25">
      <c r="A11" s="98"/>
      <c r="B11" s="99"/>
      <c r="C11" s="99"/>
      <c r="D11" s="99"/>
      <c r="E11" s="100"/>
      <c r="F11" s="64"/>
      <c r="G11" s="64"/>
    </row>
    <row r="12" spans="1:8" ht="21.75" customHeight="1" x14ac:dyDescent="0.25">
      <c r="A12" s="87">
        <v>10</v>
      </c>
      <c r="B12" s="88"/>
      <c r="C12" s="88"/>
      <c r="D12" s="89"/>
      <c r="E12" s="65" t="s">
        <v>27</v>
      </c>
      <c r="F12" s="64"/>
      <c r="G12" s="64"/>
    </row>
    <row r="13" spans="1:8" ht="21" x14ac:dyDescent="0.25">
      <c r="D13" s="68"/>
      <c r="E13" s="68"/>
      <c r="F13" s="64"/>
      <c r="G13" s="64"/>
    </row>
    <row r="14" spans="1:8" ht="21" customHeight="1" x14ac:dyDescent="0.25">
      <c r="A14" s="82" t="s">
        <v>174</v>
      </c>
      <c r="B14" s="101"/>
      <c r="C14" s="101"/>
      <c r="D14" s="101"/>
      <c r="E14" s="101"/>
      <c r="F14" s="64"/>
      <c r="G14" s="64"/>
    </row>
    <row r="15" spans="1:8" ht="15" customHeight="1" x14ac:dyDescent="0.25">
      <c r="A15" s="101"/>
      <c r="B15" s="101"/>
      <c r="C15" s="101"/>
      <c r="D15" s="101"/>
      <c r="E15" s="101"/>
      <c r="F15" s="64"/>
      <c r="G15" s="64"/>
    </row>
    <row r="16" spans="1:8" ht="26.25" customHeight="1" x14ac:dyDescent="0.35">
      <c r="A16" s="79" t="s">
        <v>15</v>
      </c>
      <c r="B16" s="79"/>
      <c r="C16" s="79"/>
      <c r="D16" s="79"/>
      <c r="E16" s="79"/>
      <c r="F16" s="64"/>
      <c r="G16" s="64"/>
    </row>
    <row r="17" spans="1:7" x14ac:dyDescent="0.25">
      <c r="F17" s="64"/>
      <c r="G17" s="64"/>
    </row>
    <row r="18" spans="1:7" ht="15" customHeight="1" x14ac:dyDescent="0.25">
      <c r="A18" s="82" t="s">
        <v>19</v>
      </c>
      <c r="B18" s="82"/>
      <c r="C18" s="82"/>
      <c r="D18" s="82"/>
      <c r="E18" s="82"/>
      <c r="F18" s="64"/>
      <c r="G18" s="64"/>
    </row>
    <row r="19" spans="1:7" ht="18.75" customHeight="1" x14ac:dyDescent="0.25">
      <c r="A19" s="82"/>
      <c r="B19" s="82"/>
      <c r="C19" s="82"/>
      <c r="D19" s="82"/>
      <c r="E19" s="82"/>
      <c r="F19" s="64"/>
      <c r="G19" s="64"/>
    </row>
    <row r="20" spans="1:7" ht="22.5" customHeight="1" x14ac:dyDescent="0.35">
      <c r="A20" s="93" t="s">
        <v>157</v>
      </c>
      <c r="B20" s="94"/>
      <c r="C20" s="94"/>
      <c r="D20" s="94"/>
      <c r="E20" s="94"/>
      <c r="F20" s="64"/>
      <c r="G20" s="64"/>
    </row>
    <row r="21" spans="1:7" x14ac:dyDescent="0.25">
      <c r="A21" s="69" t="s">
        <v>134</v>
      </c>
      <c r="B21" s="69" t="s">
        <v>175</v>
      </c>
      <c r="C21" s="69" t="s">
        <v>5</v>
      </c>
      <c r="D21" s="70" t="s">
        <v>21</v>
      </c>
      <c r="E21" s="70" t="s">
        <v>4</v>
      </c>
      <c r="F21" s="64"/>
      <c r="G21" s="64"/>
    </row>
    <row r="22" spans="1:7" x14ac:dyDescent="0.25">
      <c r="A22" s="71">
        <f>IF(A16="Централізоване опалення","-",ROUNDUP(Розрахунки!E3,0))</f>
        <v>7</v>
      </c>
      <c r="B22" s="71">
        <f>IF(A16="Централізоване опалення","-",VLOOKUP($A$20,Дані!$A$1:$F$65,3,0))</f>
        <v>80</v>
      </c>
      <c r="C22" s="71">
        <f>IF(A16="Централізоване опалення","90",VLOOKUP($A$20,Дані!$A$1:$F$65,4,0))</f>
        <v>92</v>
      </c>
      <c r="D22" s="72">
        <f>IF($A$16="Централізоване опалення","-",VLOOKUP($A$20,Дані!$A$1:$F$65,5,0)*(A22/20))</f>
        <v>0.64749999999999996</v>
      </c>
      <c r="E22" s="71">
        <f>ROUNDUP(IF(A16="Централізоване опалення","-",VLOOKUP($A$20,Дані!$A$1:$F$65,6,0)*((H9/20)+0.2)),0)</f>
        <v>1120</v>
      </c>
      <c r="F22" s="64"/>
      <c r="G22" s="64"/>
    </row>
    <row r="23" spans="1:7" x14ac:dyDescent="0.25">
      <c r="F23" s="64"/>
      <c r="G23" s="64"/>
    </row>
    <row r="24" spans="1:7" x14ac:dyDescent="0.25">
      <c r="A24" s="82" t="s">
        <v>20</v>
      </c>
      <c r="B24" s="82"/>
      <c r="C24" s="82"/>
      <c r="D24" s="82"/>
      <c r="E24" s="82"/>
      <c r="F24" s="64"/>
      <c r="G24" s="64"/>
    </row>
    <row r="25" spans="1:7" x14ac:dyDescent="0.25">
      <c r="A25" s="82"/>
      <c r="B25" s="82"/>
      <c r="C25" s="82"/>
      <c r="D25" s="82"/>
      <c r="E25" s="82"/>
      <c r="F25" s="64"/>
      <c r="G25" s="64"/>
    </row>
    <row r="26" spans="1:7" ht="29.25" customHeight="1" x14ac:dyDescent="0.35">
      <c r="A26" s="79" t="s">
        <v>18</v>
      </c>
      <c r="B26" s="79"/>
      <c r="C26" s="79"/>
      <c r="D26" s="79"/>
      <c r="E26" s="79"/>
      <c r="F26" s="64"/>
      <c r="G26" s="64"/>
    </row>
    <row r="27" spans="1:7" x14ac:dyDescent="0.25">
      <c r="F27" s="64"/>
      <c r="G27" s="64"/>
    </row>
    <row r="28" spans="1:7" x14ac:dyDescent="0.25">
      <c r="A28" s="82" t="s">
        <v>22</v>
      </c>
      <c r="B28" s="82"/>
      <c r="C28" s="82"/>
      <c r="D28" s="82"/>
      <c r="E28" s="82"/>
      <c r="F28" s="64"/>
      <c r="G28" s="64"/>
    </row>
    <row r="29" spans="1:7" ht="12.75" customHeight="1" x14ac:dyDescent="0.25">
      <c r="A29" s="82"/>
      <c r="B29" s="82"/>
      <c r="C29" s="82"/>
      <c r="D29" s="82"/>
      <c r="E29" s="82"/>
      <c r="F29" s="64"/>
      <c r="G29" s="64"/>
    </row>
    <row r="30" spans="1:7" ht="21.75" customHeight="1" x14ac:dyDescent="0.35">
      <c r="A30" s="79" t="s">
        <v>120</v>
      </c>
      <c r="B30" s="79"/>
      <c r="C30" s="79"/>
      <c r="D30" s="79"/>
      <c r="E30" s="79"/>
      <c r="F30" s="64"/>
      <c r="G30" s="64"/>
    </row>
    <row r="31" spans="1:7" x14ac:dyDescent="0.25">
      <c r="A31" s="69" t="s">
        <v>134</v>
      </c>
      <c r="B31" s="69" t="s">
        <v>175</v>
      </c>
      <c r="C31" s="69" t="s">
        <v>5</v>
      </c>
      <c r="D31" s="70" t="s">
        <v>21</v>
      </c>
      <c r="E31" s="70" t="s">
        <v>173</v>
      </c>
      <c r="F31" s="64"/>
      <c r="G31" s="64"/>
    </row>
    <row r="32" spans="1:7" x14ac:dyDescent="0.25">
      <c r="A32" s="71">
        <f>ROUNDUP(Розрахунки!E3,0)</f>
        <v>7</v>
      </c>
      <c r="B32" s="73">
        <f>VLOOKUP(A30,Дані!$A$1:$F$65,3,0)</f>
        <v>100</v>
      </c>
      <c r="C32" s="71">
        <f>VLOOKUP(A30,Дані!$A$1:$F$65,4,0)</f>
        <v>85</v>
      </c>
      <c r="D32" s="72">
        <f>IF(A26="Електричний котел","-",VLOOKUP($A$30,Дані!$A$1:$F$65,5,0)*(A32/20))</f>
        <v>0.80499999999999994</v>
      </c>
      <c r="E32" s="71">
        <f>ROUNDUP((VLOOKUP(A30,Дані!$A$1:$F$65,6,0))*((A32/20))+3000,0)</f>
        <v>13500</v>
      </c>
      <c r="F32" s="64"/>
      <c r="G32" s="64"/>
    </row>
    <row r="33" spans="1:17" x14ac:dyDescent="0.25">
      <c r="F33" s="64"/>
      <c r="G33" s="64"/>
    </row>
    <row r="34" spans="1:17" x14ac:dyDescent="0.25">
      <c r="A34" s="80" t="s">
        <v>135</v>
      </c>
      <c r="B34" s="80"/>
      <c r="C34" s="80"/>
      <c r="D34" s="80"/>
      <c r="E34" s="80"/>
      <c r="F34" s="64"/>
      <c r="G34" s="64"/>
    </row>
    <row r="35" spans="1:17" x14ac:dyDescent="0.25">
      <c r="A35" s="80"/>
      <c r="B35" s="80"/>
      <c r="C35" s="80"/>
      <c r="D35" s="80"/>
      <c r="E35" s="80"/>
      <c r="F35" s="64"/>
      <c r="G35" s="64"/>
    </row>
    <row r="36" spans="1:17" ht="27" customHeight="1" x14ac:dyDescent="0.35">
      <c r="A36" s="79" t="s">
        <v>138</v>
      </c>
      <c r="B36" s="79"/>
      <c r="C36" s="79"/>
      <c r="D36" s="79"/>
      <c r="E36" s="79"/>
      <c r="F36" s="64"/>
      <c r="G36" s="64"/>
      <c r="I36" s="74"/>
      <c r="J36" s="74"/>
      <c r="K36" s="74"/>
      <c r="L36" s="74"/>
      <c r="M36" s="74"/>
      <c r="N36" s="74"/>
      <c r="O36" s="74"/>
      <c r="Q36" s="74"/>
    </row>
    <row r="37" spans="1:17" x14ac:dyDescent="0.25">
      <c r="F37" s="64"/>
      <c r="G37" s="64"/>
      <c r="I37" s="74"/>
      <c r="J37" s="74"/>
      <c r="K37" s="74"/>
      <c r="L37" s="74"/>
      <c r="M37" s="74"/>
      <c r="N37" s="74"/>
      <c r="O37" s="74"/>
      <c r="Q37" s="74"/>
    </row>
    <row r="38" spans="1:17" ht="21" x14ac:dyDescent="0.25">
      <c r="A38" s="80" t="s">
        <v>147</v>
      </c>
      <c r="B38" s="80"/>
      <c r="C38" s="80"/>
      <c r="D38" s="80"/>
      <c r="E38" s="80"/>
      <c r="F38" s="64"/>
      <c r="G38" s="64"/>
      <c r="I38" s="74"/>
      <c r="J38" s="74"/>
      <c r="K38" s="74"/>
      <c r="L38" s="74"/>
      <c r="M38" s="74"/>
      <c r="N38" s="74"/>
      <c r="O38" s="74"/>
      <c r="Q38" s="74"/>
    </row>
    <row r="39" spans="1:17" ht="21" x14ac:dyDescent="0.35">
      <c r="A39" s="81">
        <f>IF(AND(A26="Газовий котел",A36="Кредитні кошти"),"Кошти не відшкодовуються",ROUNDUP(IF((Калькулятор!E32-3000)&lt;25000,(Калькулятор!E32-3000)*0.2,5000),0))</f>
        <v>2100</v>
      </c>
      <c r="B39" s="81"/>
      <c r="C39" s="81"/>
      <c r="D39" s="81"/>
      <c r="E39" s="75" t="s">
        <v>148</v>
      </c>
      <c r="F39" s="64"/>
      <c r="G39" s="64"/>
      <c r="Q39" s="74"/>
    </row>
    <row r="40" spans="1:17" x14ac:dyDescent="0.25">
      <c r="F40" s="64"/>
      <c r="G40" s="64"/>
      <c r="Q40" s="74"/>
    </row>
    <row r="41" spans="1:17" ht="21" x14ac:dyDescent="0.25">
      <c r="A41" s="80" t="s">
        <v>149</v>
      </c>
      <c r="B41" s="80"/>
      <c r="C41" s="80"/>
      <c r="D41" s="80"/>
      <c r="E41" s="80"/>
      <c r="F41" s="64"/>
      <c r="G41" s="64"/>
    </row>
    <row r="42" spans="1:17" ht="21" x14ac:dyDescent="0.35">
      <c r="A42" s="79">
        <v>24</v>
      </c>
      <c r="B42" s="79"/>
      <c r="C42" s="79"/>
      <c r="D42" s="79"/>
      <c r="E42" s="75" t="s">
        <v>150</v>
      </c>
      <c r="F42" s="64"/>
      <c r="G42" s="64"/>
    </row>
    <row r="43" spans="1:17" x14ac:dyDescent="0.25">
      <c r="F43" s="64"/>
      <c r="G43" s="64"/>
    </row>
    <row r="44" spans="1:17" ht="21" x14ac:dyDescent="0.25">
      <c r="A44" s="77" t="s">
        <v>130</v>
      </c>
      <c r="B44" s="77"/>
      <c r="C44" s="77"/>
      <c r="D44" s="77"/>
      <c r="E44" s="77"/>
      <c r="F44" s="64"/>
      <c r="G44" s="64"/>
    </row>
    <row r="45" spans="1:17" ht="21" x14ac:dyDescent="0.35">
      <c r="A45" s="78">
        <f>Розрахунки!P7</f>
        <v>12514.907515047291</v>
      </c>
      <c r="B45" s="78"/>
      <c r="C45" s="78"/>
      <c r="D45" s="78"/>
      <c r="E45" s="75" t="s">
        <v>24</v>
      </c>
      <c r="F45" s="64"/>
      <c r="G45" s="64"/>
    </row>
    <row r="46" spans="1:17" x14ac:dyDescent="0.25">
      <c r="F46" s="64"/>
      <c r="G46" s="64"/>
    </row>
    <row r="47" spans="1:17" ht="21" x14ac:dyDescent="0.25">
      <c r="A47" s="77" t="s">
        <v>132</v>
      </c>
      <c r="B47" s="77"/>
      <c r="C47" s="77"/>
      <c r="D47" s="77"/>
      <c r="E47" s="77"/>
      <c r="F47" s="64"/>
      <c r="G47" s="64"/>
    </row>
    <row r="48" spans="1:17" ht="21" x14ac:dyDescent="0.35">
      <c r="A48" s="78">
        <f>IF(AND(A26="Газовий котел", A36="Кредитні кошти"),"Кредит не видається",Розрахунки!P12)</f>
        <v>6787.2742906276853</v>
      </c>
      <c r="B48" s="78"/>
      <c r="C48" s="78"/>
      <c r="D48" s="78"/>
      <c r="E48" s="75" t="s">
        <v>24</v>
      </c>
      <c r="F48" s="64"/>
      <c r="G48" s="64"/>
    </row>
    <row r="50" spans="1:5" ht="21" x14ac:dyDescent="0.25">
      <c r="A50" s="77" t="s">
        <v>25</v>
      </c>
      <c r="B50" s="77"/>
      <c r="C50" s="77"/>
      <c r="D50" s="77"/>
      <c r="E50" s="77"/>
    </row>
    <row r="51" spans="1:5" ht="21" x14ac:dyDescent="0.35">
      <c r="A51" s="78">
        <f>IF(AND(A26="Газовий котел",A36="Кредитні кошти"),"Кредит не видається",IF((A45-A48)&lt;0,"Даний котел не приносить Вам економію",A45-A48))</f>
        <v>5727.6332244196055</v>
      </c>
      <c r="B51" s="78"/>
      <c r="C51" s="78"/>
      <c r="D51" s="78"/>
      <c r="E51" s="75" t="s">
        <v>24</v>
      </c>
    </row>
    <row r="53" spans="1:5" ht="21" x14ac:dyDescent="0.25">
      <c r="A53" s="77" t="s">
        <v>26</v>
      </c>
      <c r="B53" s="77"/>
      <c r="C53" s="77"/>
      <c r="D53" s="77"/>
      <c r="E53" s="77"/>
    </row>
    <row r="54" spans="1:5" ht="40.5" customHeight="1" x14ac:dyDescent="0.35">
      <c r="A54" s="78">
        <f>IF(AND(A26="Газовий котел",A36="Кредитні кошти"),"Кредит не видається",IF(A51="Даний котел не приносить Вам економію","неокупний_варіант",Розрахунки!F18/A51))</f>
        <v>3.0436446114732698</v>
      </c>
      <c r="B54" s="78"/>
      <c r="C54" s="78"/>
      <c r="D54" s="78"/>
      <c r="E54" s="76" t="s">
        <v>176</v>
      </c>
    </row>
    <row r="94" spans="15:17" x14ac:dyDescent="0.25">
      <c r="O94" s="74"/>
      <c r="P94" s="74"/>
      <c r="Q94" s="74"/>
    </row>
    <row r="97" spans="1:17" x14ac:dyDescent="0.25">
      <c r="A97" s="74"/>
      <c r="B97" s="74"/>
      <c r="C97" s="74"/>
      <c r="D97" s="74"/>
      <c r="E97" s="74"/>
      <c r="F97" s="74"/>
      <c r="G97" s="74"/>
      <c r="H97" s="74"/>
    </row>
    <row r="98" spans="1:17" x14ac:dyDescent="0.25">
      <c r="A98" s="74"/>
      <c r="B98" s="74"/>
      <c r="C98" s="74"/>
      <c r="D98" s="74"/>
      <c r="E98" s="74"/>
      <c r="F98" s="74"/>
      <c r="G98" s="74"/>
      <c r="H98" s="74"/>
    </row>
    <row r="99" spans="1:17" x14ac:dyDescent="0.25">
      <c r="A99" s="74"/>
      <c r="B99" s="74"/>
      <c r="C99" s="74"/>
      <c r="D99" s="74"/>
      <c r="E99" s="74"/>
      <c r="F99" s="74"/>
      <c r="G99" s="74"/>
      <c r="H99" s="74"/>
    </row>
    <row r="100" spans="1:17" x14ac:dyDescent="0.25">
      <c r="A100" s="74"/>
      <c r="B100" s="74"/>
      <c r="C100" s="74"/>
      <c r="D100" s="74"/>
      <c r="E100" s="74"/>
      <c r="F100" s="74"/>
      <c r="G100" s="74"/>
      <c r="H100" s="74"/>
    </row>
    <row r="101" spans="1:17" x14ac:dyDescent="0.25">
      <c r="A101" s="74"/>
      <c r="B101" s="74"/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  <c r="Q101" s="74"/>
    </row>
    <row r="102" spans="1:17" x14ac:dyDescent="0.25">
      <c r="A102" s="74"/>
      <c r="B102" s="74"/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  <c r="Q102" s="74"/>
    </row>
    <row r="103" spans="1:17" x14ac:dyDescent="0.25">
      <c r="A103" s="74"/>
      <c r="B103" s="74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  <c r="Q103" s="74"/>
    </row>
    <row r="104" spans="1:17" x14ac:dyDescent="0.25">
      <c r="A104" s="74"/>
      <c r="B104" s="74"/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  <c r="Q104" s="74"/>
    </row>
    <row r="105" spans="1:17" x14ac:dyDescent="0.25">
      <c r="A105" s="74"/>
      <c r="B105" s="74"/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  <c r="Q105" s="74"/>
    </row>
    <row r="106" spans="1:17" x14ac:dyDescent="0.25">
      <c r="A106" s="74"/>
      <c r="B106" s="74"/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  <c r="Q106" s="74"/>
    </row>
    <row r="107" spans="1:17" x14ac:dyDescent="0.25">
      <c r="A107" s="74"/>
      <c r="B107" s="74"/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  <c r="Q107" s="74"/>
    </row>
    <row r="108" spans="1:17" x14ac:dyDescent="0.25">
      <c r="A108" s="74"/>
      <c r="B108" s="74"/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  <c r="Q108" s="74"/>
    </row>
    <row r="109" spans="1:17" x14ac:dyDescent="0.2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  <c r="Q109" s="74"/>
    </row>
    <row r="110" spans="1:17" x14ac:dyDescent="0.25">
      <c r="A110" s="74"/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</row>
    <row r="111" spans="1:17" x14ac:dyDescent="0.25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</row>
    <row r="112" spans="1:17" x14ac:dyDescent="0.25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</row>
    <row r="113" spans="9:17" x14ac:dyDescent="0.25">
      <c r="I113" s="74"/>
      <c r="J113" s="74"/>
      <c r="K113" s="74"/>
      <c r="L113" s="74"/>
      <c r="M113" s="74"/>
      <c r="N113" s="74"/>
      <c r="O113" s="74"/>
      <c r="P113" s="74"/>
      <c r="Q113" s="74"/>
    </row>
    <row r="114" spans="9:17" x14ac:dyDescent="0.25">
      <c r="I114" s="74"/>
      <c r="J114" s="74"/>
      <c r="K114" s="74"/>
      <c r="L114" s="74"/>
      <c r="M114" s="74"/>
      <c r="N114" s="74"/>
      <c r="O114" s="74"/>
      <c r="P114" s="74"/>
      <c r="Q114" s="74"/>
    </row>
    <row r="115" spans="9:17" x14ac:dyDescent="0.25">
      <c r="I115" s="74"/>
      <c r="J115" s="74"/>
      <c r="K115" s="74"/>
      <c r="L115" s="74"/>
      <c r="M115" s="74"/>
      <c r="N115" s="74"/>
      <c r="O115" s="74"/>
      <c r="P115" s="74"/>
      <c r="Q115" s="74"/>
    </row>
    <row r="116" spans="9:17" x14ac:dyDescent="0.25">
      <c r="I116" s="74"/>
      <c r="J116" s="74"/>
      <c r="K116" s="74"/>
      <c r="L116" s="74"/>
      <c r="M116" s="74"/>
      <c r="N116" s="74"/>
      <c r="O116" s="74"/>
      <c r="P116" s="74"/>
      <c r="Q116" s="74"/>
    </row>
    <row r="162" spans="1:17" x14ac:dyDescent="0.25">
      <c r="A162" s="74"/>
      <c r="B162" s="74"/>
      <c r="C162" s="74"/>
      <c r="D162" s="74"/>
      <c r="E162" s="74"/>
      <c r="F162" s="74"/>
      <c r="G162" s="74"/>
      <c r="H162" s="74"/>
    </row>
    <row r="163" spans="1:17" x14ac:dyDescent="0.25">
      <c r="A163" s="74"/>
      <c r="B163" s="74"/>
      <c r="C163" s="74"/>
      <c r="D163" s="74"/>
      <c r="E163" s="74"/>
      <c r="F163" s="74"/>
      <c r="G163" s="74"/>
      <c r="H163" s="74"/>
    </row>
    <row r="164" spans="1:17" x14ac:dyDescent="0.25">
      <c r="A164" s="74"/>
      <c r="B164" s="74"/>
      <c r="C164" s="74"/>
      <c r="D164" s="74"/>
      <c r="E164" s="74"/>
      <c r="F164" s="74"/>
      <c r="G164" s="74"/>
      <c r="H164" s="74"/>
    </row>
    <row r="165" spans="1:17" x14ac:dyDescent="0.25">
      <c r="A165" s="74"/>
      <c r="B165" s="74"/>
      <c r="C165" s="74"/>
      <c r="D165" s="74"/>
      <c r="E165" s="74"/>
      <c r="F165" s="74"/>
      <c r="G165" s="74"/>
      <c r="H165" s="74"/>
    </row>
    <row r="166" spans="1:17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</row>
    <row r="167" spans="1:17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</row>
    <row r="168" spans="1:17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</row>
    <row r="169" spans="1:17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</row>
    <row r="170" spans="1:17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</row>
    <row r="171" spans="1:17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</row>
    <row r="172" spans="1:17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</row>
    <row r="173" spans="1:17" x14ac:dyDescent="0.25">
      <c r="I173" s="74"/>
      <c r="J173" s="74"/>
      <c r="K173" s="74"/>
      <c r="L173" s="74"/>
      <c r="M173" s="74"/>
      <c r="N173" s="74"/>
      <c r="O173" s="74"/>
      <c r="P173" s="74"/>
      <c r="Q173" s="74"/>
    </row>
    <row r="174" spans="1:17" x14ac:dyDescent="0.25">
      <c r="I174" s="74"/>
      <c r="J174" s="74"/>
      <c r="K174" s="74"/>
      <c r="L174" s="74"/>
      <c r="M174" s="74"/>
      <c r="N174" s="74"/>
      <c r="O174" s="74"/>
      <c r="P174" s="74"/>
      <c r="Q174" s="74"/>
    </row>
    <row r="175" spans="1:17" x14ac:dyDescent="0.25">
      <c r="I175" s="74"/>
      <c r="J175" s="74"/>
      <c r="K175" s="74"/>
      <c r="L175" s="74"/>
      <c r="M175" s="74"/>
      <c r="N175" s="74"/>
      <c r="O175" s="74"/>
      <c r="P175" s="74"/>
      <c r="Q175" s="74"/>
    </row>
    <row r="176" spans="1:17" x14ac:dyDescent="0.25">
      <c r="I176" s="74"/>
      <c r="J176" s="74"/>
      <c r="K176" s="74"/>
      <c r="L176" s="74"/>
      <c r="M176" s="74"/>
      <c r="N176" s="74"/>
      <c r="O176" s="74"/>
      <c r="P176" s="74"/>
      <c r="Q176" s="74"/>
    </row>
  </sheetData>
  <sheetProtection algorithmName="SHA-512" hashValue="ZconwSAp23O0YsMDTE69K/E+NpwtyP8fj91UgOLwNpwAqWf+0AeCbD01DzRBib8h0Y3t9SB9RXHzfvv5M98PCA==" saltValue="6tyV3CxWx6tlEZY4yMehnw==" spinCount="100000" sheet="1" objects="1" scenarios="1"/>
  <dataConsolidate/>
  <mergeCells count="32">
    <mergeCell ref="A26:E26"/>
    <mergeCell ref="A28:E29"/>
    <mergeCell ref="A12:D12"/>
    <mergeCell ref="A7:E7"/>
    <mergeCell ref="A18:E19"/>
    <mergeCell ref="A20:E20"/>
    <mergeCell ref="A24:E25"/>
    <mergeCell ref="A8:D8"/>
    <mergeCell ref="A10:E11"/>
    <mergeCell ref="A14:E15"/>
    <mergeCell ref="A16:E16"/>
    <mergeCell ref="A1:E2"/>
    <mergeCell ref="A3:E3"/>
    <mergeCell ref="A4:B4"/>
    <mergeCell ref="A5:B5"/>
    <mergeCell ref="D4:E4"/>
    <mergeCell ref="D5:E5"/>
    <mergeCell ref="A30:E30"/>
    <mergeCell ref="A34:E35"/>
    <mergeCell ref="A36:E36"/>
    <mergeCell ref="A44:E44"/>
    <mergeCell ref="A45:D45"/>
    <mergeCell ref="A38:E38"/>
    <mergeCell ref="A39:D39"/>
    <mergeCell ref="A41:E41"/>
    <mergeCell ref="A42:D42"/>
    <mergeCell ref="A53:E53"/>
    <mergeCell ref="A54:D54"/>
    <mergeCell ref="A47:E47"/>
    <mergeCell ref="A48:D48"/>
    <mergeCell ref="A50:E50"/>
    <mergeCell ref="A51:D51"/>
  </mergeCells>
  <dataValidations xWindow="739" yWindow="362" count="9">
    <dataValidation type="list" allowBlank="1" showInputMessage="1" showErrorMessage="1" sqref="A20:E20">
      <formula1>INDIRECT(SUBSTITUTE(A16," ","_"))</formula1>
    </dataValidation>
    <dataValidation type="list" allowBlank="1" showInputMessage="1" showErrorMessage="1" sqref="A30:E30">
      <formula1>INDIRECT(SUBSTITUTE($A$26," ","_"))</formula1>
    </dataValidation>
    <dataValidation type="list" allowBlank="1" promptTitle="Повідомлення" prompt="Кредитні кошти не надаються у разі переходу на газовий котел" sqref="A36:E36">
      <formula1>Тип_фінансування</formula1>
    </dataValidation>
    <dataValidation type="list" allowBlank="1" showInputMessage="1" showErrorMessage="1" sqref="A42:D42">
      <formula1>Строк_кредиту</formula1>
    </dataValidation>
    <dataValidation type="list" allowBlank="1" showInputMessage="1" showErrorMessage="1" sqref="A26:E26">
      <formula1>Котли1</formula1>
    </dataValidation>
    <dataValidation type="decimal" allowBlank="1" showInputMessage="1" showErrorMessage="1" sqref="A12:D12">
      <formula1>0</formula1>
      <formula2>20</formula2>
    </dataValidation>
    <dataValidation type="decimal" allowBlank="1" showInputMessage="1" showErrorMessage="1" sqref="A8">
      <formula1>20</formula1>
      <formula2>1000</formula2>
    </dataValidation>
    <dataValidation type="list" allowBlank="1" showInputMessage="1" showErrorMessage="1" sqref="A16:E16">
      <formula1>Котли</formula1>
    </dataValidation>
    <dataValidation type="list" allowBlank="1" showInputMessage="1" showErrorMessage="1" sqref="A3:E3">
      <formula1>Регіони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portrait" horizontalDpi="300" verticalDpi="300" r:id="rId1"/>
  <headerFooter>
    <oddHeader>Сторінка &amp;P</oddHeader>
    <oddFooter>Сторінка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"/>
  <sheetViews>
    <sheetView topLeftCell="E1" workbookViewId="0">
      <selection activeCell="G3" sqref="G3"/>
    </sheetView>
  </sheetViews>
  <sheetFormatPr defaultRowHeight="15" x14ac:dyDescent="0.25"/>
  <cols>
    <col min="2" max="2" width="17.85546875" customWidth="1"/>
    <col min="3" max="3" width="19.5703125" customWidth="1"/>
    <col min="4" max="4" width="23.5703125" customWidth="1"/>
    <col min="5" max="5" width="33.140625" customWidth="1"/>
    <col min="6" max="6" width="31.85546875" customWidth="1"/>
    <col min="7" max="7" width="12.28515625" customWidth="1"/>
    <col min="8" max="8" width="23.85546875" customWidth="1"/>
    <col min="10" max="10" width="14.42578125" customWidth="1"/>
    <col min="11" max="11" width="10.42578125" customWidth="1"/>
    <col min="13" max="13" width="15.28515625" customWidth="1"/>
  </cols>
  <sheetData>
    <row r="2" spans="1:17" x14ac:dyDescent="0.25">
      <c r="A2" s="42" t="s">
        <v>74</v>
      </c>
      <c r="B2" s="43"/>
      <c r="C2" s="6"/>
      <c r="D2" s="6"/>
      <c r="E2" s="10" t="s">
        <v>75</v>
      </c>
      <c r="F2" s="11" t="s">
        <v>78</v>
      </c>
      <c r="G2" s="11" t="s">
        <v>73</v>
      </c>
      <c r="H2" s="27" t="s">
        <v>99</v>
      </c>
      <c r="I2" s="27" t="s">
        <v>98</v>
      </c>
      <c r="J2" s="15" t="s">
        <v>100</v>
      </c>
      <c r="K2" s="41" t="s">
        <v>68</v>
      </c>
      <c r="L2" s="41" t="s">
        <v>29</v>
      </c>
      <c r="M2" s="41" t="s">
        <v>121</v>
      </c>
      <c r="O2" s="11" t="s">
        <v>76</v>
      </c>
      <c r="P2" s="11" t="s">
        <v>77</v>
      </c>
      <c r="Q2" s="6"/>
    </row>
    <row r="3" spans="1:17" x14ac:dyDescent="0.25">
      <c r="A3" s="9" t="s">
        <v>64</v>
      </c>
      <c r="B3" s="45">
        <f>IF(Калькулятор!A16="Газовий котел",L3,0)</f>
        <v>7.1879999999999997</v>
      </c>
      <c r="C3" s="32"/>
      <c r="D3" s="6"/>
      <c r="E3" s="47">
        <f>Калькулятор!$A$8/10</f>
        <v>6.5</v>
      </c>
      <c r="F3" s="45">
        <f>E3*Калькулятор!$A$5*24*0.5</f>
        <v>13728</v>
      </c>
      <c r="G3" s="48">
        <f>$F$3/1163</f>
        <v>11.803955288048151</v>
      </c>
      <c r="H3" s="48">
        <f>(G3*1000000/K3)*(1+(1-M3/100))</f>
        <v>1741.0834049871023</v>
      </c>
      <c r="I3" s="47" t="s">
        <v>69</v>
      </c>
      <c r="J3" s="53">
        <f>H3/(Калькулятор!$A$5/30)</f>
        <v>296.77558039552883</v>
      </c>
      <c r="K3" s="49">
        <v>8000</v>
      </c>
      <c r="L3" s="49">
        <f>IF(J3&gt;200,7.188,3.6)</f>
        <v>7.1879999999999997</v>
      </c>
      <c r="M3" s="49">
        <f>Калькулятор!$C$22-(Калькулятор!$A$12*1)</f>
        <v>82</v>
      </c>
      <c r="O3" s="45">
        <f>H3*B3</f>
        <v>12514.907515047291</v>
      </c>
      <c r="P3" s="1"/>
      <c r="Q3" s="6"/>
    </row>
    <row r="4" spans="1:17" x14ac:dyDescent="0.25">
      <c r="A4" s="9" t="s">
        <v>65</v>
      </c>
      <c r="B4" s="45">
        <f>IF(Калькулятор!A16="Дизельний котел",L4,0)</f>
        <v>0</v>
      </c>
      <c r="C4" s="32"/>
      <c r="D4" s="6"/>
      <c r="E4" s="47">
        <f>Калькулятор!$A$8/10</f>
        <v>6.5</v>
      </c>
      <c r="F4" s="45">
        <f>E4*Калькулятор!$A$5*24*0.5</f>
        <v>13728</v>
      </c>
      <c r="G4" s="48">
        <f>$F$3/1163</f>
        <v>11.803955288048151</v>
      </c>
      <c r="H4" s="48">
        <f>(G4*1000000/K4)*(1+(1-M4/100))</f>
        <v>1368.2384322099037</v>
      </c>
      <c r="I4" s="47" t="s">
        <v>70</v>
      </c>
      <c r="J4" s="53">
        <f>H4/(Калькулятор!$A$5/30)</f>
        <v>233.22246003577905</v>
      </c>
      <c r="K4" s="49">
        <v>10180</v>
      </c>
      <c r="L4" s="47">
        <v>21</v>
      </c>
      <c r="M4" s="49">
        <f>Калькулятор!$C$22-(Калькулятор!$A$12*1)</f>
        <v>82</v>
      </c>
      <c r="O4" s="45">
        <f>H4*B4</f>
        <v>0</v>
      </c>
      <c r="P4" s="1"/>
      <c r="Q4" s="6"/>
    </row>
    <row r="5" spans="1:17" x14ac:dyDescent="0.25">
      <c r="A5" s="1" t="s">
        <v>66</v>
      </c>
      <c r="B5" s="45">
        <f>IF(Калькулятор!A16="Електричний котел",L5,0)</f>
        <v>0</v>
      </c>
      <c r="C5" s="32"/>
      <c r="D5" s="6"/>
      <c r="E5" s="47">
        <f>Калькулятор!$A$8/10</f>
        <v>6.5</v>
      </c>
      <c r="F5" s="45">
        <f>E5*Калькулятор!$A$5*24*0.5</f>
        <v>13728</v>
      </c>
      <c r="G5" s="48">
        <f>$F$3/1163</f>
        <v>11.803955288048151</v>
      </c>
      <c r="H5" s="52">
        <f>F5*(1+(100-M5)/100)</f>
        <v>16199.039999999999</v>
      </c>
      <c r="I5" s="47" t="s">
        <v>71</v>
      </c>
      <c r="J5" s="53">
        <f>H5/(Калькулятор!$A$5/30)</f>
        <v>2761.2</v>
      </c>
      <c r="K5" s="49" t="s">
        <v>83</v>
      </c>
      <c r="L5" s="49">
        <f>IF(J5&gt;3600,1.479,0.456)</f>
        <v>0.45600000000000002</v>
      </c>
      <c r="M5" s="49">
        <f>Калькулятор!$C$22-(Калькулятор!$A$12*1)</f>
        <v>82</v>
      </c>
      <c r="O5" s="45">
        <f>H5*B5</f>
        <v>0</v>
      </c>
      <c r="P5" s="1"/>
      <c r="Q5" s="6"/>
    </row>
    <row r="6" spans="1:17" x14ac:dyDescent="0.25">
      <c r="A6" s="9" t="s">
        <v>67</v>
      </c>
      <c r="B6" s="45">
        <f>IF(Калькулятор!A16="Твердопаливний котел",L6,0)</f>
        <v>0</v>
      </c>
      <c r="C6" s="32"/>
      <c r="D6" s="6"/>
      <c r="E6" s="47">
        <f>Калькулятор!$A$8/10</f>
        <v>6.5</v>
      </c>
      <c r="F6" s="45">
        <f>E6*Калькулятор!$A$5*24*0.5</f>
        <v>13728</v>
      </c>
      <c r="G6" s="48">
        <f>$F$3/1163</f>
        <v>11.803955288048151</v>
      </c>
      <c r="H6" s="48">
        <f>(G6*1000000/K6)*(1+(1-M6/100))</f>
        <v>2785.733447979364</v>
      </c>
      <c r="I6" s="47" t="s">
        <v>72</v>
      </c>
      <c r="J6" s="53">
        <f>H6/(Калькулятор!$A$5/30)</f>
        <v>474.84092863284616</v>
      </c>
      <c r="K6" s="49">
        <v>5000</v>
      </c>
      <c r="L6" s="47">
        <v>2.5</v>
      </c>
      <c r="M6" s="49">
        <f>Калькулятор!$C$22-(Калькулятор!$A$12*1)</f>
        <v>82</v>
      </c>
      <c r="O6" s="45">
        <f>H6*B6</f>
        <v>0</v>
      </c>
      <c r="P6" s="1"/>
      <c r="Q6" s="6"/>
    </row>
    <row r="7" spans="1:17" x14ac:dyDescent="0.25">
      <c r="A7" s="9" t="s">
        <v>81</v>
      </c>
      <c r="B7" s="45">
        <f>IF(Калькулятор!A16="Централізоване опалення",L7,0)</f>
        <v>0</v>
      </c>
      <c r="C7" s="46">
        <f>SUM(B3:B7)</f>
        <v>7.1879999999999997</v>
      </c>
      <c r="D7" s="6"/>
      <c r="E7" s="47">
        <f>Калькулятор!$A$8/10</f>
        <v>6.5</v>
      </c>
      <c r="F7" s="45">
        <f>G7*1163</f>
        <v>11188.06</v>
      </c>
      <c r="G7" s="48">
        <f>Калькулятор!A8*VLOOKUP(Калькулятор!A3,Регіони!A2:E27,5,0)</f>
        <v>9.6199999999999992</v>
      </c>
      <c r="H7" s="40"/>
      <c r="J7" s="26"/>
      <c r="L7">
        <f>IF(Калькулятор!A16="Централізоване опалення",VLOOKUP(Калькулятор!#REF!,#REF!,2,0),0)</f>
        <v>0</v>
      </c>
      <c r="O7" s="45">
        <f>G7*B7</f>
        <v>0</v>
      </c>
      <c r="P7" s="45">
        <f>SUM(O3:O7)</f>
        <v>12514.907515047291</v>
      </c>
      <c r="Q7" s="6"/>
    </row>
    <row r="8" spans="1:17" x14ac:dyDescent="0.25">
      <c r="A8" s="102" t="s">
        <v>23</v>
      </c>
      <c r="B8" s="103"/>
      <c r="C8" s="32"/>
      <c r="D8" s="6"/>
      <c r="E8" s="29" t="s">
        <v>79</v>
      </c>
      <c r="F8" s="12"/>
      <c r="G8" s="12"/>
      <c r="H8" s="50"/>
      <c r="I8" s="13"/>
      <c r="J8" s="28"/>
      <c r="K8" s="13"/>
      <c r="L8" s="13"/>
      <c r="O8" s="12"/>
      <c r="P8" s="12"/>
      <c r="Q8" s="6"/>
    </row>
    <row r="9" spans="1:17" x14ac:dyDescent="0.25">
      <c r="A9" s="9" t="s">
        <v>64</v>
      </c>
      <c r="B9" s="45">
        <f>IF(Калькулятор!A26="Газовий котел",L9,0)</f>
        <v>0</v>
      </c>
      <c r="C9" s="32"/>
      <c r="D9" s="6"/>
      <c r="E9" s="47">
        <f>Калькулятор!$A$8/10</f>
        <v>6.5</v>
      </c>
      <c r="F9" s="45">
        <f>E9*Калькулятор!$A$5*24*0.5</f>
        <v>13728</v>
      </c>
      <c r="G9" s="48">
        <f>$F$3/1163</f>
        <v>11.803955288048151</v>
      </c>
      <c r="H9" s="48">
        <f>(G9*1000000/K9)*(1+(1-Калькулятор!$C$32/100))</f>
        <v>1696.8185726569213</v>
      </c>
      <c r="I9" s="49" t="s">
        <v>69</v>
      </c>
      <c r="J9" s="53">
        <f>H9/(Калькулятор!$A$5/30)</f>
        <v>289.23043852106616</v>
      </c>
      <c r="K9" s="49">
        <v>8000</v>
      </c>
      <c r="L9" s="47">
        <f>IF(J3&gt;200,7.188,3.6)</f>
        <v>7.1879999999999997</v>
      </c>
      <c r="O9" s="45">
        <f>H9*B9</f>
        <v>0</v>
      </c>
      <c r="P9" s="1"/>
      <c r="Q9" s="6"/>
    </row>
    <row r="10" spans="1:17" x14ac:dyDescent="0.25">
      <c r="A10" s="9" t="s">
        <v>65</v>
      </c>
      <c r="B10" s="45">
        <f>IF(Калькулятор!A26="Дизельний котел",L10,0)</f>
        <v>0</v>
      </c>
      <c r="C10" s="32"/>
      <c r="D10" s="6"/>
      <c r="E10" s="47">
        <f>Калькулятор!$A$8/10</f>
        <v>6.5</v>
      </c>
      <c r="F10" s="45">
        <f>E10*Калькулятор!$A$5*24*0.5</f>
        <v>13728</v>
      </c>
      <c r="G10" s="48">
        <f>$F$3/1163</f>
        <v>11.803955288048151</v>
      </c>
      <c r="H10" s="48">
        <f>(G10*1000000/K10)*(1+(1-Калькулятор!$C$32/100))</f>
        <v>1333.4527093571094</v>
      </c>
      <c r="I10" s="49" t="s">
        <v>70</v>
      </c>
      <c r="J10" s="53">
        <f>H10/(Калькулятор!$A$5/30)</f>
        <v>227.2930754585982</v>
      </c>
      <c r="K10" s="49">
        <v>10180</v>
      </c>
      <c r="L10" s="47">
        <v>21</v>
      </c>
      <c r="O10" s="45">
        <f>H10*B10</f>
        <v>0</v>
      </c>
      <c r="P10" s="1"/>
      <c r="Q10" s="6"/>
    </row>
    <row r="11" spans="1:17" x14ac:dyDescent="0.25">
      <c r="A11" s="1" t="s">
        <v>66</v>
      </c>
      <c r="B11" s="45">
        <f>IF(Калькулятор!A26="Електричний котел",L11,0)</f>
        <v>0</v>
      </c>
      <c r="C11" s="32"/>
      <c r="D11" s="6"/>
      <c r="E11" s="47">
        <f>Калькулятор!$A$8/10</f>
        <v>6.5</v>
      </c>
      <c r="F11" s="45">
        <f>E11*Калькулятор!$A$5*24*0.5</f>
        <v>13728</v>
      </c>
      <c r="G11" s="48">
        <f>$F$3/1163</f>
        <v>11.803955288048151</v>
      </c>
      <c r="H11" s="48">
        <f>F11*(1+(1-Калькулятор!C32/100))</f>
        <v>15787.199999999999</v>
      </c>
      <c r="I11" s="49" t="s">
        <v>71</v>
      </c>
      <c r="J11" s="53">
        <f>H11/(Калькулятор!$A$5/30)</f>
        <v>2691</v>
      </c>
      <c r="K11" s="49" t="s">
        <v>83</v>
      </c>
      <c r="L11" s="51">
        <f>IF(J11&gt;3600,1.479,0.456)</f>
        <v>0.45600000000000002</v>
      </c>
      <c r="O11" s="45">
        <f>H11*B11</f>
        <v>0</v>
      </c>
      <c r="P11" s="34"/>
      <c r="Q11" s="6"/>
    </row>
    <row r="12" spans="1:17" x14ac:dyDescent="0.25">
      <c r="A12" s="9" t="s">
        <v>67</v>
      </c>
      <c r="B12" s="45">
        <f>IF(Калькулятор!A26="Твердопаливний котел",L12,0)</f>
        <v>2.5</v>
      </c>
      <c r="C12" s="46">
        <f>SUM(B9:B12)</f>
        <v>2.5</v>
      </c>
      <c r="D12" s="6"/>
      <c r="E12" s="47">
        <f>Калькулятор!$A$8/10</f>
        <v>6.5</v>
      </c>
      <c r="F12" s="45">
        <f>E12*Калькулятор!$A$5*24*0.5</f>
        <v>13728</v>
      </c>
      <c r="G12" s="48">
        <f>$F$3/1163</f>
        <v>11.803955288048151</v>
      </c>
      <c r="H12" s="48">
        <f>(G12*1000000/K12)*(1+(1-Калькулятор!$C$32/100))</f>
        <v>2714.9097162510743</v>
      </c>
      <c r="I12" s="49" t="s">
        <v>72</v>
      </c>
      <c r="J12" s="53">
        <f>H12/(Калькулятор!$A$5/30)</f>
        <v>462.76870163370586</v>
      </c>
      <c r="K12" s="49">
        <v>5000</v>
      </c>
      <c r="L12" s="51">
        <v>2.5</v>
      </c>
      <c r="O12" s="45">
        <f>H12*B12</f>
        <v>6787.2742906276853</v>
      </c>
      <c r="P12" s="46">
        <f>SUM(O9:O12)</f>
        <v>6787.2742906276853</v>
      </c>
      <c r="Q12" s="6"/>
    </row>
    <row r="13" spans="1:17" x14ac:dyDescent="0.25">
      <c r="I13" s="6"/>
      <c r="J13" s="6"/>
      <c r="K13" s="6"/>
      <c r="L13" s="6"/>
      <c r="M13" s="6"/>
      <c r="N13" s="6"/>
      <c r="O13" s="6"/>
      <c r="P13" s="6"/>
      <c r="Q13" s="6"/>
    </row>
    <row r="14" spans="1:17" x14ac:dyDescent="0.25">
      <c r="Q14" s="6"/>
    </row>
    <row r="15" spans="1:17" x14ac:dyDescent="0.25">
      <c r="Q15" s="6"/>
    </row>
    <row r="16" spans="1:17" x14ac:dyDescent="0.25">
      <c r="B16" s="27" t="s">
        <v>136</v>
      </c>
      <c r="C16" s="27" t="s">
        <v>139</v>
      </c>
      <c r="D16" s="27" t="s">
        <v>140</v>
      </c>
      <c r="E16" s="27" t="s">
        <v>141</v>
      </c>
      <c r="F16" s="27" t="s">
        <v>142</v>
      </c>
      <c r="Q16" s="6"/>
    </row>
    <row r="17" spans="2:17" x14ac:dyDescent="0.25">
      <c r="B17" s="1" t="s">
        <v>137</v>
      </c>
      <c r="C17" s="54">
        <f>IF(Калькулятор!A36="Власні кошти",(Калькулятор!E32-(IF(Калькулятор!A26="Газовий котел",0,IF((Калькулятор!E32-3000)&lt;25000,(Калькулятор!E32-3000)*0.2,5000)))),0)</f>
        <v>0</v>
      </c>
      <c r="D17" s="45">
        <v>0</v>
      </c>
      <c r="E17" s="45">
        <v>0</v>
      </c>
      <c r="F17" s="45"/>
      <c r="J17">
        <f>IF((Калькулятор!E32-3000)&lt;25000,(Калькулятор!E32-3000)*0.2,5000)</f>
        <v>2100</v>
      </c>
      <c r="P17" s="6"/>
      <c r="Q17" s="6"/>
    </row>
    <row r="18" spans="2:17" x14ac:dyDescent="0.25">
      <c r="B18" s="1" t="s">
        <v>138</v>
      </c>
      <c r="C18" s="45">
        <f>IF(Калькулятор!A36="Кредитні кошти",(Калькулятор!E32-(IF(Калькулятор!A26="Газовий котел",0,IF((Калькулятор!E32-3000)&lt;25000,(Калькулятор!E32-3000)*0.2,5000)))))</f>
        <v>11400</v>
      </c>
      <c r="D18" s="45"/>
      <c r="E18" s="45"/>
      <c r="F18" s="54">
        <f>SUM(C17+E21)</f>
        <v>17432.88</v>
      </c>
      <c r="P18" s="6"/>
      <c r="Q18" s="6"/>
    </row>
    <row r="19" spans="2:17" x14ac:dyDescent="0.25">
      <c r="P19" s="6"/>
      <c r="Q19" s="6"/>
    </row>
    <row r="20" spans="2:17" x14ac:dyDescent="0.25">
      <c r="B20" s="27" t="s">
        <v>152</v>
      </c>
      <c r="C20" s="27" t="s">
        <v>153</v>
      </c>
      <c r="D20" s="27" t="s">
        <v>154</v>
      </c>
      <c r="E20" s="27" t="s">
        <v>142</v>
      </c>
      <c r="J20" s="6"/>
      <c r="K20" s="6"/>
      <c r="L20" s="6"/>
      <c r="M20" s="6"/>
      <c r="N20" s="6"/>
      <c r="O20" s="6"/>
      <c r="P20" s="6"/>
      <c r="Q20" s="6"/>
    </row>
    <row r="21" spans="2:17" x14ac:dyDescent="0.25">
      <c r="C21" s="59">
        <f>C18</f>
        <v>11400</v>
      </c>
      <c r="D21" s="60">
        <f>C18*(0.03)+C18*Калькулятор!A42*0.0208</f>
        <v>6032.88</v>
      </c>
      <c r="E21" s="61">
        <f>D21+C21</f>
        <v>17432.88</v>
      </c>
      <c r="O21" s="6"/>
      <c r="P21" s="6"/>
      <c r="Q21" s="6"/>
    </row>
    <row r="22" spans="2:17" x14ac:dyDescent="0.25">
      <c r="O22" s="6"/>
      <c r="P22" s="6"/>
      <c r="Q22" s="6"/>
    </row>
    <row r="23" spans="2:17" x14ac:dyDescent="0.25">
      <c r="O23" s="6"/>
      <c r="P23" s="6"/>
      <c r="Q23" s="6"/>
    </row>
  </sheetData>
  <mergeCells count="1"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workbookViewId="0">
      <selection activeCell="C1" sqref="C1"/>
    </sheetView>
  </sheetViews>
  <sheetFormatPr defaultRowHeight="15" x14ac:dyDescent="0.25"/>
  <cols>
    <col min="1" max="1" width="30.140625" customWidth="1"/>
    <col min="2" max="2" width="16.7109375" customWidth="1"/>
    <col min="3" max="3" width="41.140625" customWidth="1"/>
    <col min="4" max="4" width="19.140625" customWidth="1"/>
    <col min="5" max="5" width="23" customWidth="1"/>
  </cols>
  <sheetData>
    <row r="1" spans="1:6" x14ac:dyDescent="0.25">
      <c r="A1" s="4" t="s">
        <v>15</v>
      </c>
      <c r="B1" s="2" t="s">
        <v>1</v>
      </c>
      <c r="C1" s="63" t="s">
        <v>175</v>
      </c>
      <c r="D1" s="2" t="s">
        <v>5</v>
      </c>
      <c r="E1" s="3" t="s">
        <v>3</v>
      </c>
      <c r="F1" s="3" t="s">
        <v>4</v>
      </c>
    </row>
    <row r="2" spans="1:6" x14ac:dyDescent="0.25">
      <c r="A2" s="33" t="s">
        <v>123</v>
      </c>
      <c r="B2" s="35" t="s">
        <v>122</v>
      </c>
      <c r="C2" s="35" t="s">
        <v>83</v>
      </c>
      <c r="D2" s="35">
        <v>81</v>
      </c>
      <c r="E2" s="35">
        <v>46</v>
      </c>
      <c r="F2" s="35">
        <v>39600</v>
      </c>
    </row>
    <row r="3" spans="1:6" x14ac:dyDescent="0.25">
      <c r="A3" s="33" t="s">
        <v>155</v>
      </c>
      <c r="B3" s="35" t="s">
        <v>124</v>
      </c>
      <c r="C3" s="35" t="s">
        <v>83</v>
      </c>
      <c r="D3" s="35">
        <v>79</v>
      </c>
      <c r="E3" s="35">
        <v>31.4</v>
      </c>
      <c r="F3" s="35">
        <v>64798</v>
      </c>
    </row>
    <row r="4" spans="1:6" x14ac:dyDescent="0.25">
      <c r="A4" s="33" t="s">
        <v>125</v>
      </c>
      <c r="B4" s="35" t="s">
        <v>124</v>
      </c>
      <c r="C4" s="35" t="s">
        <v>83</v>
      </c>
      <c r="D4" s="35">
        <v>85</v>
      </c>
      <c r="E4" s="35">
        <v>29.3</v>
      </c>
      <c r="F4" s="35">
        <v>46430</v>
      </c>
    </row>
    <row r="5" spans="1:6" x14ac:dyDescent="0.25">
      <c r="A5" s="33" t="s">
        <v>126</v>
      </c>
      <c r="B5" s="35" t="s">
        <v>127</v>
      </c>
      <c r="C5" s="35" t="s">
        <v>83</v>
      </c>
      <c r="D5" s="35">
        <v>85</v>
      </c>
      <c r="E5" s="35">
        <v>14.6</v>
      </c>
      <c r="F5" s="35">
        <v>18600</v>
      </c>
    </row>
    <row r="6" spans="1:6" x14ac:dyDescent="0.25">
      <c r="A6" s="31" t="s">
        <v>156</v>
      </c>
      <c r="B6" s="2">
        <v>10</v>
      </c>
      <c r="C6" s="2">
        <v>80</v>
      </c>
      <c r="D6" s="2">
        <v>92</v>
      </c>
      <c r="E6" s="3">
        <v>1.1399999999999999</v>
      </c>
      <c r="F6" s="3">
        <v>4622</v>
      </c>
    </row>
    <row r="7" spans="1:6" x14ac:dyDescent="0.25">
      <c r="A7" s="31" t="s">
        <v>157</v>
      </c>
      <c r="B7" s="2">
        <v>20</v>
      </c>
      <c r="C7" s="2">
        <v>80</v>
      </c>
      <c r="D7" s="2">
        <v>92</v>
      </c>
      <c r="E7" s="3">
        <v>1.85</v>
      </c>
      <c r="F7" s="3">
        <v>5600</v>
      </c>
    </row>
    <row r="8" spans="1:6" x14ac:dyDescent="0.25">
      <c r="A8" s="31" t="s">
        <v>159</v>
      </c>
      <c r="B8" s="2">
        <v>20</v>
      </c>
      <c r="C8" s="2">
        <v>90</v>
      </c>
      <c r="D8" s="2">
        <v>90</v>
      </c>
      <c r="E8" s="3">
        <v>2.2400000000000002</v>
      </c>
      <c r="F8" s="3">
        <v>4096</v>
      </c>
    </row>
    <row r="9" spans="1:6" x14ac:dyDescent="0.25">
      <c r="A9" s="31" t="s">
        <v>158</v>
      </c>
      <c r="B9" s="2">
        <v>15.5</v>
      </c>
      <c r="C9" s="2">
        <v>50</v>
      </c>
      <c r="D9" s="2">
        <v>90</v>
      </c>
      <c r="E9" s="3">
        <v>1.8</v>
      </c>
      <c r="F9" s="3">
        <v>3550</v>
      </c>
    </row>
    <row r="10" spans="1:6" x14ac:dyDescent="0.25">
      <c r="A10" s="31" t="s">
        <v>101</v>
      </c>
      <c r="B10" s="2">
        <v>20</v>
      </c>
      <c r="C10" s="2">
        <v>80</v>
      </c>
      <c r="D10" s="2">
        <v>90</v>
      </c>
      <c r="E10" s="3">
        <v>2.34</v>
      </c>
      <c r="F10" s="3">
        <v>5445</v>
      </c>
    </row>
    <row r="11" spans="1:6" x14ac:dyDescent="0.25">
      <c r="A11" s="31" t="s">
        <v>103</v>
      </c>
      <c r="B11" s="2">
        <v>24</v>
      </c>
      <c r="C11" s="2">
        <v>80</v>
      </c>
      <c r="D11" s="2">
        <v>90</v>
      </c>
      <c r="E11" s="3">
        <v>1.95</v>
      </c>
      <c r="F11" s="3">
        <v>4655</v>
      </c>
    </row>
    <row r="12" spans="1:6" x14ac:dyDescent="0.25">
      <c r="A12" s="31" t="s">
        <v>104</v>
      </c>
      <c r="B12" s="2">
        <v>20</v>
      </c>
      <c r="C12" s="2">
        <v>50</v>
      </c>
      <c r="D12" s="2">
        <v>89</v>
      </c>
      <c r="E12" s="3">
        <v>2.2000000000000002</v>
      </c>
      <c r="F12" s="3">
        <v>5223</v>
      </c>
    </row>
    <row r="13" spans="1:6" x14ac:dyDescent="0.25">
      <c r="A13" s="31" t="s">
        <v>105</v>
      </c>
      <c r="B13" s="2">
        <v>24</v>
      </c>
      <c r="C13" s="2">
        <v>70</v>
      </c>
      <c r="D13" s="2">
        <v>93.4</v>
      </c>
      <c r="E13" s="3">
        <v>2.15</v>
      </c>
      <c r="F13" s="3">
        <v>5400</v>
      </c>
    </row>
    <row r="14" spans="1:6" x14ac:dyDescent="0.25">
      <c r="A14" s="31" t="s">
        <v>106</v>
      </c>
      <c r="B14" s="2">
        <v>23</v>
      </c>
      <c r="C14" s="2">
        <v>75</v>
      </c>
      <c r="D14" s="2">
        <v>92</v>
      </c>
      <c r="E14" s="3">
        <v>2.9</v>
      </c>
      <c r="F14" s="3">
        <v>4650</v>
      </c>
    </row>
    <row r="15" spans="1:6" x14ac:dyDescent="0.25">
      <c r="A15" s="31" t="s">
        <v>160</v>
      </c>
      <c r="B15" s="2">
        <v>16</v>
      </c>
      <c r="C15" s="2">
        <v>85</v>
      </c>
      <c r="D15" s="2">
        <v>85.8</v>
      </c>
      <c r="E15" s="3">
        <v>2</v>
      </c>
      <c r="F15" s="3">
        <v>2800</v>
      </c>
    </row>
    <row r="16" spans="1:6" x14ac:dyDescent="0.25">
      <c r="A16" s="31" t="s">
        <v>107</v>
      </c>
      <c r="B16" s="2">
        <v>17</v>
      </c>
      <c r="C16" s="2">
        <v>78</v>
      </c>
      <c r="D16" s="2">
        <v>88</v>
      </c>
      <c r="E16" s="3">
        <v>1.95</v>
      </c>
      <c r="F16" s="3">
        <v>3432</v>
      </c>
    </row>
    <row r="17" spans="1:6" x14ac:dyDescent="0.25">
      <c r="A17" s="31" t="s">
        <v>161</v>
      </c>
      <c r="B17" s="2">
        <v>20</v>
      </c>
      <c r="C17" s="2">
        <v>80</v>
      </c>
      <c r="D17" s="2">
        <v>90</v>
      </c>
      <c r="E17" s="3">
        <v>2.34</v>
      </c>
      <c r="F17" s="3">
        <v>5445</v>
      </c>
    </row>
    <row r="18" spans="1:6" x14ac:dyDescent="0.25">
      <c r="A18" s="31" t="s">
        <v>0</v>
      </c>
      <c r="B18" s="2">
        <v>20</v>
      </c>
      <c r="C18" s="2">
        <v>97</v>
      </c>
      <c r="D18" s="2">
        <v>93</v>
      </c>
      <c r="E18" s="2">
        <v>2.4</v>
      </c>
      <c r="F18" s="3">
        <v>20925</v>
      </c>
    </row>
    <row r="19" spans="1:6" x14ac:dyDescent="0.25">
      <c r="A19" s="31" t="s">
        <v>6</v>
      </c>
      <c r="B19" s="2">
        <v>23</v>
      </c>
      <c r="C19" s="2">
        <v>110</v>
      </c>
      <c r="D19" s="2">
        <v>93.8</v>
      </c>
      <c r="E19" s="2">
        <v>2.6</v>
      </c>
      <c r="F19" s="2">
        <v>17864</v>
      </c>
    </row>
    <row r="20" spans="1:6" x14ac:dyDescent="0.25">
      <c r="A20" s="31" t="s">
        <v>7</v>
      </c>
      <c r="B20" s="44">
        <v>20</v>
      </c>
      <c r="C20" s="44">
        <v>100</v>
      </c>
      <c r="D20" s="44">
        <v>92</v>
      </c>
      <c r="E20" s="44">
        <v>2.2999999999999998</v>
      </c>
      <c r="F20" s="44">
        <v>35628</v>
      </c>
    </row>
    <row r="21" spans="1:6" x14ac:dyDescent="0.25">
      <c r="A21" s="31" t="s">
        <v>144</v>
      </c>
      <c r="B21" s="20">
        <f>AVERAGE(B6:B20)</f>
        <v>19.5</v>
      </c>
      <c r="C21" s="58">
        <f t="shared" ref="C21" si="0">AVERAGE(C6:C20)</f>
        <v>80.333333333333329</v>
      </c>
      <c r="D21" s="20">
        <v>90</v>
      </c>
      <c r="E21" s="20">
        <v>2.1</v>
      </c>
      <c r="F21" s="20">
        <v>8622</v>
      </c>
    </row>
    <row r="22" spans="1:6" x14ac:dyDescent="0.25">
      <c r="A22" s="4" t="s">
        <v>16</v>
      </c>
      <c r="B22" s="2" t="s">
        <v>1</v>
      </c>
      <c r="C22" s="2" t="s">
        <v>2</v>
      </c>
      <c r="D22" s="2" t="s">
        <v>5</v>
      </c>
      <c r="E22" s="3" t="s">
        <v>8</v>
      </c>
      <c r="F22" s="3" t="s">
        <v>4</v>
      </c>
    </row>
    <row r="23" spans="1:6" x14ac:dyDescent="0.25">
      <c r="A23" s="33" t="s">
        <v>123</v>
      </c>
      <c r="B23" s="35" t="s">
        <v>122</v>
      </c>
      <c r="C23" s="35" t="s">
        <v>83</v>
      </c>
      <c r="D23" s="35">
        <v>75</v>
      </c>
      <c r="E23" s="36">
        <v>41.7</v>
      </c>
      <c r="F23" s="36">
        <v>39600</v>
      </c>
    </row>
    <row r="24" spans="1:6" x14ac:dyDescent="0.25">
      <c r="A24" s="33" t="s">
        <v>155</v>
      </c>
      <c r="B24" s="35" t="s">
        <v>124</v>
      </c>
      <c r="C24" s="35" t="s">
        <v>83</v>
      </c>
      <c r="D24" s="35">
        <v>72</v>
      </c>
      <c r="E24" s="36">
        <v>28.9</v>
      </c>
      <c r="F24" s="36">
        <v>64798</v>
      </c>
    </row>
    <row r="25" spans="1:6" x14ac:dyDescent="0.25">
      <c r="A25" s="33" t="s">
        <v>125</v>
      </c>
      <c r="B25" s="35" t="s">
        <v>124</v>
      </c>
      <c r="C25" s="35" t="s">
        <v>83</v>
      </c>
      <c r="D25" s="35">
        <v>80</v>
      </c>
      <c r="E25" s="36">
        <v>26</v>
      </c>
      <c r="F25" s="35">
        <v>46430</v>
      </c>
    </row>
    <row r="26" spans="1:6" x14ac:dyDescent="0.25">
      <c r="A26" s="33" t="s">
        <v>126</v>
      </c>
      <c r="B26" s="35" t="s">
        <v>127</v>
      </c>
      <c r="C26" s="35" t="s">
        <v>83</v>
      </c>
      <c r="D26" s="35">
        <v>80</v>
      </c>
      <c r="E26" s="36">
        <v>13</v>
      </c>
      <c r="F26" s="36">
        <v>18600</v>
      </c>
    </row>
    <row r="27" spans="1:6" x14ac:dyDescent="0.25">
      <c r="A27" s="1" t="s">
        <v>110</v>
      </c>
      <c r="B27" s="2">
        <v>21</v>
      </c>
      <c r="C27" s="2">
        <v>150</v>
      </c>
      <c r="D27" s="2">
        <v>85</v>
      </c>
      <c r="E27" s="3">
        <v>0.49</v>
      </c>
      <c r="F27" s="3">
        <v>15500</v>
      </c>
    </row>
    <row r="28" spans="1:6" x14ac:dyDescent="0.25">
      <c r="A28" s="1" t="s">
        <v>109</v>
      </c>
      <c r="B28" s="2">
        <v>24</v>
      </c>
      <c r="C28" s="2">
        <v>100</v>
      </c>
      <c r="D28" s="2">
        <v>91</v>
      </c>
      <c r="E28" s="3">
        <v>0.53</v>
      </c>
      <c r="F28" s="3">
        <v>11400</v>
      </c>
    </row>
    <row r="29" spans="1:6" x14ac:dyDescent="0.25">
      <c r="A29" s="1" t="s">
        <v>108</v>
      </c>
      <c r="B29" s="2">
        <v>45</v>
      </c>
      <c r="C29" s="2">
        <v>90</v>
      </c>
      <c r="D29" s="2">
        <v>90.9</v>
      </c>
      <c r="E29" s="3">
        <v>0.5</v>
      </c>
      <c r="F29" s="3">
        <v>9917</v>
      </c>
    </row>
    <row r="30" spans="1:6" x14ac:dyDescent="0.25">
      <c r="A30" s="1" t="s">
        <v>162</v>
      </c>
      <c r="B30" s="2">
        <v>38</v>
      </c>
      <c r="C30" s="2">
        <v>130</v>
      </c>
      <c r="D30" s="2">
        <v>90</v>
      </c>
      <c r="E30" s="3">
        <v>0.45</v>
      </c>
      <c r="F30" s="3">
        <v>8990</v>
      </c>
    </row>
    <row r="31" spans="1:6" x14ac:dyDescent="0.25">
      <c r="A31" s="1" t="s">
        <v>163</v>
      </c>
      <c r="B31" s="3">
        <v>20.9</v>
      </c>
      <c r="C31" s="3">
        <v>100</v>
      </c>
      <c r="D31" s="3">
        <v>89.9</v>
      </c>
      <c r="E31" s="3">
        <v>0.48</v>
      </c>
      <c r="F31" s="3">
        <v>19200</v>
      </c>
    </row>
    <row r="32" spans="1:6" x14ac:dyDescent="0.25">
      <c r="A32" s="1" t="s">
        <v>9</v>
      </c>
      <c r="B32" s="3">
        <v>22</v>
      </c>
      <c r="C32" s="3">
        <v>150</v>
      </c>
      <c r="D32" s="3">
        <v>89</v>
      </c>
      <c r="E32" s="3">
        <v>0.55000000000000004</v>
      </c>
      <c r="F32" s="3">
        <v>53148</v>
      </c>
    </row>
    <row r="33" spans="1:6" x14ac:dyDescent="0.25">
      <c r="A33" s="1" t="s">
        <v>144</v>
      </c>
      <c r="B33" s="55">
        <f>AVERAGE(B27:B32)</f>
        <v>28.483333333333334</v>
      </c>
      <c r="C33" s="55">
        <f t="shared" ref="C33:F33" si="1">AVERAGE(C27:C32)</f>
        <v>120</v>
      </c>
      <c r="D33" s="55">
        <f t="shared" si="1"/>
        <v>89.3</v>
      </c>
      <c r="E33" s="57">
        <f>AVERAGE(E27:E32)</f>
        <v>0.5</v>
      </c>
      <c r="F33" s="55">
        <f t="shared" si="1"/>
        <v>19692.5</v>
      </c>
    </row>
    <row r="34" spans="1:6" x14ac:dyDescent="0.25">
      <c r="A34" s="4" t="s">
        <v>17</v>
      </c>
      <c r="B34" s="2" t="s">
        <v>1</v>
      </c>
      <c r="C34" s="2" t="s">
        <v>2</v>
      </c>
      <c r="D34" s="2" t="s">
        <v>5</v>
      </c>
      <c r="E34" s="3" t="s">
        <v>8</v>
      </c>
      <c r="F34" s="3" t="s">
        <v>4</v>
      </c>
    </row>
    <row r="35" spans="1:6" x14ac:dyDescent="0.25">
      <c r="A35" s="1" t="s">
        <v>116</v>
      </c>
      <c r="B35" s="2">
        <v>20</v>
      </c>
      <c r="C35" s="2">
        <v>20000</v>
      </c>
      <c r="D35" s="2">
        <v>99</v>
      </c>
      <c r="E35" s="3" t="s">
        <v>83</v>
      </c>
      <c r="F35" s="3">
        <v>8532</v>
      </c>
    </row>
    <row r="36" spans="1:6" x14ac:dyDescent="0.25">
      <c r="A36" s="1" t="s">
        <v>164</v>
      </c>
      <c r="B36" s="2">
        <v>18</v>
      </c>
      <c r="C36" s="2">
        <v>18000</v>
      </c>
      <c r="D36" s="2">
        <v>97</v>
      </c>
      <c r="E36" s="3" t="s">
        <v>83</v>
      </c>
      <c r="F36" s="3">
        <v>18114</v>
      </c>
    </row>
    <row r="37" spans="1:6" x14ac:dyDescent="0.25">
      <c r="A37" s="1" t="s">
        <v>115</v>
      </c>
      <c r="B37" s="2">
        <v>18</v>
      </c>
      <c r="C37" s="2">
        <v>18000</v>
      </c>
      <c r="D37" s="2">
        <v>98</v>
      </c>
      <c r="E37" s="3" t="s">
        <v>83</v>
      </c>
      <c r="F37" s="3">
        <v>12804</v>
      </c>
    </row>
    <row r="38" spans="1:6" x14ac:dyDescent="0.25">
      <c r="A38" s="1" t="s">
        <v>114</v>
      </c>
      <c r="B38" s="2">
        <v>22</v>
      </c>
      <c r="C38" s="2">
        <v>22000</v>
      </c>
      <c r="D38" s="2">
        <v>99</v>
      </c>
      <c r="E38" s="3" t="s">
        <v>83</v>
      </c>
      <c r="F38" s="3">
        <v>15813</v>
      </c>
    </row>
    <row r="39" spans="1:6" x14ac:dyDescent="0.25">
      <c r="A39" s="1" t="s">
        <v>113</v>
      </c>
      <c r="B39" s="2">
        <v>15</v>
      </c>
      <c r="C39" s="2">
        <v>15000</v>
      </c>
      <c r="D39" s="2">
        <v>98</v>
      </c>
      <c r="E39" s="3" t="s">
        <v>83</v>
      </c>
      <c r="F39" s="3">
        <v>2428</v>
      </c>
    </row>
    <row r="40" spans="1:6" x14ac:dyDescent="0.25">
      <c r="A40" s="1" t="s">
        <v>112</v>
      </c>
      <c r="B40" s="2">
        <v>18</v>
      </c>
      <c r="C40" s="2">
        <v>18000</v>
      </c>
      <c r="D40" s="2">
        <v>99</v>
      </c>
      <c r="E40" s="3" t="s">
        <v>83</v>
      </c>
      <c r="F40" s="3">
        <v>7896</v>
      </c>
    </row>
    <row r="41" spans="1:6" x14ac:dyDescent="0.25">
      <c r="A41" s="1" t="s">
        <v>165</v>
      </c>
      <c r="B41" s="2">
        <v>20</v>
      </c>
      <c r="C41" s="2">
        <v>20000</v>
      </c>
      <c r="D41" s="2">
        <v>94</v>
      </c>
      <c r="E41" s="3" t="s">
        <v>83</v>
      </c>
      <c r="F41" s="3">
        <v>4378</v>
      </c>
    </row>
    <row r="42" spans="1:6" x14ac:dyDescent="0.25">
      <c r="A42" s="1" t="s">
        <v>111</v>
      </c>
      <c r="B42" s="2">
        <v>14</v>
      </c>
      <c r="C42" s="2">
        <v>14000</v>
      </c>
      <c r="D42" s="2">
        <v>97</v>
      </c>
      <c r="E42" s="3" t="s">
        <v>83</v>
      </c>
      <c r="F42" s="3">
        <v>21917</v>
      </c>
    </row>
    <row r="43" spans="1:6" x14ac:dyDescent="0.25">
      <c r="A43" s="1" t="s">
        <v>166</v>
      </c>
      <c r="B43" s="2">
        <v>15</v>
      </c>
      <c r="C43" s="2">
        <v>15000</v>
      </c>
      <c r="D43" s="2">
        <v>95</v>
      </c>
      <c r="E43" s="3" t="s">
        <v>83</v>
      </c>
      <c r="F43" s="3">
        <v>9187</v>
      </c>
    </row>
    <row r="44" spans="1:6" x14ac:dyDescent="0.25">
      <c r="A44" s="1" t="s">
        <v>167</v>
      </c>
      <c r="B44" s="2">
        <v>15</v>
      </c>
      <c r="C44" s="2">
        <v>15000</v>
      </c>
      <c r="D44" s="2">
        <v>96</v>
      </c>
      <c r="E44" s="3" t="s">
        <v>83</v>
      </c>
      <c r="F44" s="3">
        <v>4239</v>
      </c>
    </row>
    <row r="45" spans="1:6" x14ac:dyDescent="0.25">
      <c r="A45" s="1" t="s">
        <v>102</v>
      </c>
      <c r="B45" s="2">
        <v>19.5</v>
      </c>
      <c r="C45" s="2">
        <v>19500</v>
      </c>
      <c r="D45" s="2">
        <v>95</v>
      </c>
      <c r="E45" s="3" t="s">
        <v>83</v>
      </c>
      <c r="F45" s="3">
        <v>5735</v>
      </c>
    </row>
    <row r="46" spans="1:6" x14ac:dyDescent="0.25">
      <c r="A46" s="1" t="s">
        <v>10</v>
      </c>
      <c r="B46" s="3">
        <v>24</v>
      </c>
      <c r="C46" s="3">
        <v>2400</v>
      </c>
      <c r="D46" s="3">
        <v>95</v>
      </c>
      <c r="E46" s="2" t="s">
        <v>83</v>
      </c>
      <c r="F46" s="3">
        <v>4734</v>
      </c>
    </row>
    <row r="47" spans="1:6" x14ac:dyDescent="0.25">
      <c r="A47" s="1" t="s">
        <v>168</v>
      </c>
      <c r="B47" s="3">
        <v>24</v>
      </c>
      <c r="C47" s="3">
        <v>2600</v>
      </c>
      <c r="D47" s="3">
        <v>99.5</v>
      </c>
      <c r="E47" s="44" t="s">
        <v>83</v>
      </c>
      <c r="F47" s="3">
        <v>17330</v>
      </c>
    </row>
    <row r="48" spans="1:6" x14ac:dyDescent="0.25">
      <c r="A48" s="1" t="s">
        <v>144</v>
      </c>
      <c r="B48" s="55">
        <f>AVERAGE(B35:B47)</f>
        <v>18.653846153846153</v>
      </c>
      <c r="C48" s="55">
        <f t="shared" ref="C48:F48" si="2">AVERAGE(C35:C47)</f>
        <v>15346.153846153846</v>
      </c>
      <c r="D48" s="55">
        <f t="shared" si="2"/>
        <v>97.038461538461533</v>
      </c>
      <c r="E48" s="55" t="s">
        <v>83</v>
      </c>
      <c r="F48" s="55">
        <f t="shared" si="2"/>
        <v>10239</v>
      </c>
    </row>
    <row r="49" spans="1:6" x14ac:dyDescent="0.25">
      <c r="A49" s="4" t="s">
        <v>18</v>
      </c>
      <c r="B49" s="2" t="s">
        <v>1</v>
      </c>
      <c r="C49" s="2" t="s">
        <v>2</v>
      </c>
      <c r="D49" s="2" t="s">
        <v>5</v>
      </c>
      <c r="E49" s="3" t="s">
        <v>11</v>
      </c>
      <c r="F49" s="3" t="s">
        <v>4</v>
      </c>
    </row>
    <row r="50" spans="1:6" x14ac:dyDescent="0.25">
      <c r="A50" s="1" t="s">
        <v>123</v>
      </c>
      <c r="B50" s="35" t="s">
        <v>122</v>
      </c>
      <c r="C50" s="35" t="s">
        <v>83</v>
      </c>
      <c r="D50" s="35">
        <v>67.5</v>
      </c>
      <c r="E50" s="36">
        <v>79</v>
      </c>
      <c r="F50" s="36">
        <v>39600</v>
      </c>
    </row>
    <row r="51" spans="1:6" x14ac:dyDescent="0.25">
      <c r="A51" s="1" t="s">
        <v>155</v>
      </c>
      <c r="B51" s="35" t="s">
        <v>124</v>
      </c>
      <c r="C51" s="35" t="s">
        <v>83</v>
      </c>
      <c r="D51" s="35">
        <v>65</v>
      </c>
      <c r="E51" s="36">
        <v>55</v>
      </c>
      <c r="F51" s="36">
        <v>64798</v>
      </c>
    </row>
    <row r="52" spans="1:6" x14ac:dyDescent="0.25">
      <c r="A52" s="1" t="s">
        <v>125</v>
      </c>
      <c r="B52" s="35" t="s">
        <v>124</v>
      </c>
      <c r="C52" s="35" t="s">
        <v>83</v>
      </c>
      <c r="D52" s="35">
        <v>67</v>
      </c>
      <c r="E52" s="36">
        <v>53</v>
      </c>
      <c r="F52" s="35">
        <v>46430</v>
      </c>
    </row>
    <row r="53" spans="1:6" x14ac:dyDescent="0.25">
      <c r="A53" s="1" t="s">
        <v>126</v>
      </c>
      <c r="B53" s="35" t="s">
        <v>127</v>
      </c>
      <c r="C53" s="35" t="s">
        <v>83</v>
      </c>
      <c r="D53" s="35">
        <v>76</v>
      </c>
      <c r="E53" s="36">
        <v>23.5</v>
      </c>
      <c r="F53" s="36">
        <v>18600</v>
      </c>
    </row>
    <row r="54" spans="1:6" x14ac:dyDescent="0.25">
      <c r="A54" s="1" t="s">
        <v>12</v>
      </c>
      <c r="B54" s="3">
        <v>20</v>
      </c>
      <c r="C54" s="3">
        <v>20</v>
      </c>
      <c r="D54" s="3">
        <v>91.6</v>
      </c>
      <c r="E54" s="3">
        <v>1.6</v>
      </c>
      <c r="F54" s="3">
        <v>24300</v>
      </c>
    </row>
    <row r="55" spans="1:6" x14ac:dyDescent="0.25">
      <c r="A55" s="1" t="s">
        <v>13</v>
      </c>
      <c r="B55" s="3">
        <v>20</v>
      </c>
      <c r="C55" s="3">
        <v>20</v>
      </c>
      <c r="D55" s="3">
        <v>91.6</v>
      </c>
      <c r="E55" s="3">
        <v>2.5</v>
      </c>
      <c r="F55" s="3">
        <v>24300</v>
      </c>
    </row>
    <row r="56" spans="1:6" x14ac:dyDescent="0.25">
      <c r="A56" s="1" t="s">
        <v>117</v>
      </c>
      <c r="B56" s="3">
        <v>25</v>
      </c>
      <c r="C56" s="3">
        <v>80</v>
      </c>
      <c r="D56" s="3">
        <v>82</v>
      </c>
      <c r="E56" s="3">
        <v>2.2000000000000002</v>
      </c>
      <c r="F56" s="3">
        <v>25000</v>
      </c>
    </row>
    <row r="57" spans="1:6" x14ac:dyDescent="0.25">
      <c r="A57" s="1" t="s">
        <v>14</v>
      </c>
      <c r="B57" s="3">
        <v>23</v>
      </c>
      <c r="C57" s="3">
        <v>80</v>
      </c>
      <c r="D57" s="3">
        <v>81.599999999999994</v>
      </c>
      <c r="E57" s="3">
        <v>1.4</v>
      </c>
      <c r="F57" s="3">
        <v>52000</v>
      </c>
    </row>
    <row r="58" spans="1:6" x14ac:dyDescent="0.25">
      <c r="A58" s="30" t="s">
        <v>169</v>
      </c>
      <c r="B58" s="3">
        <v>23</v>
      </c>
      <c r="C58" s="3">
        <v>30</v>
      </c>
      <c r="D58" s="3">
        <v>73</v>
      </c>
      <c r="E58" s="18">
        <v>2.6</v>
      </c>
      <c r="F58" s="18">
        <v>13745</v>
      </c>
    </row>
    <row r="59" spans="1:6" x14ac:dyDescent="0.25">
      <c r="A59" s="30" t="s">
        <v>170</v>
      </c>
      <c r="B59" s="3">
        <v>20</v>
      </c>
      <c r="C59" s="3">
        <v>30</v>
      </c>
      <c r="D59" s="3">
        <v>71.400000000000006</v>
      </c>
      <c r="E59" s="18">
        <v>2.4</v>
      </c>
      <c r="F59" s="18">
        <v>9800</v>
      </c>
    </row>
    <row r="60" spans="1:6" x14ac:dyDescent="0.25">
      <c r="A60" s="30" t="s">
        <v>171</v>
      </c>
      <c r="B60" s="3">
        <v>20</v>
      </c>
      <c r="C60" s="3">
        <v>50</v>
      </c>
      <c r="D60" s="3">
        <v>82</v>
      </c>
      <c r="E60" s="18">
        <v>2.4</v>
      </c>
      <c r="F60" s="18">
        <v>14692</v>
      </c>
    </row>
    <row r="61" spans="1:6" x14ac:dyDescent="0.25">
      <c r="A61" s="30" t="s">
        <v>172</v>
      </c>
      <c r="B61" s="3">
        <v>20</v>
      </c>
      <c r="C61" s="3">
        <v>70</v>
      </c>
      <c r="D61" s="3">
        <v>89</v>
      </c>
      <c r="E61" s="18">
        <v>2.5</v>
      </c>
      <c r="F61" s="18">
        <v>25000</v>
      </c>
    </row>
    <row r="62" spans="1:6" x14ac:dyDescent="0.25">
      <c r="A62" s="30" t="s">
        <v>118</v>
      </c>
      <c r="B62" s="3">
        <v>20</v>
      </c>
      <c r="C62" s="3">
        <v>85</v>
      </c>
      <c r="D62" s="3">
        <v>80</v>
      </c>
      <c r="E62" s="18">
        <v>2.1</v>
      </c>
      <c r="F62" s="18">
        <v>25345</v>
      </c>
    </row>
    <row r="63" spans="1:6" x14ac:dyDescent="0.25">
      <c r="A63" s="30" t="s">
        <v>119</v>
      </c>
      <c r="B63" s="3">
        <v>25</v>
      </c>
      <c r="C63" s="3">
        <v>76</v>
      </c>
      <c r="D63" s="3">
        <v>83</v>
      </c>
      <c r="E63" s="18">
        <v>2.2000000000000002</v>
      </c>
      <c r="F63" s="18">
        <v>25600</v>
      </c>
    </row>
    <row r="64" spans="1:6" x14ac:dyDescent="0.25">
      <c r="A64" s="30" t="s">
        <v>120</v>
      </c>
      <c r="B64" s="3">
        <v>18</v>
      </c>
      <c r="C64" s="3">
        <v>100</v>
      </c>
      <c r="D64" s="3">
        <v>85</v>
      </c>
      <c r="E64" s="18">
        <v>2.2999999999999998</v>
      </c>
      <c r="F64" s="18">
        <v>30000</v>
      </c>
    </row>
    <row r="65" spans="1:6" x14ac:dyDescent="0.25">
      <c r="A65" s="30" t="s">
        <v>144</v>
      </c>
      <c r="B65" s="55">
        <f>AVERAGE(B54:B64)</f>
        <v>21.272727272727273</v>
      </c>
      <c r="C65" s="55">
        <f t="shared" ref="C65:F65" si="3">AVERAGE(C54:C64)</f>
        <v>58.272727272727273</v>
      </c>
      <c r="D65" s="55">
        <f t="shared" si="3"/>
        <v>82.745454545454535</v>
      </c>
      <c r="E65" s="56">
        <f t="shared" si="3"/>
        <v>2.2000000000000002</v>
      </c>
      <c r="F65" s="55">
        <f t="shared" si="3"/>
        <v>24525.636363636364</v>
      </c>
    </row>
    <row r="66" spans="1:6" x14ac:dyDescent="0.25">
      <c r="A66" s="17" t="s">
        <v>82</v>
      </c>
      <c r="B66" s="1" t="s">
        <v>1</v>
      </c>
      <c r="C66" s="1" t="s">
        <v>2</v>
      </c>
      <c r="D66" s="21" t="s">
        <v>5</v>
      </c>
      <c r="E66" s="18" t="s">
        <v>11</v>
      </c>
      <c r="F66" s="18" t="s">
        <v>4</v>
      </c>
    </row>
    <row r="67" spans="1:6" x14ac:dyDescent="0.25">
      <c r="A67" s="2">
        <v>1</v>
      </c>
      <c r="B67" s="2" t="s">
        <v>83</v>
      </c>
      <c r="C67" s="2" t="s">
        <v>83</v>
      </c>
      <c r="D67" s="2" t="s">
        <v>83</v>
      </c>
      <c r="E67" s="2" t="s">
        <v>83</v>
      </c>
      <c r="F67" s="20" t="e">
        <f>Калькулятор!#REF!</f>
        <v>#REF!</v>
      </c>
    </row>
    <row r="68" spans="1:6" x14ac:dyDescent="0.25">
      <c r="A68" s="2">
        <v>2</v>
      </c>
      <c r="B68" s="2" t="s">
        <v>83</v>
      </c>
      <c r="C68" s="2" t="s">
        <v>83</v>
      </c>
      <c r="D68" s="2" t="s">
        <v>83</v>
      </c>
      <c r="E68" s="2" t="s">
        <v>83</v>
      </c>
      <c r="F68" s="20" t="e">
        <f>Калькулятор!#REF!</f>
        <v>#REF!</v>
      </c>
    </row>
    <row r="69" spans="1:6" x14ac:dyDescent="0.25">
      <c r="A69" s="19" t="s">
        <v>15</v>
      </c>
    </row>
    <row r="70" spans="1:6" x14ac:dyDescent="0.25">
      <c r="A70" s="4" t="s">
        <v>16</v>
      </c>
    </row>
    <row r="71" spans="1:6" x14ac:dyDescent="0.25">
      <c r="A71" s="4" t="s">
        <v>17</v>
      </c>
    </row>
    <row r="72" spans="1:6" x14ac:dyDescent="0.25">
      <c r="A72" s="4" t="s">
        <v>18</v>
      </c>
    </row>
    <row r="73" spans="1:6" x14ac:dyDescent="0.25">
      <c r="A73" s="16" t="s">
        <v>82</v>
      </c>
    </row>
    <row r="75" spans="1:6" x14ac:dyDescent="0.25">
      <c r="A75" s="16" t="s">
        <v>151</v>
      </c>
    </row>
    <row r="76" spans="1:6" x14ac:dyDescent="0.25">
      <c r="A76">
        <v>1</v>
      </c>
    </row>
    <row r="77" spans="1:6" x14ac:dyDescent="0.25">
      <c r="A77">
        <v>2</v>
      </c>
    </row>
    <row r="78" spans="1:6" x14ac:dyDescent="0.25">
      <c r="A78">
        <v>3</v>
      </c>
    </row>
    <row r="79" spans="1:6" x14ac:dyDescent="0.25">
      <c r="A79">
        <v>4</v>
      </c>
    </row>
    <row r="80" spans="1:6" x14ac:dyDescent="0.25">
      <c r="A80">
        <v>5</v>
      </c>
    </row>
    <row r="81" spans="1:1" x14ac:dyDescent="0.25">
      <c r="A81">
        <v>6</v>
      </c>
    </row>
    <row r="82" spans="1:1" x14ac:dyDescent="0.25">
      <c r="A82">
        <v>7</v>
      </c>
    </row>
    <row r="83" spans="1:1" x14ac:dyDescent="0.25">
      <c r="A83">
        <v>8</v>
      </c>
    </row>
    <row r="84" spans="1:1" x14ac:dyDescent="0.25">
      <c r="A84">
        <v>9</v>
      </c>
    </row>
    <row r="85" spans="1:1" x14ac:dyDescent="0.25">
      <c r="A85">
        <v>10</v>
      </c>
    </row>
    <row r="86" spans="1:1" x14ac:dyDescent="0.25">
      <c r="A86">
        <v>11</v>
      </c>
    </row>
    <row r="87" spans="1:1" x14ac:dyDescent="0.25">
      <c r="A87">
        <v>12</v>
      </c>
    </row>
    <row r="88" spans="1:1" x14ac:dyDescent="0.25">
      <c r="A88">
        <v>13</v>
      </c>
    </row>
    <row r="89" spans="1:1" x14ac:dyDescent="0.25">
      <c r="A89">
        <v>14</v>
      </c>
    </row>
    <row r="90" spans="1:1" x14ac:dyDescent="0.25">
      <c r="A90">
        <v>15</v>
      </c>
    </row>
    <row r="91" spans="1:1" x14ac:dyDescent="0.25">
      <c r="A91">
        <v>16</v>
      </c>
    </row>
    <row r="92" spans="1:1" x14ac:dyDescent="0.25">
      <c r="A92">
        <v>17</v>
      </c>
    </row>
    <row r="93" spans="1:1" x14ac:dyDescent="0.25">
      <c r="A93">
        <v>18</v>
      </c>
    </row>
    <row r="94" spans="1:1" x14ac:dyDescent="0.25">
      <c r="A94">
        <v>19</v>
      </c>
    </row>
    <row r="95" spans="1:1" x14ac:dyDescent="0.25">
      <c r="A95">
        <v>20</v>
      </c>
    </row>
    <row r="96" spans="1:1" x14ac:dyDescent="0.25">
      <c r="A96">
        <v>21</v>
      </c>
    </row>
    <row r="97" spans="1:1" x14ac:dyDescent="0.25">
      <c r="A97">
        <v>22</v>
      </c>
    </row>
    <row r="98" spans="1:1" x14ac:dyDescent="0.25">
      <c r="A98">
        <v>23</v>
      </c>
    </row>
    <row r="99" spans="1:1" x14ac:dyDescent="0.25">
      <c r="A99">
        <v>24</v>
      </c>
    </row>
    <row r="100" spans="1:1" x14ac:dyDescent="0.25">
      <c r="A100">
        <v>25</v>
      </c>
    </row>
    <row r="101" spans="1:1" x14ac:dyDescent="0.25">
      <c r="A101">
        <v>26</v>
      </c>
    </row>
    <row r="102" spans="1:1" x14ac:dyDescent="0.25">
      <c r="A102">
        <v>27</v>
      </c>
    </row>
    <row r="103" spans="1:1" x14ac:dyDescent="0.25">
      <c r="A103">
        <v>28</v>
      </c>
    </row>
    <row r="104" spans="1:1" x14ac:dyDescent="0.25">
      <c r="A104">
        <v>29</v>
      </c>
    </row>
    <row r="105" spans="1:1" x14ac:dyDescent="0.25">
      <c r="A105">
        <v>30</v>
      </c>
    </row>
    <row r="106" spans="1:1" x14ac:dyDescent="0.25">
      <c r="A106">
        <v>31</v>
      </c>
    </row>
    <row r="107" spans="1:1" x14ac:dyDescent="0.25">
      <c r="A107">
        <v>32</v>
      </c>
    </row>
    <row r="108" spans="1:1" x14ac:dyDescent="0.25">
      <c r="A108">
        <v>33</v>
      </c>
    </row>
    <row r="109" spans="1:1" x14ac:dyDescent="0.25">
      <c r="A109">
        <v>34</v>
      </c>
    </row>
    <row r="110" spans="1:1" x14ac:dyDescent="0.25">
      <c r="A110">
        <v>35</v>
      </c>
    </row>
    <row r="111" spans="1:1" x14ac:dyDescent="0.25">
      <c r="A111">
        <v>36</v>
      </c>
    </row>
  </sheetData>
  <hyperlinks>
    <hyperlink ref="A31" r:id="rId1" tooltip="Дизельные котлы LAMBORGHINI, EXA 20" display="http://www.energosvit.com.ua/index.php?page=menu3_2&amp;id=5435"/>
    <hyperlink ref="A15" r:id="rId2" display="http://teplo-klimat.com.ua/otopitelnaya-tehnika/gasovye-kolonki/%D0%90%D0%A2%D0%95%D0%9C-%D0%96%D0%B8%D1%82%D0%BE%D0%BC%D0%B8%D1%80-%D0%92%D0%9F%D0%93-16.html"/>
    <hyperlink ref="A36" r:id="rId3" display="http://www.marketus.com.ua/ua/product/dakon-daline-pte-18/"/>
  </hyperlinks>
  <pageMargins left="0.7" right="0.7" top="0.75" bottom="0.75" header="0.3" footer="0.3"/>
  <pageSetup paperSize="9" orientation="portrait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O16"/>
  <sheetViews>
    <sheetView zoomScale="70" zoomScaleNormal="70" workbookViewId="0">
      <selection activeCell="M8" sqref="M8"/>
    </sheetView>
  </sheetViews>
  <sheetFormatPr defaultRowHeight="15" x14ac:dyDescent="0.25"/>
  <cols>
    <col min="4" max="4" width="15.42578125" customWidth="1"/>
    <col min="8" max="8" width="15.5703125" customWidth="1"/>
  </cols>
  <sheetData>
    <row r="5" spans="2:15" x14ac:dyDescent="0.25">
      <c r="B5" t="s">
        <v>28</v>
      </c>
      <c r="C5" s="104" t="s">
        <v>80</v>
      </c>
      <c r="D5" s="104"/>
      <c r="E5" t="s">
        <v>29</v>
      </c>
      <c r="G5" t="s">
        <v>25</v>
      </c>
      <c r="K5" t="s">
        <v>30</v>
      </c>
      <c r="M5" t="s">
        <v>31</v>
      </c>
    </row>
    <row r="6" spans="2:15" x14ac:dyDescent="0.25">
      <c r="M6" s="5"/>
    </row>
    <row r="7" spans="2:15" x14ac:dyDescent="0.25">
      <c r="B7">
        <v>2015</v>
      </c>
      <c r="C7" s="14">
        <f>Калькулятор!$A$51</f>
        <v>5727.6332244196055</v>
      </c>
      <c r="E7" s="14">
        <f>Розрахунки!C7</f>
        <v>7.1879999999999997</v>
      </c>
      <c r="G7" s="14">
        <f>C7</f>
        <v>5727.6332244196055</v>
      </c>
      <c r="K7">
        <f>M7/G7</f>
        <v>3.0436446114732698</v>
      </c>
      <c r="M7" s="39">
        <f>Розрахунки!F18</f>
        <v>17432.88</v>
      </c>
      <c r="O7" t="e">
        <f>Калькулятор!#REF!/100+1</f>
        <v>#REF!</v>
      </c>
    </row>
    <row r="8" spans="2:15" x14ac:dyDescent="0.25">
      <c r="B8">
        <v>2016</v>
      </c>
      <c r="C8">
        <f>Калькулятор!$A$51</f>
        <v>5727.6332244196055</v>
      </c>
      <c r="E8" t="e">
        <f>E7*$O$7</f>
        <v>#REF!</v>
      </c>
      <c r="G8" t="e">
        <f>G7*$O$7</f>
        <v>#REF!</v>
      </c>
      <c r="K8" t="e">
        <f t="shared" ref="K8:K16" si="0">M8/G8</f>
        <v>#REF!</v>
      </c>
      <c r="M8" s="5">
        <f t="shared" ref="M8:M16" si="1">M7-G7</f>
        <v>11705.246775580395</v>
      </c>
    </row>
    <row r="9" spans="2:15" x14ac:dyDescent="0.25">
      <c r="B9">
        <v>2017</v>
      </c>
      <c r="C9">
        <f>Калькулятор!$A$51</f>
        <v>5727.6332244196055</v>
      </c>
      <c r="E9" t="e">
        <f t="shared" ref="E9:E16" si="2">E8*$O$7</f>
        <v>#REF!</v>
      </c>
      <c r="G9" t="e">
        <f>G8*$O$7</f>
        <v>#REF!</v>
      </c>
      <c r="K9" t="e">
        <f t="shared" si="0"/>
        <v>#REF!</v>
      </c>
      <c r="M9" s="5" t="e">
        <f t="shared" si="1"/>
        <v>#REF!</v>
      </c>
    </row>
    <row r="10" spans="2:15" x14ac:dyDescent="0.25">
      <c r="B10">
        <v>2018</v>
      </c>
      <c r="C10">
        <f>Калькулятор!$A$51</f>
        <v>5727.6332244196055</v>
      </c>
      <c r="E10" t="e">
        <f t="shared" si="2"/>
        <v>#REF!</v>
      </c>
      <c r="G10" t="e">
        <f t="shared" ref="G10:G16" si="3">G9*$O$7</f>
        <v>#REF!</v>
      </c>
      <c r="K10" t="e">
        <f t="shared" si="0"/>
        <v>#REF!</v>
      </c>
      <c r="M10" s="5" t="e">
        <f t="shared" si="1"/>
        <v>#REF!</v>
      </c>
    </row>
    <row r="11" spans="2:15" x14ac:dyDescent="0.25">
      <c r="B11">
        <v>2019</v>
      </c>
      <c r="C11">
        <f>Калькулятор!$A$51</f>
        <v>5727.6332244196055</v>
      </c>
      <c r="E11" t="e">
        <f t="shared" si="2"/>
        <v>#REF!</v>
      </c>
      <c r="G11" t="e">
        <f t="shared" si="3"/>
        <v>#REF!</v>
      </c>
      <c r="K11" t="e">
        <f t="shared" si="0"/>
        <v>#REF!</v>
      </c>
      <c r="M11" s="5" t="e">
        <f t="shared" si="1"/>
        <v>#REF!</v>
      </c>
    </row>
    <row r="12" spans="2:15" x14ac:dyDescent="0.25">
      <c r="B12">
        <v>2020</v>
      </c>
      <c r="C12">
        <f>Калькулятор!$A$51</f>
        <v>5727.6332244196055</v>
      </c>
      <c r="E12" t="e">
        <f t="shared" si="2"/>
        <v>#REF!</v>
      </c>
      <c r="G12" t="e">
        <f t="shared" si="3"/>
        <v>#REF!</v>
      </c>
      <c r="K12" t="e">
        <f t="shared" si="0"/>
        <v>#REF!</v>
      </c>
      <c r="M12" s="5" t="e">
        <f t="shared" si="1"/>
        <v>#REF!</v>
      </c>
    </row>
    <row r="13" spans="2:15" x14ac:dyDescent="0.25">
      <c r="B13">
        <v>2021</v>
      </c>
      <c r="C13">
        <f>Калькулятор!$A$51</f>
        <v>5727.6332244196055</v>
      </c>
      <c r="E13" t="e">
        <f t="shared" si="2"/>
        <v>#REF!</v>
      </c>
      <c r="G13" t="e">
        <f t="shared" si="3"/>
        <v>#REF!</v>
      </c>
      <c r="K13" t="e">
        <f t="shared" si="0"/>
        <v>#REF!</v>
      </c>
      <c r="M13" s="5" t="e">
        <f t="shared" si="1"/>
        <v>#REF!</v>
      </c>
    </row>
    <row r="14" spans="2:15" x14ac:dyDescent="0.25">
      <c r="B14">
        <v>2022</v>
      </c>
      <c r="C14">
        <f>Калькулятор!$A$51</f>
        <v>5727.6332244196055</v>
      </c>
      <c r="E14" t="e">
        <f t="shared" si="2"/>
        <v>#REF!</v>
      </c>
      <c r="G14" t="e">
        <f t="shared" si="3"/>
        <v>#REF!</v>
      </c>
      <c r="K14" t="e">
        <f t="shared" si="0"/>
        <v>#REF!</v>
      </c>
      <c r="M14" s="5" t="e">
        <f t="shared" si="1"/>
        <v>#REF!</v>
      </c>
    </row>
    <row r="15" spans="2:15" x14ac:dyDescent="0.25">
      <c r="B15">
        <v>2023</v>
      </c>
      <c r="C15">
        <f>Калькулятор!$A$51</f>
        <v>5727.6332244196055</v>
      </c>
      <c r="E15" t="e">
        <f t="shared" si="2"/>
        <v>#REF!</v>
      </c>
      <c r="G15" t="e">
        <f t="shared" si="3"/>
        <v>#REF!</v>
      </c>
      <c r="K15" t="e">
        <f t="shared" si="0"/>
        <v>#REF!</v>
      </c>
      <c r="M15" s="5" t="e">
        <f t="shared" si="1"/>
        <v>#REF!</v>
      </c>
    </row>
    <row r="16" spans="2:15" x14ac:dyDescent="0.25">
      <c r="B16">
        <v>2024</v>
      </c>
      <c r="C16">
        <f>Калькулятор!$A$51</f>
        <v>5727.6332244196055</v>
      </c>
      <c r="E16" t="e">
        <f t="shared" si="2"/>
        <v>#REF!</v>
      </c>
      <c r="G16" t="e">
        <f t="shared" si="3"/>
        <v>#REF!</v>
      </c>
      <c r="K16" t="e">
        <f t="shared" si="0"/>
        <v>#REF!</v>
      </c>
      <c r="M16" s="5" t="e">
        <f t="shared" si="1"/>
        <v>#REF!</v>
      </c>
    </row>
  </sheetData>
  <mergeCells count="1">
    <mergeCell ref="C5:D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5" sqref="D5"/>
    </sheetView>
  </sheetViews>
  <sheetFormatPr defaultRowHeight="15" x14ac:dyDescent="0.25"/>
  <cols>
    <col min="1" max="1" width="26" customWidth="1"/>
    <col min="4" max="4" width="32.42578125" customWidth="1"/>
    <col min="5" max="5" width="42.85546875" customWidth="1"/>
  </cols>
  <sheetData>
    <row r="1" spans="1:5" ht="17.25" customHeight="1" x14ac:dyDescent="0.25">
      <c r="A1" s="1" t="s">
        <v>35</v>
      </c>
      <c r="B1" s="2" t="s">
        <v>36</v>
      </c>
      <c r="C1" s="2" t="s">
        <v>37</v>
      </c>
      <c r="D1" s="7" t="s">
        <v>38</v>
      </c>
      <c r="E1" s="1" t="s">
        <v>143</v>
      </c>
    </row>
    <row r="2" spans="1:5" ht="21" x14ac:dyDescent="0.35">
      <c r="A2" s="8" t="s">
        <v>39</v>
      </c>
      <c r="B2" s="62">
        <v>-21</v>
      </c>
      <c r="C2" s="62">
        <v>2.2000000000000002</v>
      </c>
      <c r="D2" s="62">
        <v>157</v>
      </c>
      <c r="E2" s="38">
        <v>0.108</v>
      </c>
    </row>
    <row r="3" spans="1:5" ht="42" x14ac:dyDescent="0.35">
      <c r="A3" s="8" t="s">
        <v>40</v>
      </c>
      <c r="B3" s="62">
        <v>-21</v>
      </c>
      <c r="C3" s="62">
        <v>-0.2</v>
      </c>
      <c r="D3" s="62">
        <v>182</v>
      </c>
      <c r="E3" s="38">
        <v>0.15</v>
      </c>
    </row>
    <row r="4" spans="1:5" ht="42" x14ac:dyDescent="0.35">
      <c r="A4" s="8" t="s">
        <v>41</v>
      </c>
      <c r="B4" s="62">
        <v>-20</v>
      </c>
      <c r="C4" s="62">
        <v>0.3</v>
      </c>
      <c r="D4" s="62">
        <v>180</v>
      </c>
      <c r="E4" s="38">
        <v>0.14199999999999999</v>
      </c>
    </row>
    <row r="5" spans="1:5" ht="42" x14ac:dyDescent="0.35">
      <c r="A5" s="8" t="s">
        <v>42</v>
      </c>
      <c r="B5" s="62">
        <v>-24</v>
      </c>
      <c r="C5" s="62">
        <v>-0.2</v>
      </c>
      <c r="D5" s="62">
        <v>172</v>
      </c>
      <c r="E5" s="38">
        <v>0.13500000000000001</v>
      </c>
    </row>
    <row r="6" spans="1:5" ht="42" x14ac:dyDescent="0.35">
      <c r="A6" s="8" t="s">
        <v>43</v>
      </c>
      <c r="B6" s="62">
        <v>-22</v>
      </c>
      <c r="C6" s="62">
        <v>-0.5</v>
      </c>
      <c r="D6" s="62">
        <v>176</v>
      </c>
      <c r="E6" s="38">
        <v>0.14899999999999999</v>
      </c>
    </row>
    <row r="7" spans="1:5" ht="42" x14ac:dyDescent="0.35">
      <c r="A7" s="8" t="s">
        <v>44</v>
      </c>
      <c r="B7" s="62">
        <v>-22</v>
      </c>
      <c r="C7" s="62">
        <v>-0.2</v>
      </c>
      <c r="D7" s="62">
        <v>184</v>
      </c>
      <c r="E7" s="38">
        <v>0.151</v>
      </c>
    </row>
    <row r="8" spans="1:5" ht="42" x14ac:dyDescent="0.35">
      <c r="A8" s="8" t="s">
        <v>45</v>
      </c>
      <c r="B8" s="62">
        <v>-18</v>
      </c>
      <c r="C8" s="62">
        <v>1.4</v>
      </c>
      <c r="D8" s="62">
        <v>154</v>
      </c>
      <c r="E8" s="38">
        <v>0.11700000000000001</v>
      </c>
    </row>
    <row r="9" spans="1:5" ht="42" x14ac:dyDescent="0.35">
      <c r="A9" s="8" t="s">
        <v>46</v>
      </c>
      <c r="B9" s="62">
        <v>-24</v>
      </c>
      <c r="C9" s="62">
        <v>0.6</v>
      </c>
      <c r="D9" s="62">
        <v>166</v>
      </c>
      <c r="E9" s="38">
        <v>0.13300000000000001</v>
      </c>
    </row>
    <row r="10" spans="1:5" ht="63" x14ac:dyDescent="0.35">
      <c r="A10" s="8" t="s">
        <v>133</v>
      </c>
      <c r="B10" s="62">
        <v>-20</v>
      </c>
      <c r="C10" s="62">
        <v>0.4</v>
      </c>
      <c r="D10" s="62">
        <v>179</v>
      </c>
      <c r="E10" s="38">
        <v>0.14099999999999999</v>
      </c>
    </row>
    <row r="11" spans="1:5" ht="21" x14ac:dyDescent="0.35">
      <c r="A11" s="8" t="s">
        <v>128</v>
      </c>
      <c r="B11" s="62">
        <v>-22</v>
      </c>
      <c r="C11" s="62">
        <v>-0.1</v>
      </c>
      <c r="D11" s="62">
        <v>176</v>
      </c>
      <c r="E11" s="38">
        <v>0.14699999999999999</v>
      </c>
    </row>
    <row r="12" spans="1:5" ht="21" x14ac:dyDescent="0.35">
      <c r="A12" s="8" t="s">
        <v>47</v>
      </c>
      <c r="B12" s="62">
        <v>-22</v>
      </c>
      <c r="C12" s="62">
        <v>-0.1</v>
      </c>
      <c r="D12" s="62">
        <v>176</v>
      </c>
      <c r="E12" s="38">
        <v>0.14799999999999999</v>
      </c>
    </row>
    <row r="13" spans="1:5" ht="42" x14ac:dyDescent="0.35">
      <c r="A13" s="8" t="s">
        <v>48</v>
      </c>
      <c r="B13" s="62">
        <v>-22</v>
      </c>
      <c r="C13" s="62">
        <v>-0.3</v>
      </c>
      <c r="D13" s="62">
        <v>175</v>
      </c>
      <c r="E13" s="38">
        <v>0.14399999999999999</v>
      </c>
    </row>
    <row r="14" spans="1:5" ht="42" x14ac:dyDescent="0.35">
      <c r="A14" s="8" t="s">
        <v>49</v>
      </c>
      <c r="B14" s="62">
        <v>-25</v>
      </c>
      <c r="C14" s="62">
        <v>-0.4</v>
      </c>
      <c r="D14" s="62">
        <v>172</v>
      </c>
      <c r="E14" s="38">
        <v>0.14399999999999999</v>
      </c>
    </row>
    <row r="15" spans="1:5" ht="42" x14ac:dyDescent="0.35">
      <c r="A15" s="8" t="s">
        <v>50</v>
      </c>
      <c r="B15" s="62">
        <v>-19</v>
      </c>
      <c r="C15" s="62">
        <v>0.4</v>
      </c>
      <c r="D15" s="62">
        <v>179</v>
      </c>
      <c r="E15" s="38">
        <v>0.14899999999999999</v>
      </c>
    </row>
    <row r="16" spans="1:5" ht="42" x14ac:dyDescent="0.35">
      <c r="A16" s="8" t="s">
        <v>51</v>
      </c>
      <c r="B16" s="62">
        <v>-20</v>
      </c>
      <c r="C16" s="62">
        <v>1.1000000000000001</v>
      </c>
      <c r="D16" s="62">
        <v>161</v>
      </c>
      <c r="E16" s="38">
        <v>0.123</v>
      </c>
    </row>
    <row r="17" spans="1:5" ht="21" x14ac:dyDescent="0.25">
      <c r="A17" s="37" t="s">
        <v>52</v>
      </c>
      <c r="B17" s="62">
        <v>-18</v>
      </c>
      <c r="C17" s="62">
        <v>2</v>
      </c>
      <c r="D17" s="62">
        <v>158</v>
      </c>
      <c r="E17" s="38">
        <v>0.13200000000000001</v>
      </c>
    </row>
    <row r="18" spans="1:5" ht="42" x14ac:dyDescent="0.35">
      <c r="A18" s="8" t="s">
        <v>53</v>
      </c>
      <c r="B18" s="62">
        <v>-23</v>
      </c>
      <c r="C18" s="62">
        <v>-0.8</v>
      </c>
      <c r="D18" s="62">
        <v>178</v>
      </c>
      <c r="E18" s="38">
        <v>0.153</v>
      </c>
    </row>
    <row r="19" spans="1:5" ht="42" x14ac:dyDescent="0.35">
      <c r="A19" s="8" t="s">
        <v>129</v>
      </c>
      <c r="B19" s="62">
        <v>-21</v>
      </c>
      <c r="C19" s="62">
        <v>0.1</v>
      </c>
      <c r="D19" s="62">
        <v>182</v>
      </c>
      <c r="E19" s="38">
        <v>0.14599999999999999</v>
      </c>
    </row>
    <row r="20" spans="1:5" ht="21" x14ac:dyDescent="0.25">
      <c r="A20" s="37" t="s">
        <v>54</v>
      </c>
      <c r="B20" s="62">
        <v>-25</v>
      </c>
      <c r="C20" s="62">
        <v>-1.4</v>
      </c>
      <c r="D20" s="62">
        <v>187</v>
      </c>
      <c r="E20" s="38">
        <v>0.16300000000000001</v>
      </c>
    </row>
    <row r="21" spans="1:5" ht="42" x14ac:dyDescent="0.35">
      <c r="A21" s="8" t="s">
        <v>55</v>
      </c>
      <c r="B21" s="62">
        <v>-20</v>
      </c>
      <c r="C21" s="62">
        <v>-0.2</v>
      </c>
      <c r="D21" s="62">
        <v>184</v>
      </c>
      <c r="E21" s="38">
        <v>0.14799999999999999</v>
      </c>
    </row>
    <row r="22" spans="1:5" ht="42" x14ac:dyDescent="0.35">
      <c r="A22" s="8" t="s">
        <v>56</v>
      </c>
      <c r="B22" s="62">
        <v>-23</v>
      </c>
      <c r="C22" s="62">
        <v>-1</v>
      </c>
      <c r="D22" s="62">
        <v>179</v>
      </c>
      <c r="E22" s="38">
        <v>0.158</v>
      </c>
    </row>
    <row r="23" spans="1:5" ht="42" x14ac:dyDescent="0.35">
      <c r="A23" s="8" t="s">
        <v>57</v>
      </c>
      <c r="B23" s="62">
        <v>-19</v>
      </c>
      <c r="C23" s="62">
        <v>1.3</v>
      </c>
      <c r="D23" s="62">
        <v>163</v>
      </c>
      <c r="E23" s="38">
        <v>0.126</v>
      </c>
    </row>
    <row r="24" spans="1:5" ht="42" x14ac:dyDescent="0.35">
      <c r="A24" s="8" t="s">
        <v>58</v>
      </c>
      <c r="B24" s="62">
        <v>-21</v>
      </c>
      <c r="C24" s="62">
        <v>-0.1</v>
      </c>
      <c r="D24" s="62">
        <v>183</v>
      </c>
      <c r="E24" s="38">
        <v>0.14799999999999999</v>
      </c>
    </row>
    <row r="25" spans="1:5" ht="42" x14ac:dyDescent="0.35">
      <c r="A25" s="8" t="s">
        <v>59</v>
      </c>
      <c r="B25" s="62">
        <v>-21</v>
      </c>
      <c r="C25" s="62">
        <v>-0.3</v>
      </c>
      <c r="D25" s="62">
        <v>178</v>
      </c>
      <c r="E25" s="38">
        <v>0.14899999999999999</v>
      </c>
    </row>
    <row r="26" spans="1:5" ht="42" x14ac:dyDescent="0.35">
      <c r="A26" s="8" t="s">
        <v>60</v>
      </c>
      <c r="B26" s="62">
        <v>-20</v>
      </c>
      <c r="C26" s="62">
        <v>0.5</v>
      </c>
      <c r="D26" s="62">
        <v>175</v>
      </c>
      <c r="E26" s="38">
        <v>0.13800000000000001</v>
      </c>
    </row>
    <row r="27" spans="1:5" ht="42" x14ac:dyDescent="0.35">
      <c r="A27" s="8" t="s">
        <v>61</v>
      </c>
      <c r="B27" s="62">
        <v>-23</v>
      </c>
      <c r="C27" s="62">
        <v>-0.9</v>
      </c>
      <c r="D27" s="62">
        <v>187</v>
      </c>
      <c r="E27" s="38">
        <v>0.155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I11" sqref="I11"/>
    </sheetView>
  </sheetViews>
  <sheetFormatPr defaultRowHeight="15" x14ac:dyDescent="0.25"/>
  <cols>
    <col min="1" max="3" width="9.140625" customWidth="1"/>
    <col min="4" max="4" width="11.5703125" customWidth="1"/>
    <col min="10" max="10" width="11.5703125" customWidth="1"/>
  </cols>
  <sheetData>
    <row r="1" spans="1:13" x14ac:dyDescent="0.25">
      <c r="A1" s="106" t="s">
        <v>84</v>
      </c>
      <c r="B1" s="106"/>
      <c r="C1" s="106"/>
      <c r="D1" s="106"/>
      <c r="E1" s="106"/>
      <c r="F1" s="106"/>
    </row>
    <row r="2" spans="1:13" x14ac:dyDescent="0.25">
      <c r="A2" s="105" t="s">
        <v>85</v>
      </c>
      <c r="B2" s="105"/>
      <c r="C2" s="105"/>
      <c r="D2" s="105"/>
      <c r="E2" s="105"/>
      <c r="F2" s="105"/>
    </row>
    <row r="3" spans="1:13" x14ac:dyDescent="0.25">
      <c r="A3" s="105" t="s">
        <v>86</v>
      </c>
      <c r="B3" s="105"/>
      <c r="C3" s="105"/>
      <c r="D3" s="105"/>
      <c r="E3" s="22">
        <v>3.6</v>
      </c>
      <c r="F3" s="2" t="s">
        <v>88</v>
      </c>
    </row>
    <row r="4" spans="1:13" x14ac:dyDescent="0.25">
      <c r="A4" s="105" t="s">
        <v>87</v>
      </c>
      <c r="B4" s="105"/>
      <c r="C4" s="105"/>
      <c r="D4" s="105"/>
      <c r="E4" s="2">
        <v>7.1879999999999997</v>
      </c>
      <c r="F4" s="2" t="s">
        <v>88</v>
      </c>
    </row>
    <row r="7" spans="1:13" x14ac:dyDescent="0.25">
      <c r="A7" s="23"/>
    </row>
    <row r="8" spans="1:13" x14ac:dyDescent="0.25">
      <c r="A8" s="24"/>
      <c r="B8" s="106" t="s">
        <v>97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</row>
    <row r="9" spans="1:13" x14ac:dyDescent="0.25">
      <c r="A9" s="26" t="s">
        <v>90</v>
      </c>
      <c r="B9" s="25" t="s">
        <v>89</v>
      </c>
    </row>
    <row r="10" spans="1:13" x14ac:dyDescent="0.25">
      <c r="B10" s="107" t="s">
        <v>91</v>
      </c>
      <c r="C10" s="107"/>
      <c r="D10" s="107"/>
      <c r="E10" s="107"/>
      <c r="F10" s="107"/>
      <c r="G10" s="107"/>
      <c r="H10" s="107"/>
    </row>
    <row r="11" spans="1:13" x14ac:dyDescent="0.25">
      <c r="B11" s="107" t="s">
        <v>92</v>
      </c>
      <c r="C11" s="107"/>
      <c r="D11" s="107"/>
      <c r="E11" s="107"/>
      <c r="F11" s="107"/>
      <c r="G11" s="107"/>
      <c r="H11" s="107"/>
      <c r="I11" s="2">
        <v>0.45600000000000002</v>
      </c>
      <c r="J11" s="2" t="s">
        <v>93</v>
      </c>
    </row>
    <row r="12" spans="1:13" x14ac:dyDescent="0.25">
      <c r="B12" s="107" t="s">
        <v>94</v>
      </c>
      <c r="C12" s="107"/>
      <c r="D12" s="107"/>
      <c r="E12" s="107"/>
      <c r="F12" s="107"/>
      <c r="G12" s="107"/>
      <c r="H12" s="107"/>
      <c r="I12" s="2">
        <v>1.4790000000000001</v>
      </c>
      <c r="J12" s="2" t="s">
        <v>93</v>
      </c>
    </row>
    <row r="14" spans="1:13" x14ac:dyDescent="0.25">
      <c r="A14" s="26" t="s">
        <v>96</v>
      </c>
      <c r="B14" s="25" t="s">
        <v>95</v>
      </c>
    </row>
    <row r="15" spans="1:13" x14ac:dyDescent="0.25">
      <c r="B15" s="107" t="s">
        <v>91</v>
      </c>
      <c r="C15" s="107"/>
      <c r="D15" s="107"/>
      <c r="E15" s="107"/>
      <c r="F15" s="107"/>
      <c r="G15" s="107"/>
      <c r="H15" s="107"/>
    </row>
    <row r="16" spans="1:13" x14ac:dyDescent="0.25">
      <c r="B16" s="107" t="s">
        <v>92</v>
      </c>
      <c r="C16" s="107"/>
      <c r="D16" s="107"/>
      <c r="E16" s="107"/>
      <c r="F16" s="107"/>
      <c r="G16" s="107"/>
      <c r="H16" s="107"/>
      <c r="I16" s="2">
        <v>0.45600000000000002</v>
      </c>
      <c r="J16" s="2" t="s">
        <v>93</v>
      </c>
    </row>
    <row r="17" spans="2:10" x14ac:dyDescent="0.25">
      <c r="B17" s="107" t="s">
        <v>94</v>
      </c>
      <c r="C17" s="107"/>
      <c r="D17" s="107"/>
      <c r="E17" s="107"/>
      <c r="F17" s="107"/>
      <c r="G17" s="107"/>
      <c r="H17" s="107"/>
      <c r="I17" s="2">
        <v>1.4790000000000001</v>
      </c>
      <c r="J17" s="2" t="s">
        <v>93</v>
      </c>
    </row>
  </sheetData>
  <mergeCells count="11">
    <mergeCell ref="A3:D3"/>
    <mergeCell ref="A4:D4"/>
    <mergeCell ref="A2:F2"/>
    <mergeCell ref="A1:F1"/>
    <mergeCell ref="B17:H17"/>
    <mergeCell ref="B8:M8"/>
    <mergeCell ref="B11:H11"/>
    <mergeCell ref="B10:H10"/>
    <mergeCell ref="B12:H12"/>
    <mergeCell ref="B15:H15"/>
    <mergeCell ref="B16:H1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Калькулятор</vt:lpstr>
      <vt:lpstr>Розрахунки</vt:lpstr>
      <vt:lpstr>Дані</vt:lpstr>
      <vt:lpstr>Графіки</vt:lpstr>
      <vt:lpstr>Регіони</vt:lpstr>
      <vt:lpstr>Тарифи</vt:lpstr>
      <vt:lpstr>Газовий_котел</vt:lpstr>
      <vt:lpstr>Дизельний_котел</vt:lpstr>
      <vt:lpstr>Електричний_котел</vt:lpstr>
      <vt:lpstr>Котли</vt:lpstr>
      <vt:lpstr>Котли1</vt:lpstr>
      <vt:lpstr>Калькулятор!Область_печати</vt:lpstr>
      <vt:lpstr>Регіони</vt:lpstr>
      <vt:lpstr>Строк_кредиту</vt:lpstr>
      <vt:lpstr>таня</vt:lpstr>
      <vt:lpstr>Твердопаливний_котел</vt:lpstr>
      <vt:lpstr>Тип_фінансування</vt:lpstr>
      <vt:lpstr>Централізоване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2006-11-28T10:41:36Z</dcterms:created>
  <dcterms:modified xsi:type="dcterms:W3CDTF">2015-05-13T06:58:50Z</dcterms:modified>
</cp:coreProperties>
</file>