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платні послуги\калькуляція 2020\"/>
    </mc:Choice>
  </mc:AlternateContent>
  <bookViews>
    <workbookView xWindow="0" yWindow="0" windowWidth="28800" windowHeight="12435" activeTab="5"/>
  </bookViews>
  <sheets>
    <sheet name="цмкл" sheetId="1" r:id="rId1"/>
    <sheet name="МКЛ 1" sheetId="9" r:id="rId2"/>
    <sheet name="МДКЛ" sheetId="3" r:id="rId3"/>
    <sheet name="МКПЦ" sheetId="6" r:id="rId4"/>
    <sheet name="ЦПМКДД" sheetId="7" r:id="rId5"/>
    <sheet name="МСП" sheetId="4" r:id="rId6"/>
    <sheet name="МСП дит." sheetId="5" r:id="rId7"/>
  </sheets>
  <externalReferences>
    <externalReference r:id="rId8"/>
  </externalReferences>
  <definedNames>
    <definedName name="_xlnm.Print_Area" localSheetId="2">МДКЛ!$A$1:$O$68</definedName>
  </definedNames>
  <calcPr calcId="152511"/>
</workbook>
</file>

<file path=xl/calcChain.xml><?xml version="1.0" encoding="utf-8"?>
<calcChain xmlns="http://schemas.openxmlformats.org/spreadsheetml/2006/main">
  <c r="J548" i="9" l="1"/>
  <c r="K548" i="9" s="1"/>
  <c r="J547" i="9"/>
  <c r="I545" i="9"/>
  <c r="G544" i="9"/>
  <c r="D544" i="9"/>
  <c r="J543" i="9"/>
  <c r="I543" i="9"/>
  <c r="K543" i="9" s="1"/>
  <c r="H542" i="9"/>
  <c r="I542" i="9" s="1"/>
  <c r="J542" i="9" s="1"/>
  <c r="D542" i="9"/>
  <c r="E542" i="9" s="1"/>
  <c r="J541" i="9"/>
  <c r="I541" i="9"/>
  <c r="D540" i="9"/>
  <c r="E540" i="9" s="1"/>
  <c r="J539" i="9"/>
  <c r="I539" i="9"/>
  <c r="K539" i="9" s="1"/>
  <c r="H538" i="9"/>
  <c r="I538" i="9" s="1"/>
  <c r="J538" i="9" s="1"/>
  <c r="D538" i="9"/>
  <c r="E538" i="9" s="1"/>
  <c r="J537" i="9"/>
  <c r="I537" i="9"/>
  <c r="D536" i="9"/>
  <c r="E536" i="9" s="1"/>
  <c r="J535" i="9"/>
  <c r="I535" i="9"/>
  <c r="K535" i="9" s="1"/>
  <c r="I534" i="9"/>
  <c r="J534" i="9" s="1"/>
  <c r="E533" i="9"/>
  <c r="D533" i="9"/>
  <c r="H533" i="9" s="1"/>
  <c r="I533" i="9" s="1"/>
  <c r="J533" i="9" s="1"/>
  <c r="K532" i="9"/>
  <c r="I532" i="9"/>
  <c r="J532" i="9" s="1"/>
  <c r="J531" i="9"/>
  <c r="I531" i="9"/>
  <c r="D530" i="9"/>
  <c r="E530" i="9" s="1"/>
  <c r="J529" i="9"/>
  <c r="I529" i="9"/>
  <c r="K529" i="9" s="1"/>
  <c r="H528" i="9"/>
  <c r="I528" i="9" s="1"/>
  <c r="J528" i="9" s="1"/>
  <c r="D528" i="9"/>
  <c r="E528" i="9" s="1"/>
  <c r="J527" i="9"/>
  <c r="I527" i="9"/>
  <c r="D526" i="9"/>
  <c r="E526" i="9" s="1"/>
  <c r="J525" i="9"/>
  <c r="I525" i="9"/>
  <c r="K525" i="9" s="1"/>
  <c r="H524" i="9"/>
  <c r="I524" i="9" s="1"/>
  <c r="J524" i="9" s="1"/>
  <c r="D524" i="9"/>
  <c r="E524" i="9" s="1"/>
  <c r="J523" i="9"/>
  <c r="I523" i="9"/>
  <c r="D522" i="9"/>
  <c r="E522" i="9" s="1"/>
  <c r="J521" i="9"/>
  <c r="D520" i="9"/>
  <c r="E520" i="9" s="1"/>
  <c r="J519" i="9"/>
  <c r="I519" i="9"/>
  <c r="K519" i="9" s="1"/>
  <c r="H518" i="9"/>
  <c r="I518" i="9" s="1"/>
  <c r="J518" i="9" s="1"/>
  <c r="D518" i="9"/>
  <c r="E518" i="9" s="1"/>
  <c r="J517" i="9"/>
  <c r="I517" i="9"/>
  <c r="D516" i="9"/>
  <c r="E516" i="9" s="1"/>
  <c r="J515" i="9"/>
  <c r="I515" i="9"/>
  <c r="K515" i="9" s="1"/>
  <c r="H514" i="9"/>
  <c r="I514" i="9" s="1"/>
  <c r="J514" i="9" s="1"/>
  <c r="D514" i="9"/>
  <c r="E514" i="9" s="1"/>
  <c r="J513" i="9"/>
  <c r="I513" i="9"/>
  <c r="D512" i="9"/>
  <c r="E512" i="9" s="1"/>
  <c r="J510" i="9"/>
  <c r="I510" i="9"/>
  <c r="K510" i="9" s="1"/>
  <c r="H509" i="9"/>
  <c r="G509" i="9"/>
  <c r="E509" i="9"/>
  <c r="D509" i="9"/>
  <c r="K508" i="9"/>
  <c r="I508" i="9"/>
  <c r="J508" i="9" s="1"/>
  <c r="G507" i="9"/>
  <c r="D507" i="9"/>
  <c r="J506" i="9"/>
  <c r="I506" i="9"/>
  <c r="K506" i="9" s="1"/>
  <c r="H505" i="9"/>
  <c r="G505" i="9"/>
  <c r="E505" i="9"/>
  <c r="D505" i="9"/>
  <c r="K504" i="9"/>
  <c r="I504" i="9"/>
  <c r="J504" i="9" s="1"/>
  <c r="G503" i="9"/>
  <c r="D503" i="9"/>
  <c r="J502" i="9"/>
  <c r="I502" i="9"/>
  <c r="K502" i="9" s="1"/>
  <c r="H501" i="9"/>
  <c r="G501" i="9"/>
  <c r="E501" i="9"/>
  <c r="D501" i="9"/>
  <c r="K500" i="9"/>
  <c r="I500" i="9"/>
  <c r="J500" i="9" s="1"/>
  <c r="G499" i="9"/>
  <c r="D499" i="9"/>
  <c r="J498" i="9"/>
  <c r="I498" i="9"/>
  <c r="K498" i="9" s="1"/>
  <c r="H497" i="9"/>
  <c r="G497" i="9"/>
  <c r="E497" i="9"/>
  <c r="D497" i="9"/>
  <c r="K496" i="9"/>
  <c r="I496" i="9"/>
  <c r="J496" i="9" s="1"/>
  <c r="G495" i="9"/>
  <c r="D495" i="9"/>
  <c r="J494" i="9"/>
  <c r="I494" i="9"/>
  <c r="K494" i="9" s="1"/>
  <c r="H493" i="9"/>
  <c r="G493" i="9"/>
  <c r="E493" i="9"/>
  <c r="D493" i="9"/>
  <c r="K492" i="9"/>
  <c r="I492" i="9"/>
  <c r="J492" i="9" s="1"/>
  <c r="G491" i="9"/>
  <c r="D491" i="9"/>
  <c r="J490" i="9"/>
  <c r="I490" i="9"/>
  <c r="K490" i="9" s="1"/>
  <c r="H489" i="9"/>
  <c r="G489" i="9"/>
  <c r="E489" i="9"/>
  <c r="D489" i="9"/>
  <c r="K488" i="9"/>
  <c r="I488" i="9"/>
  <c r="J488" i="9" s="1"/>
  <c r="G487" i="9"/>
  <c r="D487" i="9"/>
  <c r="H487" i="9" s="1"/>
  <c r="J486" i="9"/>
  <c r="I486" i="9"/>
  <c r="K486" i="9" s="1"/>
  <c r="H485" i="9"/>
  <c r="I485" i="9" s="1"/>
  <c r="J485" i="9" s="1"/>
  <c r="G485" i="9"/>
  <c r="E485" i="9"/>
  <c r="D485" i="9"/>
  <c r="I484" i="9"/>
  <c r="J484" i="9" s="1"/>
  <c r="G483" i="9"/>
  <c r="D483" i="9"/>
  <c r="H483" i="9" s="1"/>
  <c r="J482" i="9"/>
  <c r="I482" i="9"/>
  <c r="K482" i="9" s="1"/>
  <c r="H481" i="9"/>
  <c r="I481" i="9" s="1"/>
  <c r="J481" i="9" s="1"/>
  <c r="G481" i="9"/>
  <c r="E481" i="9"/>
  <c r="D481" i="9"/>
  <c r="I480" i="9"/>
  <c r="J480" i="9" s="1"/>
  <c r="G479" i="9"/>
  <c r="D479" i="9"/>
  <c r="H479" i="9" s="1"/>
  <c r="J478" i="9"/>
  <c r="I478" i="9"/>
  <c r="K478" i="9" s="1"/>
  <c r="H477" i="9"/>
  <c r="I477" i="9" s="1"/>
  <c r="J477" i="9" s="1"/>
  <c r="G477" i="9"/>
  <c r="E477" i="9"/>
  <c r="D477" i="9"/>
  <c r="I476" i="9"/>
  <c r="J476" i="9" s="1"/>
  <c r="G475" i="9"/>
  <c r="D475" i="9"/>
  <c r="H475" i="9" s="1"/>
  <c r="J474" i="9"/>
  <c r="I474" i="9"/>
  <c r="K474" i="9" s="1"/>
  <c r="H473" i="9"/>
  <c r="I473" i="9" s="1"/>
  <c r="J473" i="9" s="1"/>
  <c r="G473" i="9"/>
  <c r="E473" i="9"/>
  <c r="D473" i="9"/>
  <c r="I472" i="9"/>
  <c r="J472" i="9" s="1"/>
  <c r="G471" i="9"/>
  <c r="D471" i="9"/>
  <c r="H471" i="9" s="1"/>
  <c r="J470" i="9"/>
  <c r="I470" i="9"/>
  <c r="K470" i="9" s="1"/>
  <c r="H469" i="9"/>
  <c r="I469" i="9" s="1"/>
  <c r="J469" i="9" s="1"/>
  <c r="G469" i="9"/>
  <c r="E469" i="9"/>
  <c r="D469" i="9"/>
  <c r="I468" i="9"/>
  <c r="J468" i="9" s="1"/>
  <c r="G467" i="9"/>
  <c r="D467" i="9"/>
  <c r="H467" i="9" s="1"/>
  <c r="J466" i="9"/>
  <c r="I466" i="9"/>
  <c r="K466" i="9" s="1"/>
  <c r="H465" i="9"/>
  <c r="I465" i="9" s="1"/>
  <c r="J465" i="9" s="1"/>
  <c r="G465" i="9"/>
  <c r="E465" i="9"/>
  <c r="D465" i="9"/>
  <c r="I464" i="9"/>
  <c r="J464" i="9" s="1"/>
  <c r="G463" i="9"/>
  <c r="D463" i="9"/>
  <c r="H463" i="9" s="1"/>
  <c r="J461" i="9"/>
  <c r="I461" i="9"/>
  <c r="K461" i="9" s="1"/>
  <c r="I460" i="9"/>
  <c r="J460" i="9" s="1"/>
  <c r="G459" i="9"/>
  <c r="D459" i="9"/>
  <c r="H459" i="9" s="1"/>
  <c r="J458" i="9"/>
  <c r="I458" i="9"/>
  <c r="K458" i="9" s="1"/>
  <c r="I457" i="9"/>
  <c r="J457" i="9" s="1"/>
  <c r="G456" i="9"/>
  <c r="D456" i="9"/>
  <c r="H456" i="9" s="1"/>
  <c r="J455" i="9"/>
  <c r="I455" i="9"/>
  <c r="K455" i="9" s="1"/>
  <c r="I454" i="9"/>
  <c r="J454" i="9" s="1"/>
  <c r="G453" i="9"/>
  <c r="D453" i="9"/>
  <c r="H453" i="9" s="1"/>
  <c r="J452" i="9"/>
  <c r="I452" i="9"/>
  <c r="K452" i="9" s="1"/>
  <c r="I451" i="9"/>
  <c r="J451" i="9" s="1"/>
  <c r="G450" i="9"/>
  <c r="D450" i="9"/>
  <c r="H450" i="9" s="1"/>
  <c r="J449" i="9"/>
  <c r="I449" i="9"/>
  <c r="K449" i="9" s="1"/>
  <c r="I448" i="9"/>
  <c r="J448" i="9" s="1"/>
  <c r="G447" i="9"/>
  <c r="D447" i="9"/>
  <c r="H447" i="9" s="1"/>
  <c r="J446" i="9"/>
  <c r="I446" i="9"/>
  <c r="K446" i="9" s="1"/>
  <c r="I445" i="9"/>
  <c r="J445" i="9" s="1"/>
  <c r="G444" i="9"/>
  <c r="D444" i="9"/>
  <c r="H444" i="9" s="1"/>
  <c r="J443" i="9"/>
  <c r="I443" i="9"/>
  <c r="K443" i="9" s="1"/>
  <c r="I442" i="9"/>
  <c r="J442" i="9" s="1"/>
  <c r="G441" i="9"/>
  <c r="D441" i="9"/>
  <c r="H441" i="9" s="1"/>
  <c r="J440" i="9"/>
  <c r="I440" i="9"/>
  <c r="K440" i="9" s="1"/>
  <c r="I439" i="9"/>
  <c r="J439" i="9" s="1"/>
  <c r="G438" i="9"/>
  <c r="D438" i="9"/>
  <c r="H438" i="9" s="1"/>
  <c r="H437" i="9"/>
  <c r="E437" i="9"/>
  <c r="I437" i="9" s="1"/>
  <c r="I436" i="9"/>
  <c r="J436" i="9" s="1"/>
  <c r="J435" i="9"/>
  <c r="I435" i="9"/>
  <c r="K435" i="9" s="1"/>
  <c r="H434" i="9"/>
  <c r="G434" i="9"/>
  <c r="E434" i="9"/>
  <c r="D434" i="9"/>
  <c r="I434" i="9" s="1"/>
  <c r="J434" i="9" s="1"/>
  <c r="I433" i="9"/>
  <c r="J433" i="9" s="1"/>
  <c r="J432" i="9"/>
  <c r="I432" i="9"/>
  <c r="K432" i="9" s="1"/>
  <c r="H431" i="9"/>
  <c r="G431" i="9"/>
  <c r="E431" i="9"/>
  <c r="D431" i="9"/>
  <c r="I431" i="9" s="1"/>
  <c r="J431" i="9" s="1"/>
  <c r="I430" i="9"/>
  <c r="J430" i="9" s="1"/>
  <c r="J429" i="9"/>
  <c r="I429" i="9"/>
  <c r="K429" i="9" s="1"/>
  <c r="H428" i="9"/>
  <c r="G428" i="9"/>
  <c r="E428" i="9"/>
  <c r="D428" i="9"/>
  <c r="I428" i="9" s="1"/>
  <c r="J428" i="9" s="1"/>
  <c r="H427" i="9"/>
  <c r="E427" i="9"/>
  <c r="I427" i="9" s="1"/>
  <c r="J426" i="9"/>
  <c r="I426" i="9"/>
  <c r="K426" i="9" s="1"/>
  <c r="I425" i="9"/>
  <c r="J425" i="9" s="1"/>
  <c r="G424" i="9"/>
  <c r="D424" i="9"/>
  <c r="H424" i="9" s="1"/>
  <c r="J423" i="9"/>
  <c r="I423" i="9"/>
  <c r="K423" i="9" s="1"/>
  <c r="I422" i="9"/>
  <c r="J422" i="9" s="1"/>
  <c r="G421" i="9"/>
  <c r="D421" i="9"/>
  <c r="H421" i="9" s="1"/>
  <c r="J420" i="9"/>
  <c r="I420" i="9"/>
  <c r="K420" i="9" s="1"/>
  <c r="I419" i="9"/>
  <c r="J419" i="9" s="1"/>
  <c r="G418" i="9"/>
  <c r="D418" i="9"/>
  <c r="H418" i="9" s="1"/>
  <c r="J417" i="9"/>
  <c r="I417" i="9"/>
  <c r="K417" i="9" s="1"/>
  <c r="I416" i="9"/>
  <c r="J416" i="9" s="1"/>
  <c r="G415" i="9"/>
  <c r="D415" i="9"/>
  <c r="H415" i="9" s="1"/>
  <c r="J414" i="9"/>
  <c r="I414" i="9"/>
  <c r="K414" i="9" s="1"/>
  <c r="I413" i="9"/>
  <c r="J413" i="9" s="1"/>
  <c r="G412" i="9"/>
  <c r="D412" i="9"/>
  <c r="H412" i="9" s="1"/>
  <c r="J411" i="9"/>
  <c r="I411" i="9"/>
  <c r="K411" i="9" s="1"/>
  <c r="I410" i="9"/>
  <c r="J410" i="9" s="1"/>
  <c r="G409" i="9"/>
  <c r="D409" i="9"/>
  <c r="H409" i="9" s="1"/>
  <c r="H408" i="9"/>
  <c r="E408" i="9"/>
  <c r="I408" i="9" s="1"/>
  <c r="I407" i="9"/>
  <c r="J407" i="9" s="1"/>
  <c r="J406" i="9"/>
  <c r="I406" i="9"/>
  <c r="K406" i="9" s="1"/>
  <c r="H405" i="9"/>
  <c r="G405" i="9"/>
  <c r="E405" i="9"/>
  <c r="D405" i="9"/>
  <c r="I405" i="9" s="1"/>
  <c r="J405" i="9" s="1"/>
  <c r="I404" i="9"/>
  <c r="J404" i="9" s="1"/>
  <c r="J403" i="9"/>
  <c r="I403" i="9"/>
  <c r="K403" i="9" s="1"/>
  <c r="H402" i="9"/>
  <c r="G402" i="9"/>
  <c r="E402" i="9"/>
  <c r="D402" i="9"/>
  <c r="I402" i="9" s="1"/>
  <c r="J402" i="9" s="1"/>
  <c r="I401" i="9"/>
  <c r="J401" i="9" s="1"/>
  <c r="J400" i="9"/>
  <c r="I400" i="9"/>
  <c r="K400" i="9" s="1"/>
  <c r="H399" i="9"/>
  <c r="G399" i="9"/>
  <c r="E399" i="9"/>
  <c r="D399" i="9"/>
  <c r="I398" i="9"/>
  <c r="J398" i="9" s="1"/>
  <c r="J397" i="9"/>
  <c r="I397" i="9"/>
  <c r="K397" i="9" s="1"/>
  <c r="H396" i="9"/>
  <c r="G396" i="9"/>
  <c r="E396" i="9"/>
  <c r="D396" i="9"/>
  <c r="I396" i="9" s="1"/>
  <c r="J396" i="9" s="1"/>
  <c r="H395" i="9"/>
  <c r="E395" i="9"/>
  <c r="I395" i="9" s="1"/>
  <c r="J394" i="9"/>
  <c r="I394" i="9"/>
  <c r="K394" i="9" s="1"/>
  <c r="I393" i="9"/>
  <c r="J393" i="9" s="1"/>
  <c r="G392" i="9"/>
  <c r="D392" i="9"/>
  <c r="H392" i="9" s="1"/>
  <c r="H391" i="9"/>
  <c r="E391" i="9"/>
  <c r="I391" i="9" s="1"/>
  <c r="I390" i="9"/>
  <c r="J390" i="9" s="1"/>
  <c r="J389" i="9"/>
  <c r="I389" i="9"/>
  <c r="K389" i="9" s="1"/>
  <c r="H388" i="9"/>
  <c r="G388" i="9"/>
  <c r="E388" i="9"/>
  <c r="D388" i="9"/>
  <c r="I388" i="9" s="1"/>
  <c r="J388" i="9" s="1"/>
  <c r="H387" i="9"/>
  <c r="E387" i="9"/>
  <c r="I387" i="9" s="1"/>
  <c r="H386" i="9"/>
  <c r="E386" i="9"/>
  <c r="I386" i="9" s="1"/>
  <c r="I385" i="9"/>
  <c r="J385" i="9" s="1"/>
  <c r="J384" i="9"/>
  <c r="I384" i="9"/>
  <c r="K384" i="9" s="1"/>
  <c r="H383" i="9"/>
  <c r="G383" i="9"/>
  <c r="E383" i="9"/>
  <c r="D383" i="9"/>
  <c r="I383" i="9" s="1"/>
  <c r="J383" i="9" s="1"/>
  <c r="I382" i="9"/>
  <c r="J382" i="9" s="1"/>
  <c r="J381" i="9"/>
  <c r="I381" i="9"/>
  <c r="K381" i="9" s="1"/>
  <c r="H380" i="9"/>
  <c r="G380" i="9"/>
  <c r="E380" i="9"/>
  <c r="D380" i="9"/>
  <c r="I380" i="9" s="1"/>
  <c r="J380" i="9" s="1"/>
  <c r="I379" i="9"/>
  <c r="J379" i="9" s="1"/>
  <c r="J378" i="9"/>
  <c r="I378" i="9"/>
  <c r="K378" i="9" s="1"/>
  <c r="H377" i="9"/>
  <c r="G377" i="9"/>
  <c r="E377" i="9"/>
  <c r="D377" i="9"/>
  <c r="I377" i="9" s="1"/>
  <c r="J377" i="9" s="1"/>
  <c r="I376" i="9"/>
  <c r="J376" i="9" s="1"/>
  <c r="J375" i="9"/>
  <c r="I375" i="9"/>
  <c r="K375" i="9" s="1"/>
  <c r="H374" i="9"/>
  <c r="G374" i="9"/>
  <c r="E374" i="9"/>
  <c r="D374" i="9"/>
  <c r="I374" i="9" s="1"/>
  <c r="J374" i="9" s="1"/>
  <c r="H373" i="9"/>
  <c r="E373" i="9"/>
  <c r="I373" i="9" s="1"/>
  <c r="J372" i="9"/>
  <c r="I372" i="9"/>
  <c r="K372" i="9" s="1"/>
  <c r="I371" i="9"/>
  <c r="J371" i="9" s="1"/>
  <c r="G370" i="9"/>
  <c r="D370" i="9"/>
  <c r="H370" i="9" s="1"/>
  <c r="H369" i="9"/>
  <c r="E369" i="9"/>
  <c r="I369" i="9" s="1"/>
  <c r="H368" i="9"/>
  <c r="E368" i="9"/>
  <c r="I368" i="9" s="1"/>
  <c r="J367" i="9"/>
  <c r="I367" i="9"/>
  <c r="K367" i="9" s="1"/>
  <c r="I366" i="9"/>
  <c r="J366" i="9" s="1"/>
  <c r="G365" i="9"/>
  <c r="D365" i="9"/>
  <c r="H365" i="9" s="1"/>
  <c r="J364" i="9"/>
  <c r="I364" i="9"/>
  <c r="K364" i="9" s="1"/>
  <c r="I363" i="9"/>
  <c r="J363" i="9" s="1"/>
  <c r="G362" i="9"/>
  <c r="D362" i="9"/>
  <c r="H362" i="9" s="1"/>
  <c r="J361" i="9"/>
  <c r="I361" i="9"/>
  <c r="K361" i="9" s="1"/>
  <c r="I360" i="9"/>
  <c r="J360" i="9" s="1"/>
  <c r="G359" i="9"/>
  <c r="D359" i="9"/>
  <c r="H359" i="9" s="1"/>
  <c r="J358" i="9"/>
  <c r="I358" i="9"/>
  <c r="K358" i="9" s="1"/>
  <c r="I357" i="9"/>
  <c r="J357" i="9" s="1"/>
  <c r="G356" i="9"/>
  <c r="D356" i="9"/>
  <c r="H356" i="9" s="1"/>
  <c r="J355" i="9"/>
  <c r="I355" i="9"/>
  <c r="K355" i="9" s="1"/>
  <c r="I354" i="9"/>
  <c r="J354" i="9" s="1"/>
  <c r="G353" i="9"/>
  <c r="D353" i="9"/>
  <c r="H353" i="9" s="1"/>
  <c r="H352" i="9"/>
  <c r="E352" i="9"/>
  <c r="I352" i="9" s="1"/>
  <c r="I351" i="9"/>
  <c r="J351" i="9" s="1"/>
  <c r="J350" i="9"/>
  <c r="I350" i="9"/>
  <c r="K350" i="9" s="1"/>
  <c r="H349" i="9"/>
  <c r="G349" i="9"/>
  <c r="E349" i="9"/>
  <c r="D349" i="9"/>
  <c r="I349" i="9" s="1"/>
  <c r="J349" i="9" s="1"/>
  <c r="I346" i="9"/>
  <c r="J346" i="9" s="1"/>
  <c r="J345" i="9"/>
  <c r="I345" i="9"/>
  <c r="K345" i="9" s="1"/>
  <c r="G344" i="9"/>
  <c r="D344" i="9"/>
  <c r="H344" i="9" s="1"/>
  <c r="I343" i="9"/>
  <c r="J343" i="9" s="1"/>
  <c r="I342" i="9"/>
  <c r="G341" i="9"/>
  <c r="D341" i="9"/>
  <c r="H341" i="9" s="1"/>
  <c r="I340" i="9"/>
  <c r="J340" i="9" s="1"/>
  <c r="I339" i="9"/>
  <c r="G338" i="9"/>
  <c r="D338" i="9"/>
  <c r="H338" i="9" s="1"/>
  <c r="I337" i="9"/>
  <c r="J337" i="9" s="1"/>
  <c r="I336" i="9"/>
  <c r="I335" i="9"/>
  <c r="J335" i="9" s="1"/>
  <c r="G334" i="9"/>
  <c r="D334" i="9"/>
  <c r="H334" i="9" s="1"/>
  <c r="J333" i="9"/>
  <c r="I333" i="9"/>
  <c r="K333" i="9" s="1"/>
  <c r="I332" i="9"/>
  <c r="J332" i="9" s="1"/>
  <c r="G331" i="9"/>
  <c r="D331" i="9"/>
  <c r="H331" i="9" s="1"/>
  <c r="J330" i="9"/>
  <c r="I330" i="9"/>
  <c r="K330" i="9" s="1"/>
  <c r="I329" i="9"/>
  <c r="J329" i="9" s="1"/>
  <c r="G328" i="9"/>
  <c r="D328" i="9"/>
  <c r="H328" i="9" s="1"/>
  <c r="J327" i="9"/>
  <c r="I327" i="9"/>
  <c r="K327" i="9" s="1"/>
  <c r="I326" i="9"/>
  <c r="J326" i="9" s="1"/>
  <c r="G325" i="9"/>
  <c r="D325" i="9"/>
  <c r="H325" i="9" s="1"/>
  <c r="J324" i="9"/>
  <c r="I324" i="9"/>
  <c r="K324" i="9" s="1"/>
  <c r="I323" i="9"/>
  <c r="J323" i="9" s="1"/>
  <c r="G322" i="9"/>
  <c r="D322" i="9"/>
  <c r="H322" i="9" s="1"/>
  <c r="J321" i="9"/>
  <c r="I321" i="9"/>
  <c r="K321" i="9" s="1"/>
  <c r="I320" i="9"/>
  <c r="J320" i="9" s="1"/>
  <c r="G319" i="9"/>
  <c r="D319" i="9"/>
  <c r="H319" i="9" s="1"/>
  <c r="J318" i="9"/>
  <c r="I318" i="9"/>
  <c r="K318" i="9" s="1"/>
  <c r="I317" i="9"/>
  <c r="J317" i="9" s="1"/>
  <c r="G316" i="9"/>
  <c r="D316" i="9"/>
  <c r="H316" i="9" s="1"/>
  <c r="J315" i="9"/>
  <c r="I315" i="9"/>
  <c r="K315" i="9" s="1"/>
  <c r="I314" i="9"/>
  <c r="J314" i="9" s="1"/>
  <c r="G313" i="9"/>
  <c r="D313" i="9"/>
  <c r="H313" i="9" s="1"/>
  <c r="J312" i="9"/>
  <c r="I312" i="9"/>
  <c r="K312" i="9" s="1"/>
  <c r="I311" i="9"/>
  <c r="J311" i="9" s="1"/>
  <c r="G310" i="9"/>
  <c r="D310" i="9"/>
  <c r="H310" i="9" s="1"/>
  <c r="J309" i="9"/>
  <c r="I309" i="9"/>
  <c r="K309" i="9" s="1"/>
  <c r="I308" i="9"/>
  <c r="J308" i="9" s="1"/>
  <c r="G307" i="9"/>
  <c r="D307" i="9"/>
  <c r="H307" i="9" s="1"/>
  <c r="J306" i="9"/>
  <c r="I306" i="9"/>
  <c r="K306" i="9" s="1"/>
  <c r="I305" i="9"/>
  <c r="J305" i="9" s="1"/>
  <c r="G304" i="9"/>
  <c r="D304" i="9"/>
  <c r="H304" i="9" s="1"/>
  <c r="J303" i="9"/>
  <c r="I303" i="9"/>
  <c r="K303" i="9" s="1"/>
  <c r="I302" i="9"/>
  <c r="J302" i="9" s="1"/>
  <c r="G301" i="9"/>
  <c r="D301" i="9"/>
  <c r="H301" i="9" s="1"/>
  <c r="J300" i="9"/>
  <c r="I300" i="9"/>
  <c r="K300" i="9" s="1"/>
  <c r="I299" i="9"/>
  <c r="J299" i="9" s="1"/>
  <c r="G298" i="9"/>
  <c r="D298" i="9"/>
  <c r="H298" i="9" s="1"/>
  <c r="J297" i="9"/>
  <c r="I297" i="9"/>
  <c r="K297" i="9" s="1"/>
  <c r="I296" i="9"/>
  <c r="J296" i="9" s="1"/>
  <c r="G295" i="9"/>
  <c r="D295" i="9"/>
  <c r="H295" i="9" s="1"/>
  <c r="J294" i="9"/>
  <c r="I294" i="9"/>
  <c r="K294" i="9" s="1"/>
  <c r="I293" i="9"/>
  <c r="J293" i="9" s="1"/>
  <c r="G292" i="9"/>
  <c r="D292" i="9"/>
  <c r="H292" i="9" s="1"/>
  <c r="J291" i="9"/>
  <c r="I291" i="9"/>
  <c r="K291" i="9" s="1"/>
  <c r="I290" i="9"/>
  <c r="J290" i="9" s="1"/>
  <c r="G289" i="9"/>
  <c r="D289" i="9"/>
  <c r="J288" i="9"/>
  <c r="I288" i="9"/>
  <c r="K287" i="9"/>
  <c r="I287" i="9"/>
  <c r="J287" i="9" s="1"/>
  <c r="G286" i="9"/>
  <c r="D286" i="9"/>
  <c r="J285" i="9"/>
  <c r="I285" i="9"/>
  <c r="K285" i="9" s="1"/>
  <c r="I284" i="9"/>
  <c r="G283" i="9"/>
  <c r="D283" i="9"/>
  <c r="J282" i="9"/>
  <c r="I282" i="9"/>
  <c r="K281" i="9"/>
  <c r="I281" i="9"/>
  <c r="J281" i="9" s="1"/>
  <c r="G280" i="9"/>
  <c r="D280" i="9"/>
  <c r="J279" i="9"/>
  <c r="I279" i="9"/>
  <c r="K279" i="9" s="1"/>
  <c r="I278" i="9"/>
  <c r="J278" i="9" s="1"/>
  <c r="G277" i="9"/>
  <c r="D277" i="9"/>
  <c r="J276" i="9"/>
  <c r="I276" i="9"/>
  <c r="K275" i="9"/>
  <c r="I275" i="9"/>
  <c r="J275" i="9" s="1"/>
  <c r="G274" i="9"/>
  <c r="D274" i="9"/>
  <c r="J273" i="9"/>
  <c r="I273" i="9"/>
  <c r="K273" i="9" s="1"/>
  <c r="I272" i="9"/>
  <c r="J272" i="9" s="1"/>
  <c r="G271" i="9"/>
  <c r="D271" i="9"/>
  <c r="J270" i="9"/>
  <c r="I270" i="9"/>
  <c r="K269" i="9"/>
  <c r="I269" i="9"/>
  <c r="J269" i="9" s="1"/>
  <c r="G268" i="9"/>
  <c r="D268" i="9"/>
  <c r="J267" i="9"/>
  <c r="I267" i="9"/>
  <c r="K267" i="9" s="1"/>
  <c r="I266" i="9"/>
  <c r="J266" i="9" s="1"/>
  <c r="G265" i="9"/>
  <c r="D265" i="9"/>
  <c r="J264" i="9"/>
  <c r="I264" i="9"/>
  <c r="K263" i="9"/>
  <c r="I263" i="9"/>
  <c r="J263" i="9" s="1"/>
  <c r="G262" i="9"/>
  <c r="D262" i="9"/>
  <c r="J260" i="9"/>
  <c r="I260" i="9"/>
  <c r="K260" i="9" s="1"/>
  <c r="I259" i="9"/>
  <c r="J259" i="9" s="1"/>
  <c r="G258" i="9"/>
  <c r="D258" i="9"/>
  <c r="J257" i="9"/>
  <c r="I257" i="9"/>
  <c r="K256" i="9"/>
  <c r="I256" i="9"/>
  <c r="J256" i="9" s="1"/>
  <c r="G255" i="9"/>
  <c r="D255" i="9"/>
  <c r="J254" i="9"/>
  <c r="I254" i="9"/>
  <c r="K254" i="9" s="1"/>
  <c r="I253" i="9"/>
  <c r="J253" i="9" s="1"/>
  <c r="G252" i="9"/>
  <c r="D252" i="9"/>
  <c r="J251" i="9"/>
  <c r="I251" i="9"/>
  <c r="K250" i="9"/>
  <c r="I250" i="9"/>
  <c r="J250" i="9" s="1"/>
  <c r="G249" i="9"/>
  <c r="D249" i="9"/>
  <c r="J248" i="9"/>
  <c r="I248" i="9"/>
  <c r="K248" i="9" s="1"/>
  <c r="I247" i="9"/>
  <c r="J247" i="9" s="1"/>
  <c r="G246" i="9"/>
  <c r="D246" i="9"/>
  <c r="J245" i="9"/>
  <c r="I245" i="9"/>
  <c r="K244" i="9"/>
  <c r="I244" i="9"/>
  <c r="J244" i="9" s="1"/>
  <c r="G243" i="9"/>
  <c r="D243" i="9"/>
  <c r="J242" i="9"/>
  <c r="I242" i="9"/>
  <c r="K242" i="9" s="1"/>
  <c r="I241" i="9"/>
  <c r="J241" i="9" s="1"/>
  <c r="G240" i="9"/>
  <c r="D240" i="9"/>
  <c r="J239" i="9"/>
  <c r="I239" i="9"/>
  <c r="K238" i="9"/>
  <c r="I238" i="9"/>
  <c r="J238" i="9" s="1"/>
  <c r="G237" i="9"/>
  <c r="D237" i="9"/>
  <c r="J236" i="9"/>
  <c r="I236" i="9"/>
  <c r="K236" i="9" s="1"/>
  <c r="I235" i="9"/>
  <c r="J235" i="9" s="1"/>
  <c r="G234" i="9"/>
  <c r="D234" i="9"/>
  <c r="J233" i="9"/>
  <c r="I233" i="9"/>
  <c r="K232" i="9"/>
  <c r="I232" i="9"/>
  <c r="J232" i="9" s="1"/>
  <c r="G231" i="9"/>
  <c r="D231" i="9"/>
  <c r="J230" i="9"/>
  <c r="I230" i="9"/>
  <c r="K230" i="9" s="1"/>
  <c r="I229" i="9"/>
  <c r="J229" i="9" s="1"/>
  <c r="G228" i="9"/>
  <c r="D228" i="9"/>
  <c r="J227" i="9"/>
  <c r="I227" i="9"/>
  <c r="K226" i="9"/>
  <c r="I226" i="9"/>
  <c r="J226" i="9" s="1"/>
  <c r="G225" i="9"/>
  <c r="D225" i="9"/>
  <c r="J223" i="9"/>
  <c r="I223" i="9"/>
  <c r="K223" i="9" s="1"/>
  <c r="I222" i="9"/>
  <c r="J222" i="9" s="1"/>
  <c r="G221" i="9"/>
  <c r="D221" i="9"/>
  <c r="J220" i="9"/>
  <c r="I220" i="9"/>
  <c r="K219" i="9"/>
  <c r="I219" i="9"/>
  <c r="J219" i="9" s="1"/>
  <c r="G218" i="9"/>
  <c r="D218" i="9"/>
  <c r="J217" i="9"/>
  <c r="I217" i="9"/>
  <c r="K217" i="9" s="1"/>
  <c r="I216" i="9"/>
  <c r="J216" i="9" s="1"/>
  <c r="G215" i="9"/>
  <c r="D215" i="9"/>
  <c r="J214" i="9"/>
  <c r="I214" i="9"/>
  <c r="K213" i="9"/>
  <c r="I213" i="9"/>
  <c r="J213" i="9" s="1"/>
  <c r="G212" i="9"/>
  <c r="D212" i="9"/>
  <c r="J211" i="9"/>
  <c r="I211" i="9"/>
  <c r="K211" i="9" s="1"/>
  <c r="I210" i="9"/>
  <c r="J210" i="9" s="1"/>
  <c r="G209" i="9"/>
  <c r="D209" i="9"/>
  <c r="J208" i="9"/>
  <c r="I208" i="9"/>
  <c r="H207" i="9"/>
  <c r="G207" i="9"/>
  <c r="E207" i="9"/>
  <c r="D207" i="9"/>
  <c r="I206" i="9"/>
  <c r="J206" i="9" s="1"/>
  <c r="J205" i="9"/>
  <c r="I205" i="9"/>
  <c r="K205" i="9" s="1"/>
  <c r="H204" i="9"/>
  <c r="G204" i="9"/>
  <c r="E204" i="9"/>
  <c r="D204" i="9"/>
  <c r="K203" i="9"/>
  <c r="I203" i="9"/>
  <c r="J203" i="9" s="1"/>
  <c r="J202" i="9"/>
  <c r="I202" i="9"/>
  <c r="H201" i="9"/>
  <c r="G201" i="9"/>
  <c r="E201" i="9"/>
  <c r="D201" i="9"/>
  <c r="H198" i="9"/>
  <c r="G198" i="9"/>
  <c r="E198" i="9"/>
  <c r="D198" i="9"/>
  <c r="K197" i="9"/>
  <c r="I197" i="9"/>
  <c r="J197" i="9" s="1"/>
  <c r="J196" i="9"/>
  <c r="I196" i="9"/>
  <c r="H195" i="9"/>
  <c r="G195" i="9"/>
  <c r="E195" i="9"/>
  <c r="D195" i="9"/>
  <c r="I194" i="9"/>
  <c r="J194" i="9" s="1"/>
  <c r="G193" i="9"/>
  <c r="D193" i="9"/>
  <c r="J192" i="9"/>
  <c r="I192" i="9"/>
  <c r="K191" i="9"/>
  <c r="I191" i="9"/>
  <c r="J191" i="9" s="1"/>
  <c r="G190" i="9"/>
  <c r="D190" i="9"/>
  <c r="J189" i="9"/>
  <c r="I189" i="9"/>
  <c r="K189" i="9" s="1"/>
  <c r="I188" i="9"/>
  <c r="J188" i="9" s="1"/>
  <c r="G187" i="9"/>
  <c r="D187" i="9"/>
  <c r="J186" i="9"/>
  <c r="I186" i="9"/>
  <c r="H185" i="9"/>
  <c r="G185" i="9"/>
  <c r="E185" i="9"/>
  <c r="D185" i="9"/>
  <c r="I184" i="9"/>
  <c r="J184" i="9" s="1"/>
  <c r="E183" i="9"/>
  <c r="D183" i="9"/>
  <c r="H183" i="9" s="1"/>
  <c r="I183" i="9" s="1"/>
  <c r="J183" i="9" s="1"/>
  <c r="K182" i="9"/>
  <c r="I182" i="9"/>
  <c r="J182" i="9" s="1"/>
  <c r="E181" i="9"/>
  <c r="D181" i="9"/>
  <c r="H181" i="9" s="1"/>
  <c r="I181" i="9" s="1"/>
  <c r="J181" i="9" s="1"/>
  <c r="I180" i="9"/>
  <c r="J180" i="9" s="1"/>
  <c r="G179" i="9"/>
  <c r="D179" i="9"/>
  <c r="J178" i="9"/>
  <c r="I178" i="9"/>
  <c r="H177" i="9"/>
  <c r="G177" i="9"/>
  <c r="E177" i="9"/>
  <c r="D177" i="9"/>
  <c r="I176" i="9"/>
  <c r="J176" i="9" s="1"/>
  <c r="G175" i="9"/>
  <c r="D175" i="9"/>
  <c r="J174" i="9"/>
  <c r="I174" i="9"/>
  <c r="H173" i="9"/>
  <c r="G173" i="9"/>
  <c r="E173" i="9"/>
  <c r="D173" i="9"/>
  <c r="I172" i="9"/>
  <c r="J172" i="9" s="1"/>
  <c r="G171" i="9"/>
  <c r="D171" i="9"/>
  <c r="J170" i="9"/>
  <c r="I170" i="9"/>
  <c r="H169" i="9"/>
  <c r="G169" i="9"/>
  <c r="E169" i="9"/>
  <c r="D169" i="9"/>
  <c r="I168" i="9"/>
  <c r="J168" i="9" s="1"/>
  <c r="G167" i="9"/>
  <c r="D167" i="9"/>
  <c r="J166" i="9"/>
  <c r="I166" i="9"/>
  <c r="H165" i="9"/>
  <c r="G165" i="9"/>
  <c r="E165" i="9"/>
  <c r="D165" i="9"/>
  <c r="I164" i="9"/>
  <c r="J164" i="9" s="1"/>
  <c r="G163" i="9"/>
  <c r="D163" i="9"/>
  <c r="J162" i="9"/>
  <c r="I162" i="9"/>
  <c r="H161" i="9"/>
  <c r="G161" i="9"/>
  <c r="E161" i="9"/>
  <c r="D161" i="9"/>
  <c r="I160" i="9"/>
  <c r="J160" i="9" s="1"/>
  <c r="G159" i="9"/>
  <c r="D159" i="9"/>
  <c r="J158" i="9"/>
  <c r="I158" i="9"/>
  <c r="H157" i="9"/>
  <c r="G157" i="9"/>
  <c r="E157" i="9"/>
  <c r="D157" i="9"/>
  <c r="I156" i="9"/>
  <c r="J156" i="9" s="1"/>
  <c r="G155" i="9"/>
  <c r="D155" i="9"/>
  <c r="J154" i="9"/>
  <c r="I154" i="9"/>
  <c r="H153" i="9"/>
  <c r="G153" i="9"/>
  <c r="E153" i="9"/>
  <c r="D153" i="9"/>
  <c r="I152" i="9"/>
  <c r="J152" i="9" s="1"/>
  <c r="G151" i="9"/>
  <c r="D151" i="9"/>
  <c r="J150" i="9"/>
  <c r="I150" i="9"/>
  <c r="H149" i="9"/>
  <c r="G149" i="9"/>
  <c r="E149" i="9"/>
  <c r="D149" i="9"/>
  <c r="I148" i="9"/>
  <c r="J148" i="9" s="1"/>
  <c r="G147" i="9"/>
  <c r="D147" i="9"/>
  <c r="J146" i="9"/>
  <c r="H146" i="9"/>
  <c r="I146" i="9" s="1"/>
  <c r="E146" i="9"/>
  <c r="I145" i="9"/>
  <c r="J145" i="9" s="1"/>
  <c r="G144" i="9"/>
  <c r="D144" i="9"/>
  <c r="J143" i="9"/>
  <c r="I143" i="9"/>
  <c r="H142" i="9"/>
  <c r="G142" i="9"/>
  <c r="E142" i="9"/>
  <c r="D142" i="9"/>
  <c r="I141" i="9"/>
  <c r="J141" i="9" s="1"/>
  <c r="G140" i="9"/>
  <c r="D140" i="9"/>
  <c r="J139" i="9"/>
  <c r="I139" i="9"/>
  <c r="H138" i="9"/>
  <c r="G138" i="9"/>
  <c r="E138" i="9"/>
  <c r="D138" i="9"/>
  <c r="I137" i="9"/>
  <c r="J137" i="9" s="1"/>
  <c r="G136" i="9"/>
  <c r="D136" i="9"/>
  <c r="J135" i="9"/>
  <c r="I135" i="9"/>
  <c r="H134" i="9"/>
  <c r="G134" i="9"/>
  <c r="E134" i="9"/>
  <c r="D134" i="9"/>
  <c r="I133" i="9"/>
  <c r="J133" i="9" s="1"/>
  <c r="G132" i="9"/>
  <c r="D132" i="9"/>
  <c r="J131" i="9"/>
  <c r="I131" i="9"/>
  <c r="H130" i="9"/>
  <c r="G130" i="9"/>
  <c r="E130" i="9"/>
  <c r="D130" i="9"/>
  <c r="I129" i="9"/>
  <c r="J129" i="9" s="1"/>
  <c r="G128" i="9"/>
  <c r="D128" i="9"/>
  <c r="J127" i="9"/>
  <c r="I127" i="9"/>
  <c r="H126" i="9"/>
  <c r="G126" i="9"/>
  <c r="E126" i="9"/>
  <c r="D126" i="9"/>
  <c r="I125" i="9"/>
  <c r="J125" i="9" s="1"/>
  <c r="G124" i="9"/>
  <c r="D124" i="9"/>
  <c r="J123" i="9"/>
  <c r="I123" i="9"/>
  <c r="H122" i="9"/>
  <c r="G122" i="9"/>
  <c r="E122" i="9"/>
  <c r="D122" i="9"/>
  <c r="I121" i="9"/>
  <c r="J121" i="9" s="1"/>
  <c r="G120" i="9"/>
  <c r="D120" i="9"/>
  <c r="H119" i="9"/>
  <c r="E119" i="9"/>
  <c r="I118" i="9"/>
  <c r="J118" i="9" s="1"/>
  <c r="E117" i="9"/>
  <c r="D117" i="9"/>
  <c r="H117" i="9" s="1"/>
  <c r="I117" i="9" s="1"/>
  <c r="J117" i="9" s="1"/>
  <c r="K116" i="9"/>
  <c r="I116" i="9"/>
  <c r="J116" i="9" s="1"/>
  <c r="E115" i="9"/>
  <c r="D115" i="9"/>
  <c r="H115" i="9" s="1"/>
  <c r="I115" i="9" s="1"/>
  <c r="J115" i="9" s="1"/>
  <c r="I114" i="9"/>
  <c r="J114" i="9" s="1"/>
  <c r="G113" i="9"/>
  <c r="D113" i="9"/>
  <c r="J112" i="9"/>
  <c r="I112" i="9"/>
  <c r="H111" i="9"/>
  <c r="G111" i="9"/>
  <c r="E111" i="9"/>
  <c r="D111" i="9"/>
  <c r="I110" i="9"/>
  <c r="J110" i="9" s="1"/>
  <c r="G109" i="9"/>
  <c r="D109" i="9"/>
  <c r="J108" i="9"/>
  <c r="I108" i="9"/>
  <c r="H107" i="9"/>
  <c r="G107" i="9"/>
  <c r="E107" i="9"/>
  <c r="D107" i="9"/>
  <c r="I106" i="9"/>
  <c r="J106" i="9" s="1"/>
  <c r="G105" i="9"/>
  <c r="D105" i="9"/>
  <c r="J104" i="9"/>
  <c r="I104" i="9"/>
  <c r="H103" i="9"/>
  <c r="G103" i="9"/>
  <c r="E103" i="9"/>
  <c r="D103" i="9"/>
  <c r="I102" i="9"/>
  <c r="J102" i="9" s="1"/>
  <c r="G101" i="9"/>
  <c r="D101" i="9"/>
  <c r="J100" i="9"/>
  <c r="I100" i="9"/>
  <c r="H99" i="9"/>
  <c r="G99" i="9"/>
  <c r="E99" i="9"/>
  <c r="D99" i="9"/>
  <c r="I98" i="9"/>
  <c r="J98" i="9" s="1"/>
  <c r="G97" i="9"/>
  <c r="D97" i="9"/>
  <c r="J96" i="9"/>
  <c r="I96" i="9"/>
  <c r="H95" i="9"/>
  <c r="G95" i="9"/>
  <c r="E95" i="9"/>
  <c r="D95" i="9"/>
  <c r="I94" i="9"/>
  <c r="J94" i="9" s="1"/>
  <c r="G93" i="9"/>
  <c r="D93" i="9"/>
  <c r="J92" i="9"/>
  <c r="I92" i="9"/>
  <c r="H91" i="9"/>
  <c r="G91" i="9"/>
  <c r="E91" i="9"/>
  <c r="D91" i="9"/>
  <c r="I90" i="9"/>
  <c r="J90" i="9" s="1"/>
  <c r="G89" i="9"/>
  <c r="D89" i="9"/>
  <c r="J88" i="9"/>
  <c r="I88" i="9"/>
  <c r="H87" i="9"/>
  <c r="G87" i="9"/>
  <c r="E87" i="9"/>
  <c r="D87" i="9"/>
  <c r="I86" i="9"/>
  <c r="J86" i="9" s="1"/>
  <c r="G85" i="9"/>
  <c r="D85" i="9"/>
  <c r="J84" i="9"/>
  <c r="I84" i="9"/>
  <c r="H83" i="9"/>
  <c r="G83" i="9"/>
  <c r="E83" i="9"/>
  <c r="D83" i="9"/>
  <c r="H82" i="9"/>
  <c r="K81" i="9"/>
  <c r="I81" i="9"/>
  <c r="J81" i="9" s="1"/>
  <c r="G80" i="9"/>
  <c r="D80" i="9"/>
  <c r="J79" i="9"/>
  <c r="I79" i="9"/>
  <c r="K79" i="9" s="1"/>
  <c r="H78" i="9"/>
  <c r="I78" i="9" s="1"/>
  <c r="J78" i="9" s="1"/>
  <c r="D78" i="9"/>
  <c r="E78" i="9" s="1"/>
  <c r="J77" i="9"/>
  <c r="I77" i="9"/>
  <c r="D76" i="9"/>
  <c r="E76" i="9" s="1"/>
  <c r="J75" i="9"/>
  <c r="I75" i="9"/>
  <c r="K75" i="9" s="1"/>
  <c r="H74" i="9"/>
  <c r="G74" i="9"/>
  <c r="E74" i="9"/>
  <c r="D74" i="9"/>
  <c r="K73" i="9"/>
  <c r="I73" i="9"/>
  <c r="J73" i="9" s="1"/>
  <c r="G72" i="9"/>
  <c r="D72" i="9"/>
  <c r="J70" i="9"/>
  <c r="I70" i="9"/>
  <c r="D69" i="9"/>
  <c r="E69" i="9" s="1"/>
  <c r="I68" i="9"/>
  <c r="E67" i="9"/>
  <c r="D67" i="9"/>
  <c r="H67" i="9" s="1"/>
  <c r="I67" i="9" s="1"/>
  <c r="J67" i="9" s="1"/>
  <c r="I66" i="9"/>
  <c r="J66" i="9" s="1"/>
  <c r="G65" i="9"/>
  <c r="D65" i="9"/>
  <c r="H65" i="9" s="1"/>
  <c r="J64" i="9"/>
  <c r="I64" i="9"/>
  <c r="K64" i="9" s="1"/>
  <c r="H63" i="9"/>
  <c r="I63" i="9" s="1"/>
  <c r="J63" i="9" s="1"/>
  <c r="G63" i="9"/>
  <c r="E63" i="9"/>
  <c r="D63" i="9"/>
  <c r="I62" i="9"/>
  <c r="J62" i="9" s="1"/>
  <c r="G61" i="9"/>
  <c r="D61" i="9"/>
  <c r="H61" i="9" s="1"/>
  <c r="J60" i="9"/>
  <c r="I60" i="9"/>
  <c r="K60" i="9" s="1"/>
  <c r="I59" i="9"/>
  <c r="J59" i="9" s="1"/>
  <c r="G58" i="9"/>
  <c r="D58" i="9"/>
  <c r="H58" i="9" s="1"/>
  <c r="J57" i="9"/>
  <c r="I57" i="9"/>
  <c r="K57" i="9" s="1"/>
  <c r="I56" i="9"/>
  <c r="J56" i="9" s="1"/>
  <c r="G55" i="9"/>
  <c r="D55" i="9"/>
  <c r="H55" i="9" s="1"/>
  <c r="J54" i="9"/>
  <c r="I54" i="9"/>
  <c r="K54" i="9" s="1"/>
  <c r="I53" i="9"/>
  <c r="J53" i="9" s="1"/>
  <c r="G52" i="9"/>
  <c r="D52" i="9"/>
  <c r="H52" i="9" s="1"/>
  <c r="J51" i="9"/>
  <c r="I51" i="9"/>
  <c r="K51" i="9" s="1"/>
  <c r="H50" i="9"/>
  <c r="I50" i="9" s="1"/>
  <c r="J50" i="9" s="1"/>
  <c r="G50" i="9"/>
  <c r="E50" i="9"/>
  <c r="D50" i="9"/>
  <c r="I49" i="9"/>
  <c r="J49" i="9" s="1"/>
  <c r="E48" i="9"/>
  <c r="D48" i="9"/>
  <c r="H48" i="9" s="1"/>
  <c r="I48" i="9" s="1"/>
  <c r="J48" i="9" s="1"/>
  <c r="I47" i="9"/>
  <c r="J47" i="9" s="1"/>
  <c r="G46" i="9"/>
  <c r="D46" i="9"/>
  <c r="H46" i="9" s="1"/>
  <c r="H45" i="9"/>
  <c r="I45" i="9" s="1"/>
  <c r="J44" i="9"/>
  <c r="I44" i="9"/>
  <c r="K44" i="9" s="1"/>
  <c r="D43" i="9"/>
  <c r="E43" i="9" s="1"/>
  <c r="J42" i="9"/>
  <c r="I42" i="9"/>
  <c r="K42" i="9" s="1"/>
  <c r="I41" i="9"/>
  <c r="J41" i="9" s="1"/>
  <c r="G40" i="9"/>
  <c r="D40" i="9"/>
  <c r="H40" i="9" s="1"/>
  <c r="J39" i="9"/>
  <c r="I39" i="9"/>
  <c r="K39" i="9" s="1"/>
  <c r="D38" i="9"/>
  <c r="E38" i="9" s="1"/>
  <c r="J37" i="9"/>
  <c r="I37" i="9"/>
  <c r="K37" i="9" s="1"/>
  <c r="D36" i="9"/>
  <c r="E36" i="9" s="1"/>
  <c r="J35" i="9"/>
  <c r="I35" i="9"/>
  <c r="K35" i="9" s="1"/>
  <c r="D34" i="9"/>
  <c r="E34" i="9" s="1"/>
  <c r="J33" i="9"/>
  <c r="I33" i="9"/>
  <c r="K33" i="9" s="1"/>
  <c r="D32" i="9"/>
  <c r="E32" i="9" s="1"/>
  <c r="J31" i="9"/>
  <c r="I31" i="9"/>
  <c r="K31" i="9" s="1"/>
  <c r="D30" i="9"/>
  <c r="E30" i="9" s="1"/>
  <c r="J29" i="9"/>
  <c r="I29" i="9"/>
  <c r="K29" i="9" s="1"/>
  <c r="H28" i="9"/>
  <c r="I28" i="9" s="1"/>
  <c r="G28" i="9"/>
  <c r="E28" i="9"/>
  <c r="D28" i="9"/>
  <c r="H27" i="9"/>
  <c r="J26" i="9"/>
  <c r="I26" i="9"/>
  <c r="K26" i="9" s="1"/>
  <c r="H25" i="9"/>
  <c r="I25" i="9" s="1"/>
  <c r="J25" i="9" s="1"/>
  <c r="G25" i="9"/>
  <c r="E25" i="9"/>
  <c r="D25" i="9"/>
  <c r="I24" i="9"/>
  <c r="J24" i="9" s="1"/>
  <c r="G23" i="9"/>
  <c r="D23" i="9"/>
  <c r="H23" i="9" s="1"/>
  <c r="J22" i="9"/>
  <c r="I22" i="9"/>
  <c r="K22" i="9" s="1"/>
  <c r="H21" i="9"/>
  <c r="I21" i="9" s="1"/>
  <c r="J21" i="9" s="1"/>
  <c r="G21" i="9"/>
  <c r="E21" i="9"/>
  <c r="D21" i="9"/>
  <c r="I20" i="9"/>
  <c r="J20" i="9" s="1"/>
  <c r="J19" i="9"/>
  <c r="I19" i="9"/>
  <c r="K19" i="9" s="1"/>
  <c r="H18" i="9"/>
  <c r="I18" i="9" s="1"/>
  <c r="J18" i="9" s="1"/>
  <c r="G18" i="9"/>
  <c r="E18" i="9"/>
  <c r="D18" i="9"/>
  <c r="I17" i="9"/>
  <c r="J17" i="9" s="1"/>
  <c r="G17" i="9"/>
  <c r="H16" i="9"/>
  <c r="I16" i="9" s="1"/>
  <c r="J16" i="9" s="1"/>
  <c r="G16" i="9"/>
  <c r="E16" i="9"/>
  <c r="D16" i="9"/>
  <c r="I15" i="9"/>
  <c r="J15" i="9" s="1"/>
  <c r="G15" i="9"/>
  <c r="H14" i="9"/>
  <c r="I14" i="9" s="1"/>
  <c r="J14" i="9" s="1"/>
  <c r="G14" i="9"/>
  <c r="E14" i="9"/>
  <c r="D14" i="9"/>
  <c r="I13" i="9"/>
  <c r="J13" i="9" s="1"/>
  <c r="G12" i="9"/>
  <c r="D12" i="9"/>
  <c r="H12" i="9" s="1"/>
  <c r="J11" i="9"/>
  <c r="I11" i="9"/>
  <c r="K11" i="9" s="1"/>
  <c r="H10" i="9"/>
  <c r="I10" i="9" s="1"/>
  <c r="G10" i="9"/>
  <c r="E10" i="9"/>
  <c r="D10" i="9"/>
  <c r="I8" i="9"/>
  <c r="J8" i="9" s="1"/>
  <c r="G7" i="9"/>
  <c r="D7" i="9"/>
  <c r="H7" i="9" s="1"/>
  <c r="J10" i="9" l="1"/>
  <c r="J28" i="9"/>
  <c r="J45" i="9"/>
  <c r="K45" i="9" s="1"/>
  <c r="K8" i="9"/>
  <c r="K13" i="9"/>
  <c r="K9" i="9" s="1"/>
  <c r="K15" i="9"/>
  <c r="K17" i="9"/>
  <c r="K20" i="9"/>
  <c r="K24" i="9"/>
  <c r="H30" i="9"/>
  <c r="I30" i="9" s="1"/>
  <c r="J30" i="9" s="1"/>
  <c r="H32" i="9"/>
  <c r="I32" i="9" s="1"/>
  <c r="J32" i="9" s="1"/>
  <c r="H34" i="9"/>
  <c r="I34" i="9" s="1"/>
  <c r="J34" i="9" s="1"/>
  <c r="H36" i="9"/>
  <c r="I36" i="9" s="1"/>
  <c r="J36" i="9" s="1"/>
  <c r="H38" i="9"/>
  <c r="I38" i="9" s="1"/>
  <c r="J38" i="9" s="1"/>
  <c r="K41" i="9"/>
  <c r="K27" i="9" s="1"/>
  <c r="H43" i="9"/>
  <c r="I43" i="9" s="1"/>
  <c r="J43" i="9" s="1"/>
  <c r="K47" i="9"/>
  <c r="K49" i="9"/>
  <c r="K53" i="9"/>
  <c r="K56" i="9"/>
  <c r="K59" i="9"/>
  <c r="K62" i="9"/>
  <c r="K66" i="9"/>
  <c r="H72" i="9"/>
  <c r="I72" i="9" s="1"/>
  <c r="E72" i="9"/>
  <c r="I74" i="9"/>
  <c r="J74" i="9" s="1"/>
  <c r="H80" i="9"/>
  <c r="I80" i="9" s="1"/>
  <c r="J80" i="9" s="1"/>
  <c r="E80" i="9"/>
  <c r="H190" i="9"/>
  <c r="I190" i="9" s="1"/>
  <c r="J190" i="9" s="1"/>
  <c r="E190" i="9"/>
  <c r="I198" i="9"/>
  <c r="J198" i="9" s="1"/>
  <c r="I204" i="9"/>
  <c r="J204" i="9" s="1"/>
  <c r="H212" i="9"/>
  <c r="I212" i="9" s="1"/>
  <c r="J212" i="9" s="1"/>
  <c r="E212" i="9"/>
  <c r="H218" i="9"/>
  <c r="I218" i="9" s="1"/>
  <c r="J218" i="9" s="1"/>
  <c r="E218" i="9"/>
  <c r="H225" i="9"/>
  <c r="I225" i="9" s="1"/>
  <c r="J225" i="9" s="1"/>
  <c r="E225" i="9"/>
  <c r="H231" i="9"/>
  <c r="I231" i="9" s="1"/>
  <c r="J231" i="9" s="1"/>
  <c r="E231" i="9"/>
  <c r="H237" i="9"/>
  <c r="I237" i="9" s="1"/>
  <c r="J237" i="9" s="1"/>
  <c r="E237" i="9"/>
  <c r="H243" i="9"/>
  <c r="I243" i="9" s="1"/>
  <c r="J243" i="9" s="1"/>
  <c r="E243" i="9"/>
  <c r="H249" i="9"/>
  <c r="I249" i="9" s="1"/>
  <c r="J249" i="9" s="1"/>
  <c r="E249" i="9"/>
  <c r="H255" i="9"/>
  <c r="I255" i="9" s="1"/>
  <c r="J255" i="9" s="1"/>
  <c r="E255" i="9"/>
  <c r="H262" i="9"/>
  <c r="I262" i="9" s="1"/>
  <c r="J262" i="9" s="1"/>
  <c r="E262" i="9"/>
  <c r="H268" i="9"/>
  <c r="I268" i="9" s="1"/>
  <c r="J268" i="9" s="1"/>
  <c r="E268" i="9"/>
  <c r="H274" i="9"/>
  <c r="I274" i="9" s="1"/>
  <c r="J274" i="9" s="1"/>
  <c r="E274" i="9"/>
  <c r="H280" i="9"/>
  <c r="I280" i="9" s="1"/>
  <c r="J280" i="9" s="1"/>
  <c r="E280" i="9"/>
  <c r="J284" i="9"/>
  <c r="K284" i="9" s="1"/>
  <c r="J352" i="9"/>
  <c r="K352" i="9" s="1"/>
  <c r="J373" i="9"/>
  <c r="K373" i="9"/>
  <c r="J386" i="9"/>
  <c r="K386" i="9" s="1"/>
  <c r="J387" i="9"/>
  <c r="K387" i="9"/>
  <c r="J395" i="9"/>
  <c r="K395" i="9"/>
  <c r="E7" i="9"/>
  <c r="I7" i="9" s="1"/>
  <c r="J7" i="9" s="1"/>
  <c r="E12" i="9"/>
  <c r="I12" i="9" s="1"/>
  <c r="E23" i="9"/>
  <c r="I23" i="9" s="1"/>
  <c r="J23" i="9" s="1"/>
  <c r="E40" i="9"/>
  <c r="I40" i="9" s="1"/>
  <c r="J40" i="9" s="1"/>
  <c r="E46" i="9"/>
  <c r="I46" i="9" s="1"/>
  <c r="J46" i="9" s="1"/>
  <c r="E52" i="9"/>
  <c r="I52" i="9" s="1"/>
  <c r="J52" i="9" s="1"/>
  <c r="E55" i="9"/>
  <c r="I55" i="9" s="1"/>
  <c r="J55" i="9" s="1"/>
  <c r="E58" i="9"/>
  <c r="I58" i="9" s="1"/>
  <c r="J58" i="9" s="1"/>
  <c r="E61" i="9"/>
  <c r="I61" i="9" s="1"/>
  <c r="J61" i="9" s="1"/>
  <c r="E65" i="9"/>
  <c r="I65" i="9" s="1"/>
  <c r="J65" i="9" s="1"/>
  <c r="J68" i="9"/>
  <c r="K68" i="9" s="1"/>
  <c r="H69" i="9"/>
  <c r="I69" i="9" s="1"/>
  <c r="J69" i="9" s="1"/>
  <c r="K70" i="9"/>
  <c r="H76" i="9"/>
  <c r="I76" i="9" s="1"/>
  <c r="J76" i="9" s="1"/>
  <c r="K77" i="9"/>
  <c r="K71" i="9" s="1"/>
  <c r="I83" i="9"/>
  <c r="K84" i="9"/>
  <c r="H85" i="9"/>
  <c r="I85" i="9" s="1"/>
  <c r="J85" i="9" s="1"/>
  <c r="E85" i="9"/>
  <c r="K86" i="9"/>
  <c r="I87" i="9"/>
  <c r="J87" i="9" s="1"/>
  <c r="K88" i="9"/>
  <c r="H89" i="9"/>
  <c r="E89" i="9"/>
  <c r="K90" i="9"/>
  <c r="I91" i="9"/>
  <c r="J91" i="9" s="1"/>
  <c r="K92" i="9"/>
  <c r="H93" i="9"/>
  <c r="I93" i="9" s="1"/>
  <c r="J93" i="9" s="1"/>
  <c r="E93" i="9"/>
  <c r="K94" i="9"/>
  <c r="I95" i="9"/>
  <c r="J95" i="9" s="1"/>
  <c r="K96" i="9"/>
  <c r="H97" i="9"/>
  <c r="E97" i="9"/>
  <c r="K98" i="9"/>
  <c r="I99" i="9"/>
  <c r="J99" i="9" s="1"/>
  <c r="K100" i="9"/>
  <c r="H101" i="9"/>
  <c r="I101" i="9" s="1"/>
  <c r="J101" i="9" s="1"/>
  <c r="E101" i="9"/>
  <c r="K102" i="9"/>
  <c r="I103" i="9"/>
  <c r="J103" i="9" s="1"/>
  <c r="K104" i="9"/>
  <c r="H105" i="9"/>
  <c r="E105" i="9"/>
  <c r="K106" i="9"/>
  <c r="I107" i="9"/>
  <c r="J107" i="9" s="1"/>
  <c r="K108" i="9"/>
  <c r="H109" i="9"/>
  <c r="I109" i="9" s="1"/>
  <c r="J109" i="9" s="1"/>
  <c r="E109" i="9"/>
  <c r="K110" i="9"/>
  <c r="I111" i="9"/>
  <c r="J111" i="9" s="1"/>
  <c r="K112" i="9"/>
  <c r="H113" i="9"/>
  <c r="E113" i="9"/>
  <c r="K114" i="9"/>
  <c r="K118" i="9"/>
  <c r="H120" i="9"/>
  <c r="E120" i="9"/>
  <c r="K121" i="9"/>
  <c r="I122" i="9"/>
  <c r="J122" i="9" s="1"/>
  <c r="K123" i="9"/>
  <c r="H124" i="9"/>
  <c r="I124" i="9" s="1"/>
  <c r="J124" i="9" s="1"/>
  <c r="E124" i="9"/>
  <c r="K125" i="9"/>
  <c r="I126" i="9"/>
  <c r="J126" i="9" s="1"/>
  <c r="K127" i="9"/>
  <c r="H128" i="9"/>
  <c r="E128" i="9"/>
  <c r="K129" i="9"/>
  <c r="I130" i="9"/>
  <c r="J130" i="9" s="1"/>
  <c r="K131" i="9"/>
  <c r="H132" i="9"/>
  <c r="I132" i="9" s="1"/>
  <c r="J132" i="9" s="1"/>
  <c r="E132" i="9"/>
  <c r="K133" i="9"/>
  <c r="I134" i="9"/>
  <c r="J134" i="9" s="1"/>
  <c r="K135" i="9"/>
  <c r="H136" i="9"/>
  <c r="E136" i="9"/>
  <c r="K137" i="9"/>
  <c r="I138" i="9"/>
  <c r="J138" i="9" s="1"/>
  <c r="K139" i="9"/>
  <c r="H140" i="9"/>
  <c r="I140" i="9" s="1"/>
  <c r="J140" i="9" s="1"/>
  <c r="E140" i="9"/>
  <c r="K141" i="9"/>
  <c r="I142" i="9"/>
  <c r="J142" i="9" s="1"/>
  <c r="K143" i="9"/>
  <c r="H144" i="9"/>
  <c r="E144" i="9"/>
  <c r="K145" i="9"/>
  <c r="K146" i="9"/>
  <c r="H147" i="9"/>
  <c r="E147" i="9"/>
  <c r="K148" i="9"/>
  <c r="I149" i="9"/>
  <c r="J149" i="9" s="1"/>
  <c r="K150" i="9"/>
  <c r="H151" i="9"/>
  <c r="I151" i="9" s="1"/>
  <c r="J151" i="9" s="1"/>
  <c r="E151" i="9"/>
  <c r="K152" i="9"/>
  <c r="I153" i="9"/>
  <c r="J153" i="9" s="1"/>
  <c r="K154" i="9"/>
  <c r="H155" i="9"/>
  <c r="E155" i="9"/>
  <c r="K156" i="9"/>
  <c r="I157" i="9"/>
  <c r="J157" i="9" s="1"/>
  <c r="K158" i="9"/>
  <c r="H159" i="9"/>
  <c r="I159" i="9" s="1"/>
  <c r="J159" i="9" s="1"/>
  <c r="E159" i="9"/>
  <c r="K160" i="9"/>
  <c r="I161" i="9"/>
  <c r="J161" i="9" s="1"/>
  <c r="K162" i="9"/>
  <c r="H163" i="9"/>
  <c r="E163" i="9"/>
  <c r="K164" i="9"/>
  <c r="I165" i="9"/>
  <c r="J165" i="9" s="1"/>
  <c r="K166" i="9"/>
  <c r="H167" i="9"/>
  <c r="I167" i="9" s="1"/>
  <c r="J167" i="9" s="1"/>
  <c r="E167" i="9"/>
  <c r="K168" i="9"/>
  <c r="I169" i="9"/>
  <c r="J169" i="9" s="1"/>
  <c r="K170" i="9"/>
  <c r="H171" i="9"/>
  <c r="E171" i="9"/>
  <c r="K172" i="9"/>
  <c r="I173" i="9"/>
  <c r="J173" i="9" s="1"/>
  <c r="K174" i="9"/>
  <c r="H175" i="9"/>
  <c r="I175" i="9" s="1"/>
  <c r="J175" i="9" s="1"/>
  <c r="E175" i="9"/>
  <c r="K176" i="9"/>
  <c r="I177" i="9"/>
  <c r="J177" i="9" s="1"/>
  <c r="K178" i="9"/>
  <c r="H179" i="9"/>
  <c r="E179" i="9"/>
  <c r="K180" i="9"/>
  <c r="K184" i="9"/>
  <c r="I185" i="9"/>
  <c r="J185" i="9" s="1"/>
  <c r="K186" i="9"/>
  <c r="H187" i="9"/>
  <c r="E187" i="9"/>
  <c r="K188" i="9"/>
  <c r="K192" i="9"/>
  <c r="H193" i="9"/>
  <c r="E193" i="9"/>
  <c r="K194" i="9"/>
  <c r="I195" i="9"/>
  <c r="J195" i="9" s="1"/>
  <c r="K196" i="9"/>
  <c r="I201" i="9"/>
  <c r="J201" i="9" s="1"/>
  <c r="K202" i="9"/>
  <c r="K206" i="9"/>
  <c r="I207" i="9"/>
  <c r="J207" i="9" s="1"/>
  <c r="K208" i="9"/>
  <c r="H209" i="9"/>
  <c r="E209" i="9"/>
  <c r="K210" i="9"/>
  <c r="K214" i="9"/>
  <c r="H215" i="9"/>
  <c r="E215" i="9"/>
  <c r="K216" i="9"/>
  <c r="K220" i="9"/>
  <c r="H221" i="9"/>
  <c r="E221" i="9"/>
  <c r="K222" i="9"/>
  <c r="K227" i="9"/>
  <c r="H228" i="9"/>
  <c r="E228" i="9"/>
  <c r="K229" i="9"/>
  <c r="K233" i="9"/>
  <c r="H234" i="9"/>
  <c r="E234" i="9"/>
  <c r="K235" i="9"/>
  <c r="K239" i="9"/>
  <c r="H240" i="9"/>
  <c r="E240" i="9"/>
  <c r="K241" i="9"/>
  <c r="K245" i="9"/>
  <c r="H246" i="9"/>
  <c r="E246" i="9"/>
  <c r="K247" i="9"/>
  <c r="K251" i="9"/>
  <c r="H252" i="9"/>
  <c r="E252" i="9"/>
  <c r="K253" i="9"/>
  <c r="K257" i="9"/>
  <c r="H258" i="9"/>
  <c r="E258" i="9"/>
  <c r="K259" i="9"/>
  <c r="K264" i="9"/>
  <c r="H265" i="9"/>
  <c r="E265" i="9"/>
  <c r="K266" i="9"/>
  <c r="K270" i="9"/>
  <c r="H271" i="9"/>
  <c r="E271" i="9"/>
  <c r="K272" i="9"/>
  <c r="K276" i="9"/>
  <c r="H277" i="9"/>
  <c r="E277" i="9"/>
  <c r="K278" i="9"/>
  <c r="K282" i="9"/>
  <c r="H283" i="9"/>
  <c r="E283" i="9"/>
  <c r="H286" i="9"/>
  <c r="E286" i="9"/>
  <c r="K288" i="9"/>
  <c r="H289" i="9"/>
  <c r="I289" i="9" s="1"/>
  <c r="J289" i="9" s="1"/>
  <c r="E289" i="9"/>
  <c r="J368" i="9"/>
  <c r="K368" i="9" s="1"/>
  <c r="K369" i="9"/>
  <c r="J369" i="9"/>
  <c r="K391" i="9"/>
  <c r="J391" i="9"/>
  <c r="K290" i="9"/>
  <c r="K293" i="9"/>
  <c r="K296" i="9"/>
  <c r="K299" i="9"/>
  <c r="K302" i="9"/>
  <c r="K305" i="9"/>
  <c r="K308" i="9"/>
  <c r="K311" i="9"/>
  <c r="K314" i="9"/>
  <c r="K317" i="9"/>
  <c r="K320" i="9"/>
  <c r="K323" i="9"/>
  <c r="K326" i="9"/>
  <c r="K329" i="9"/>
  <c r="K332" i="9"/>
  <c r="K335" i="9"/>
  <c r="J336" i="9"/>
  <c r="K336" i="9" s="1"/>
  <c r="K337" i="9"/>
  <c r="E338" i="9"/>
  <c r="I338" i="9" s="1"/>
  <c r="J338" i="9" s="1"/>
  <c r="J339" i="9"/>
  <c r="K339" i="9" s="1"/>
  <c r="K340" i="9"/>
  <c r="E341" i="9"/>
  <c r="I341" i="9" s="1"/>
  <c r="J341" i="9" s="1"/>
  <c r="J342" i="9"/>
  <c r="K342" i="9" s="1"/>
  <c r="K343" i="9"/>
  <c r="E344" i="9"/>
  <c r="I344" i="9" s="1"/>
  <c r="J344" i="9" s="1"/>
  <c r="K346" i="9"/>
  <c r="K351" i="9"/>
  <c r="K354" i="9"/>
  <c r="K357" i="9"/>
  <c r="K360" i="9"/>
  <c r="K363" i="9"/>
  <c r="K366" i="9"/>
  <c r="K371" i="9"/>
  <c r="K376" i="9"/>
  <c r="K379" i="9"/>
  <c r="K382" i="9"/>
  <c r="K385" i="9"/>
  <c r="K390" i="9"/>
  <c r="I392" i="9"/>
  <c r="J392" i="9" s="1"/>
  <c r="K393" i="9"/>
  <c r="K398" i="9"/>
  <c r="J408" i="9"/>
  <c r="K408" i="9" s="1"/>
  <c r="J427" i="9"/>
  <c r="K427" i="9"/>
  <c r="E292" i="9"/>
  <c r="I292" i="9" s="1"/>
  <c r="J292" i="9" s="1"/>
  <c r="E295" i="9"/>
  <c r="I295" i="9" s="1"/>
  <c r="J295" i="9" s="1"/>
  <c r="E298" i="9"/>
  <c r="I298" i="9" s="1"/>
  <c r="J298" i="9" s="1"/>
  <c r="E301" i="9"/>
  <c r="I301" i="9" s="1"/>
  <c r="J301" i="9" s="1"/>
  <c r="E304" i="9"/>
  <c r="I304" i="9" s="1"/>
  <c r="J304" i="9" s="1"/>
  <c r="E307" i="9"/>
  <c r="I307" i="9" s="1"/>
  <c r="J307" i="9" s="1"/>
  <c r="E310" i="9"/>
  <c r="I310" i="9" s="1"/>
  <c r="J310" i="9" s="1"/>
  <c r="E313" i="9"/>
  <c r="I313" i="9" s="1"/>
  <c r="J313" i="9" s="1"/>
  <c r="E316" i="9"/>
  <c r="I316" i="9" s="1"/>
  <c r="J316" i="9" s="1"/>
  <c r="E319" i="9"/>
  <c r="I319" i="9" s="1"/>
  <c r="J319" i="9" s="1"/>
  <c r="E322" i="9"/>
  <c r="I322" i="9" s="1"/>
  <c r="J322" i="9" s="1"/>
  <c r="E325" i="9"/>
  <c r="I325" i="9" s="1"/>
  <c r="J325" i="9" s="1"/>
  <c r="E328" i="9"/>
  <c r="I328" i="9" s="1"/>
  <c r="J328" i="9" s="1"/>
  <c r="E331" i="9"/>
  <c r="I331" i="9" s="1"/>
  <c r="J331" i="9" s="1"/>
  <c r="E334" i="9"/>
  <c r="I334" i="9" s="1"/>
  <c r="J334" i="9" s="1"/>
  <c r="E353" i="9"/>
  <c r="I353" i="9" s="1"/>
  <c r="J353" i="9" s="1"/>
  <c r="E356" i="9"/>
  <c r="I356" i="9" s="1"/>
  <c r="J356" i="9" s="1"/>
  <c r="E359" i="9"/>
  <c r="I359" i="9" s="1"/>
  <c r="J359" i="9" s="1"/>
  <c r="E362" i="9"/>
  <c r="I362" i="9" s="1"/>
  <c r="J362" i="9" s="1"/>
  <c r="E365" i="9"/>
  <c r="I365" i="9" s="1"/>
  <c r="J365" i="9" s="1"/>
  <c r="E370" i="9"/>
  <c r="I370" i="9" s="1"/>
  <c r="J370" i="9" s="1"/>
  <c r="E392" i="9"/>
  <c r="I399" i="9"/>
  <c r="J399" i="9" s="1"/>
  <c r="J437" i="9"/>
  <c r="K437" i="9" s="1"/>
  <c r="I471" i="9"/>
  <c r="J471" i="9" s="1"/>
  <c r="I487" i="9"/>
  <c r="J487" i="9" s="1"/>
  <c r="K401" i="9"/>
  <c r="K404" i="9"/>
  <c r="K407" i="9"/>
  <c r="I409" i="9"/>
  <c r="J409" i="9" s="1"/>
  <c r="K410" i="9"/>
  <c r="K413" i="9"/>
  <c r="I415" i="9"/>
  <c r="J415" i="9" s="1"/>
  <c r="K416" i="9"/>
  <c r="K419" i="9"/>
  <c r="I421" i="9"/>
  <c r="J421" i="9" s="1"/>
  <c r="K422" i="9"/>
  <c r="K425" i="9"/>
  <c r="K430" i="9"/>
  <c r="K433" i="9"/>
  <c r="K436" i="9"/>
  <c r="K439" i="9"/>
  <c r="K442" i="9"/>
  <c r="K445" i="9"/>
  <c r="K448" i="9"/>
  <c r="K451" i="9"/>
  <c r="K454" i="9"/>
  <c r="K457" i="9"/>
  <c r="K460" i="9"/>
  <c r="K464" i="9"/>
  <c r="K468" i="9"/>
  <c r="K472" i="9"/>
  <c r="K476" i="9"/>
  <c r="K480" i="9"/>
  <c r="K484" i="9"/>
  <c r="I489" i="9"/>
  <c r="J489" i="9" s="1"/>
  <c r="H491" i="9"/>
  <c r="I491" i="9" s="1"/>
  <c r="J491" i="9" s="1"/>
  <c r="E491" i="9"/>
  <c r="I493" i="9"/>
  <c r="J493" i="9" s="1"/>
  <c r="H495" i="9"/>
  <c r="E495" i="9"/>
  <c r="I497" i="9"/>
  <c r="J497" i="9" s="1"/>
  <c r="H499" i="9"/>
  <c r="I499" i="9" s="1"/>
  <c r="J499" i="9" s="1"/>
  <c r="E499" i="9"/>
  <c r="I501" i="9"/>
  <c r="J501" i="9" s="1"/>
  <c r="H503" i="9"/>
  <c r="E503" i="9"/>
  <c r="I505" i="9"/>
  <c r="J505" i="9" s="1"/>
  <c r="H507" i="9"/>
  <c r="I507" i="9" s="1"/>
  <c r="J507" i="9" s="1"/>
  <c r="E507" i="9"/>
  <c r="I509" i="9"/>
  <c r="J509" i="9" s="1"/>
  <c r="H544" i="9"/>
  <c r="E544" i="9"/>
  <c r="E409" i="9"/>
  <c r="E412" i="9"/>
  <c r="I412" i="9" s="1"/>
  <c r="J412" i="9" s="1"/>
  <c r="E415" i="9"/>
  <c r="E418" i="9"/>
  <c r="I418" i="9" s="1"/>
  <c r="J418" i="9" s="1"/>
  <c r="E421" i="9"/>
  <c r="E424" i="9"/>
  <c r="I424" i="9" s="1"/>
  <c r="J424" i="9" s="1"/>
  <c r="E438" i="9"/>
  <c r="I438" i="9" s="1"/>
  <c r="J438" i="9" s="1"/>
  <c r="E441" i="9"/>
  <c r="I441" i="9" s="1"/>
  <c r="J441" i="9" s="1"/>
  <c r="E444" i="9"/>
  <c r="I444" i="9" s="1"/>
  <c r="J444" i="9" s="1"/>
  <c r="E447" i="9"/>
  <c r="I447" i="9" s="1"/>
  <c r="J447" i="9" s="1"/>
  <c r="E450" i="9"/>
  <c r="I450" i="9" s="1"/>
  <c r="J450" i="9" s="1"/>
  <c r="E453" i="9"/>
  <c r="I453" i="9" s="1"/>
  <c r="J453" i="9" s="1"/>
  <c r="E456" i="9"/>
  <c r="I456" i="9" s="1"/>
  <c r="J456" i="9" s="1"/>
  <c r="E459" i="9"/>
  <c r="I459" i="9" s="1"/>
  <c r="J459" i="9" s="1"/>
  <c r="E463" i="9"/>
  <c r="I463" i="9" s="1"/>
  <c r="J463" i="9" s="1"/>
  <c r="E467" i="9"/>
  <c r="I467" i="9" s="1"/>
  <c r="J467" i="9" s="1"/>
  <c r="E471" i="9"/>
  <c r="E475" i="9"/>
  <c r="I475" i="9" s="1"/>
  <c r="J475" i="9" s="1"/>
  <c r="E479" i="9"/>
  <c r="I479" i="9" s="1"/>
  <c r="J479" i="9" s="1"/>
  <c r="E483" i="9"/>
  <c r="I483" i="9" s="1"/>
  <c r="J483" i="9" s="1"/>
  <c r="E487" i="9"/>
  <c r="H512" i="9"/>
  <c r="I512" i="9" s="1"/>
  <c r="J512" i="9" s="1"/>
  <c r="K513" i="9"/>
  <c r="H516" i="9"/>
  <c r="I516" i="9" s="1"/>
  <c r="J516" i="9" s="1"/>
  <c r="K517" i="9"/>
  <c r="H520" i="9"/>
  <c r="I520" i="9" s="1"/>
  <c r="J520" i="9" s="1"/>
  <c r="H522" i="9"/>
  <c r="I522" i="9" s="1"/>
  <c r="J522" i="9" s="1"/>
  <c r="K523" i="9"/>
  <c r="H526" i="9"/>
  <c r="I526" i="9" s="1"/>
  <c r="J526" i="9" s="1"/>
  <c r="K527" i="9"/>
  <c r="H530" i="9"/>
  <c r="I530" i="9" s="1"/>
  <c r="J530" i="9" s="1"/>
  <c r="K531" i="9"/>
  <c r="K534" i="9"/>
  <c r="H536" i="9"/>
  <c r="I536" i="9" s="1"/>
  <c r="J536" i="9" s="1"/>
  <c r="K537" i="9"/>
  <c r="H540" i="9"/>
  <c r="I540" i="9" s="1"/>
  <c r="J540" i="9" s="1"/>
  <c r="K541" i="9"/>
  <c r="J545" i="9"/>
  <c r="K545" i="9" s="1"/>
  <c r="F3224" i="7"/>
  <c r="G3224" i="7" s="1"/>
  <c r="C3224" i="7"/>
  <c r="D3224" i="7" s="1"/>
  <c r="F3223" i="7"/>
  <c r="D3223" i="7"/>
  <c r="G3223" i="7" s="1"/>
  <c r="H3223" i="7" s="1"/>
  <c r="F3222" i="7"/>
  <c r="D3222" i="7"/>
  <c r="G3222" i="7" s="1"/>
  <c r="H3222" i="7" s="1"/>
  <c r="F3221" i="7"/>
  <c r="D3221" i="7"/>
  <c r="G3221" i="7" s="1"/>
  <c r="H3221" i="7" s="1"/>
  <c r="F3220" i="7"/>
  <c r="D3220" i="7"/>
  <c r="G3220" i="7" s="1"/>
  <c r="H3220" i="7" s="1"/>
  <c r="F3219" i="7"/>
  <c r="D3219" i="7"/>
  <c r="G3219" i="7" s="1"/>
  <c r="H3219" i="7" s="1"/>
  <c r="F3218" i="7"/>
  <c r="D3218" i="7"/>
  <c r="G3218" i="7" s="1"/>
  <c r="H3218" i="7" s="1"/>
  <c r="D3212" i="7"/>
  <c r="C3212" i="7"/>
  <c r="F3212" i="7" s="1"/>
  <c r="F3207" i="7"/>
  <c r="G3207" i="7" s="1"/>
  <c r="C3207" i="7"/>
  <c r="D3207" i="7" s="1"/>
  <c r="D3202" i="7"/>
  <c r="C3202" i="7"/>
  <c r="F3202" i="7" s="1"/>
  <c r="F3197" i="7"/>
  <c r="G3197" i="7" s="1"/>
  <c r="C3197" i="7"/>
  <c r="D3197" i="7" s="1"/>
  <c r="D3192" i="7"/>
  <c r="C3192" i="7"/>
  <c r="F3192" i="7" s="1"/>
  <c r="F3187" i="7"/>
  <c r="G3187" i="7" s="1"/>
  <c r="C3187" i="7"/>
  <c r="D3187" i="7" s="1"/>
  <c r="D3182" i="7"/>
  <c r="C3182" i="7"/>
  <c r="F3182" i="7" s="1"/>
  <c r="F3177" i="7"/>
  <c r="G3177" i="7" s="1"/>
  <c r="C3177" i="7"/>
  <c r="D3177" i="7" s="1"/>
  <c r="D3172" i="7"/>
  <c r="C3172" i="7"/>
  <c r="F3172" i="7" s="1"/>
  <c r="F3167" i="7"/>
  <c r="G3167" i="7" s="1"/>
  <c r="C3167" i="7"/>
  <c r="D3167" i="7" s="1"/>
  <c r="D3162" i="7"/>
  <c r="C3162" i="7"/>
  <c r="F3162" i="7" s="1"/>
  <c r="F3157" i="7"/>
  <c r="G3157" i="7" s="1"/>
  <c r="C3157" i="7"/>
  <c r="D3157" i="7" s="1"/>
  <c r="D3152" i="7"/>
  <c r="C3152" i="7"/>
  <c r="F3152" i="7" s="1"/>
  <c r="F3147" i="7"/>
  <c r="G3147" i="7" s="1"/>
  <c r="C3147" i="7"/>
  <c r="D3147" i="7" s="1"/>
  <c r="D3142" i="7"/>
  <c r="C3142" i="7"/>
  <c r="F3142" i="7" s="1"/>
  <c r="F3137" i="7"/>
  <c r="G3137" i="7" s="1"/>
  <c r="C3137" i="7"/>
  <c r="D3137" i="7" s="1"/>
  <c r="D3132" i="7"/>
  <c r="C3132" i="7"/>
  <c r="F3132" i="7" s="1"/>
  <c r="F3127" i="7"/>
  <c r="G3127" i="7" s="1"/>
  <c r="C3127" i="7"/>
  <c r="D3127" i="7" s="1"/>
  <c r="D3122" i="7"/>
  <c r="C3122" i="7"/>
  <c r="F3122" i="7" s="1"/>
  <c r="F3117" i="7"/>
  <c r="G3117" i="7" s="1"/>
  <c r="C3117" i="7"/>
  <c r="D3117" i="7" s="1"/>
  <c r="D3112" i="7"/>
  <c r="C3112" i="7"/>
  <c r="F3112" i="7" s="1"/>
  <c r="F3107" i="7"/>
  <c r="G3107" i="7" s="1"/>
  <c r="C3107" i="7"/>
  <c r="D3107" i="7" s="1"/>
  <c r="D3102" i="7"/>
  <c r="C3102" i="7"/>
  <c r="F3102" i="7" s="1"/>
  <c r="D3097" i="7"/>
  <c r="C3097" i="7"/>
  <c r="F3097" i="7" s="1"/>
  <c r="F3092" i="7"/>
  <c r="G3092" i="7" s="1"/>
  <c r="C3092" i="7"/>
  <c r="D3092" i="7" s="1"/>
  <c r="D3087" i="7"/>
  <c r="C3087" i="7"/>
  <c r="F3087" i="7" s="1"/>
  <c r="F3082" i="7"/>
  <c r="G3082" i="7" s="1"/>
  <c r="C3082" i="7"/>
  <c r="D3082" i="7" s="1"/>
  <c r="D3077" i="7"/>
  <c r="C3077" i="7"/>
  <c r="F3077" i="7" s="1"/>
  <c r="I3073" i="7"/>
  <c r="G3073" i="7"/>
  <c r="H3073" i="7" s="1"/>
  <c r="F3073" i="7"/>
  <c r="H3071" i="7"/>
  <c r="F3071" i="7"/>
  <c r="G3071" i="7" s="1"/>
  <c r="D3071" i="7"/>
  <c r="F3069" i="7"/>
  <c r="D3069" i="7"/>
  <c r="G3069" i="7" s="1"/>
  <c r="F3067" i="7"/>
  <c r="D3067" i="7"/>
  <c r="G3067" i="7" s="1"/>
  <c r="F3065" i="7"/>
  <c r="G3065" i="7" s="1"/>
  <c r="D3065" i="7"/>
  <c r="F3063" i="7"/>
  <c r="G3063" i="7" s="1"/>
  <c r="D3063" i="7"/>
  <c r="F3061" i="7"/>
  <c r="D3061" i="7"/>
  <c r="G3061" i="7" s="1"/>
  <c r="H3061" i="7" s="1"/>
  <c r="F3059" i="7"/>
  <c r="D3059" i="7"/>
  <c r="G3059" i="7" s="1"/>
  <c r="H3059" i="7" s="1"/>
  <c r="H3057" i="7"/>
  <c r="F3057" i="7"/>
  <c r="G3057" i="7" s="1"/>
  <c r="D3057" i="7"/>
  <c r="H3055" i="7"/>
  <c r="F3055" i="7"/>
  <c r="G3055" i="7" s="1"/>
  <c r="D3055" i="7"/>
  <c r="F3053" i="7"/>
  <c r="D3053" i="7"/>
  <c r="G3053" i="7" s="1"/>
  <c r="F3051" i="7"/>
  <c r="D3051" i="7"/>
  <c r="G3051" i="7" s="1"/>
  <c r="F3049" i="7"/>
  <c r="G3049" i="7" s="1"/>
  <c r="D3049" i="7"/>
  <c r="F3047" i="7"/>
  <c r="G3047" i="7" s="1"/>
  <c r="D3047" i="7"/>
  <c r="F3045" i="7"/>
  <c r="D3045" i="7"/>
  <c r="G3045" i="7" s="1"/>
  <c r="H3045" i="7" s="1"/>
  <c r="F3044" i="7"/>
  <c r="D3044" i="7"/>
  <c r="F3043" i="7"/>
  <c r="D3043" i="7"/>
  <c r="G3043" i="7" s="1"/>
  <c r="H3043" i="7" s="1"/>
  <c r="H3041" i="7"/>
  <c r="F3041" i="7"/>
  <c r="G3041" i="7" s="1"/>
  <c r="D3041" i="7"/>
  <c r="H3039" i="7"/>
  <c r="F3039" i="7"/>
  <c r="G3039" i="7" s="1"/>
  <c r="D3039" i="7"/>
  <c r="F3035" i="7"/>
  <c r="D3035" i="7"/>
  <c r="F3034" i="7"/>
  <c r="D3034" i="7"/>
  <c r="D3033" i="7"/>
  <c r="C3033" i="7"/>
  <c r="F3033" i="7" s="1"/>
  <c r="G3033" i="7" s="1"/>
  <c r="F3031" i="7"/>
  <c r="D3031" i="7"/>
  <c r="F3030" i="7"/>
  <c r="D3030" i="7"/>
  <c r="D3029" i="7"/>
  <c r="C3029" i="7"/>
  <c r="F3029" i="7" s="1"/>
  <c r="G3029" i="7" s="1"/>
  <c r="F3027" i="7"/>
  <c r="D3027" i="7"/>
  <c r="G3027" i="7" s="1"/>
  <c r="F3026" i="7"/>
  <c r="G3026" i="7" s="1"/>
  <c r="D3026" i="7"/>
  <c r="D3025" i="7"/>
  <c r="C3025" i="7"/>
  <c r="F3025" i="7" s="1"/>
  <c r="G3025" i="7" s="1"/>
  <c r="H3025" i="7" s="1"/>
  <c r="F3023" i="7"/>
  <c r="D3023" i="7"/>
  <c r="F3022" i="7"/>
  <c r="D3022" i="7"/>
  <c r="D3021" i="7"/>
  <c r="C3021" i="7"/>
  <c r="F3021" i="7" s="1"/>
  <c r="F3019" i="7"/>
  <c r="D3019" i="7"/>
  <c r="F3018" i="7"/>
  <c r="D3018" i="7"/>
  <c r="D3017" i="7"/>
  <c r="C3017" i="7"/>
  <c r="F3017" i="7" s="1"/>
  <c r="G3017" i="7" s="1"/>
  <c r="H3017" i="7" s="1"/>
  <c r="F3015" i="7"/>
  <c r="D3015" i="7"/>
  <c r="G3015" i="7" s="1"/>
  <c r="F3014" i="7"/>
  <c r="G3014" i="7" s="1"/>
  <c r="D3014" i="7"/>
  <c r="D3013" i="7"/>
  <c r="C3013" i="7"/>
  <c r="F3013" i="7" s="1"/>
  <c r="G3013" i="7" s="1"/>
  <c r="F3011" i="7"/>
  <c r="D3011" i="7"/>
  <c r="F3010" i="7"/>
  <c r="D3010" i="7"/>
  <c r="D3009" i="7"/>
  <c r="C3009" i="7"/>
  <c r="F3009" i="7" s="1"/>
  <c r="G3009" i="7" s="1"/>
  <c r="F3007" i="7"/>
  <c r="D3007" i="7"/>
  <c r="F3006" i="7"/>
  <c r="D3006" i="7"/>
  <c r="D3005" i="7"/>
  <c r="C3005" i="7"/>
  <c r="F3005" i="7" s="1"/>
  <c r="G3005" i="7" s="1"/>
  <c r="F3003" i="7"/>
  <c r="D3003" i="7"/>
  <c r="F3002" i="7"/>
  <c r="D3002" i="7"/>
  <c r="D3001" i="7"/>
  <c r="C3001" i="7"/>
  <c r="F3001" i="7" s="1"/>
  <c r="G3001" i="7" s="1"/>
  <c r="F2999" i="7"/>
  <c r="D2999" i="7"/>
  <c r="G2999" i="7" s="1"/>
  <c r="F2998" i="7"/>
  <c r="G2998" i="7" s="1"/>
  <c r="D2998" i="7"/>
  <c r="D2997" i="7"/>
  <c r="C2997" i="7"/>
  <c r="F2997" i="7" s="1"/>
  <c r="G2997" i="7" s="1"/>
  <c r="H2997" i="7" s="1"/>
  <c r="F2995" i="7"/>
  <c r="D2995" i="7"/>
  <c r="G2995" i="7" s="1"/>
  <c r="F2994" i="7"/>
  <c r="G2994" i="7" s="1"/>
  <c r="D2994" i="7"/>
  <c r="D2993" i="7"/>
  <c r="C2993" i="7"/>
  <c r="F2993" i="7" s="1"/>
  <c r="G2993" i="7" s="1"/>
  <c r="F2991" i="7"/>
  <c r="D2991" i="7"/>
  <c r="G2991" i="7" s="1"/>
  <c r="F2990" i="7"/>
  <c r="G2990" i="7" s="1"/>
  <c r="D2990" i="7"/>
  <c r="D2989" i="7"/>
  <c r="C2989" i="7"/>
  <c r="F2989" i="7" s="1"/>
  <c r="F2987" i="7"/>
  <c r="D2987" i="7"/>
  <c r="G2987" i="7" s="1"/>
  <c r="F2986" i="7"/>
  <c r="G2986" i="7" s="1"/>
  <c r="D2986" i="7"/>
  <c r="D2985" i="7"/>
  <c r="C2985" i="7"/>
  <c r="F2985" i="7" s="1"/>
  <c r="G2985" i="7" s="1"/>
  <c r="F2983" i="7"/>
  <c r="D2983" i="7"/>
  <c r="G2983" i="7" s="1"/>
  <c r="F2982" i="7"/>
  <c r="G2982" i="7" s="1"/>
  <c r="D2982" i="7"/>
  <c r="D2981" i="7"/>
  <c r="C2981" i="7"/>
  <c r="F2981" i="7" s="1"/>
  <c r="G2981" i="7" s="1"/>
  <c r="H2981" i="7" s="1"/>
  <c r="D2979" i="7"/>
  <c r="F2977" i="7"/>
  <c r="G2977" i="7" s="1"/>
  <c r="C2977" i="7"/>
  <c r="D2977" i="7" s="1"/>
  <c r="D2975" i="7"/>
  <c r="D2973" i="7"/>
  <c r="C2973" i="7"/>
  <c r="F2973" i="7" s="1"/>
  <c r="G2973" i="7" s="1"/>
  <c r="D2971" i="7"/>
  <c r="C2969" i="7"/>
  <c r="F2967" i="7"/>
  <c r="D2967" i="7"/>
  <c r="F2966" i="7"/>
  <c r="D2966" i="7"/>
  <c r="F2965" i="7"/>
  <c r="G2965" i="7" s="1"/>
  <c r="C2965" i="7"/>
  <c r="D2965" i="7" s="1"/>
  <c r="F2963" i="7"/>
  <c r="D2963" i="7"/>
  <c r="F2962" i="7"/>
  <c r="D2962" i="7"/>
  <c r="C2961" i="7"/>
  <c r="F2959" i="7"/>
  <c r="D2959" i="7"/>
  <c r="F2958" i="7"/>
  <c r="D2958" i="7"/>
  <c r="F2957" i="7"/>
  <c r="G2957" i="7" s="1"/>
  <c r="C2957" i="7"/>
  <c r="D2957" i="7" s="1"/>
  <c r="F2955" i="7"/>
  <c r="D2955" i="7"/>
  <c r="F2954" i="7"/>
  <c r="D2954" i="7"/>
  <c r="C2953" i="7"/>
  <c r="F2951" i="7"/>
  <c r="D2951" i="7"/>
  <c r="F2950" i="7"/>
  <c r="D2950" i="7"/>
  <c r="F2949" i="7"/>
  <c r="G2949" i="7" s="1"/>
  <c r="C2949" i="7"/>
  <c r="D2949" i="7" s="1"/>
  <c r="F2947" i="7"/>
  <c r="D2947" i="7"/>
  <c r="F2946" i="7"/>
  <c r="D2946" i="7"/>
  <c r="C2945" i="7"/>
  <c r="F2943" i="7"/>
  <c r="D2943" i="7"/>
  <c r="F2942" i="7"/>
  <c r="D2942" i="7"/>
  <c r="F2941" i="7"/>
  <c r="G2941" i="7" s="1"/>
  <c r="C2941" i="7"/>
  <c r="D2941" i="7" s="1"/>
  <c r="F2939" i="7"/>
  <c r="D2939" i="7"/>
  <c r="F2938" i="7"/>
  <c r="D2938" i="7"/>
  <c r="C2937" i="7"/>
  <c r="F2935" i="7"/>
  <c r="D2935" i="7"/>
  <c r="F2934" i="7"/>
  <c r="D2934" i="7"/>
  <c r="F2933" i="7"/>
  <c r="G2933" i="7" s="1"/>
  <c r="C2933" i="7"/>
  <c r="D2933" i="7" s="1"/>
  <c r="F2931" i="7"/>
  <c r="D2931" i="7"/>
  <c r="F2930" i="7"/>
  <c r="D2930" i="7"/>
  <c r="C2929" i="7"/>
  <c r="F2927" i="7"/>
  <c r="D2927" i="7"/>
  <c r="F2926" i="7"/>
  <c r="D2926" i="7"/>
  <c r="F2925" i="7"/>
  <c r="G2925" i="7" s="1"/>
  <c r="C2925" i="7"/>
  <c r="D2925" i="7" s="1"/>
  <c r="F2923" i="7"/>
  <c r="D2923" i="7"/>
  <c r="F2922" i="7"/>
  <c r="D2922" i="7"/>
  <c r="C2921" i="7"/>
  <c r="F2919" i="7"/>
  <c r="D2919" i="7"/>
  <c r="F2918" i="7"/>
  <c r="D2918" i="7"/>
  <c r="F2917" i="7"/>
  <c r="G2917" i="7" s="1"/>
  <c r="C2917" i="7"/>
  <c r="D2917" i="7" s="1"/>
  <c r="F2915" i="7"/>
  <c r="D2915" i="7"/>
  <c r="F2914" i="7"/>
  <c r="D2914" i="7"/>
  <c r="C2913" i="7"/>
  <c r="F2911" i="7"/>
  <c r="D2911" i="7"/>
  <c r="F2910" i="7"/>
  <c r="D2910" i="7"/>
  <c r="F2909" i="7"/>
  <c r="G2909" i="7" s="1"/>
  <c r="C2909" i="7"/>
  <c r="D2909" i="7" s="1"/>
  <c r="F2907" i="7"/>
  <c r="D2907" i="7"/>
  <c r="F2906" i="7"/>
  <c r="D2906" i="7"/>
  <c r="C2905" i="7"/>
  <c r="F2903" i="7"/>
  <c r="D2903" i="7"/>
  <c r="F2902" i="7"/>
  <c r="D2902" i="7"/>
  <c r="F2901" i="7"/>
  <c r="G2901" i="7" s="1"/>
  <c r="C2901" i="7"/>
  <c r="D2901" i="7" s="1"/>
  <c r="F2899" i="7"/>
  <c r="D2899" i="7"/>
  <c r="F2898" i="7"/>
  <c r="D2898" i="7"/>
  <c r="F2897" i="7"/>
  <c r="G2897" i="7" s="1"/>
  <c r="C2897" i="7"/>
  <c r="D2897" i="7" s="1"/>
  <c r="F2894" i="7"/>
  <c r="D2894" i="7"/>
  <c r="G2894" i="7" s="1"/>
  <c r="C2891" i="7"/>
  <c r="F2889" i="7"/>
  <c r="D2889" i="7"/>
  <c r="F2886" i="7"/>
  <c r="C2886" i="7"/>
  <c r="F2884" i="7"/>
  <c r="D2884" i="7"/>
  <c r="G2884" i="7" s="1"/>
  <c r="C2881" i="7"/>
  <c r="F2879" i="7"/>
  <c r="D2879" i="7"/>
  <c r="F2876" i="7"/>
  <c r="C2876" i="7"/>
  <c r="F2874" i="7"/>
  <c r="D2874" i="7"/>
  <c r="G2874" i="7" s="1"/>
  <c r="C2871" i="7"/>
  <c r="F2869" i="7"/>
  <c r="D2869" i="7"/>
  <c r="F2866" i="7"/>
  <c r="C2866" i="7"/>
  <c r="F2864" i="7"/>
  <c r="D2864" i="7"/>
  <c r="G2864" i="7" s="1"/>
  <c r="C2861" i="7"/>
  <c r="F2859" i="7"/>
  <c r="D2859" i="7"/>
  <c r="F2856" i="7"/>
  <c r="C2856" i="7"/>
  <c r="F2854" i="7"/>
  <c r="D2854" i="7"/>
  <c r="G2854" i="7" s="1"/>
  <c r="C2851" i="7"/>
  <c r="F2849" i="7"/>
  <c r="D2849" i="7"/>
  <c r="F2846" i="7"/>
  <c r="C2846" i="7"/>
  <c r="F2844" i="7"/>
  <c r="D2844" i="7"/>
  <c r="G2844" i="7" s="1"/>
  <c r="C2841" i="7"/>
  <c r="F2839" i="7"/>
  <c r="D2839" i="7"/>
  <c r="F2836" i="7"/>
  <c r="C2836" i="7"/>
  <c r="F2834" i="7"/>
  <c r="D2834" i="7"/>
  <c r="G2834" i="7" s="1"/>
  <c r="C2831" i="7"/>
  <c r="F2829" i="7"/>
  <c r="D2829" i="7"/>
  <c r="F2826" i="7"/>
  <c r="C2826" i="7"/>
  <c r="F2823" i="7"/>
  <c r="D2823" i="7"/>
  <c r="G2823" i="7" s="1"/>
  <c r="C2820" i="7"/>
  <c r="F2818" i="7"/>
  <c r="D2818" i="7"/>
  <c r="F2815" i="7"/>
  <c r="C2815" i="7"/>
  <c r="F2813" i="7"/>
  <c r="D2813" i="7"/>
  <c r="G2813" i="7" s="1"/>
  <c r="C2810" i="7"/>
  <c r="F2808" i="7"/>
  <c r="D2808" i="7"/>
  <c r="F2805" i="7"/>
  <c r="C2805" i="7"/>
  <c r="F2803" i="7"/>
  <c r="D2803" i="7"/>
  <c r="G2803" i="7" s="1"/>
  <c r="C2800" i="7"/>
  <c r="F2798" i="7"/>
  <c r="D2798" i="7"/>
  <c r="F2795" i="7"/>
  <c r="C2795" i="7"/>
  <c r="F2793" i="7"/>
  <c r="D2793" i="7"/>
  <c r="G2793" i="7" s="1"/>
  <c r="C2790" i="7"/>
  <c r="F2788" i="7"/>
  <c r="D2788" i="7"/>
  <c r="F2785" i="7"/>
  <c r="C2785" i="7"/>
  <c r="F2783" i="7"/>
  <c r="D2783" i="7"/>
  <c r="G2783" i="7" s="1"/>
  <c r="F2782" i="7"/>
  <c r="D2782" i="7"/>
  <c r="F2781" i="7"/>
  <c r="D2781" i="7"/>
  <c r="C2780" i="7"/>
  <c r="F2778" i="7"/>
  <c r="D2778" i="7"/>
  <c r="F2777" i="7"/>
  <c r="D2777" i="7"/>
  <c r="F2776" i="7"/>
  <c r="D2776" i="7"/>
  <c r="F2775" i="7"/>
  <c r="C2775" i="7"/>
  <c r="F2773" i="7"/>
  <c r="D2773" i="7"/>
  <c r="G2773" i="7" s="1"/>
  <c r="F2772" i="7"/>
  <c r="D2772" i="7"/>
  <c r="F2771" i="7"/>
  <c r="D2771" i="7"/>
  <c r="C2770" i="7"/>
  <c r="F2768" i="7"/>
  <c r="D2768" i="7"/>
  <c r="F2765" i="7"/>
  <c r="C2765" i="7"/>
  <c r="F2763" i="7"/>
  <c r="D2763" i="7"/>
  <c r="G2763" i="7" s="1"/>
  <c r="F2762" i="7"/>
  <c r="D2762" i="7"/>
  <c r="F2761" i="7"/>
  <c r="D2761" i="7"/>
  <c r="C2760" i="7"/>
  <c r="F2758" i="7"/>
  <c r="D2758" i="7"/>
  <c r="F2757" i="7"/>
  <c r="D2757" i="7"/>
  <c r="F2756" i="7"/>
  <c r="D2756" i="7"/>
  <c r="F2755" i="7"/>
  <c r="C2755" i="7"/>
  <c r="F2752" i="7"/>
  <c r="D2752" i="7"/>
  <c r="G2752" i="7" s="1"/>
  <c r="F2751" i="7"/>
  <c r="D2751" i="7"/>
  <c r="F2750" i="7"/>
  <c r="D2750" i="7"/>
  <c r="C2749" i="7"/>
  <c r="F2747" i="7"/>
  <c r="D2747" i="7"/>
  <c r="F2746" i="7"/>
  <c r="D2746" i="7"/>
  <c r="F2745" i="7"/>
  <c r="D2745" i="7"/>
  <c r="F2744" i="7"/>
  <c r="C2744" i="7"/>
  <c r="F2742" i="7"/>
  <c r="D2742" i="7"/>
  <c r="G2742" i="7" s="1"/>
  <c r="F2741" i="7"/>
  <c r="D2741" i="7"/>
  <c r="F2740" i="7"/>
  <c r="D2740" i="7"/>
  <c r="C2739" i="7"/>
  <c r="F2737" i="7"/>
  <c r="D2737" i="7"/>
  <c r="F2736" i="7"/>
  <c r="D2736" i="7"/>
  <c r="F2735" i="7"/>
  <c r="D2735" i="7"/>
  <c r="F2734" i="7"/>
  <c r="C2734" i="7"/>
  <c r="F2732" i="7"/>
  <c r="D2732" i="7"/>
  <c r="G2732" i="7" s="1"/>
  <c r="F2731" i="7"/>
  <c r="D2731" i="7"/>
  <c r="F2730" i="7"/>
  <c r="D2730" i="7"/>
  <c r="C2729" i="7"/>
  <c r="F2727" i="7"/>
  <c r="D2727" i="7"/>
  <c r="F2726" i="7"/>
  <c r="D2726" i="7"/>
  <c r="F2725" i="7"/>
  <c r="D2725" i="7"/>
  <c r="F2724" i="7"/>
  <c r="C2724" i="7"/>
  <c r="F2722" i="7"/>
  <c r="D2722" i="7"/>
  <c r="G2722" i="7" s="1"/>
  <c r="C2719" i="7"/>
  <c r="F2717" i="7"/>
  <c r="D2717" i="7"/>
  <c r="F2714" i="7"/>
  <c r="C2714" i="7"/>
  <c r="F2712" i="7"/>
  <c r="D2712" i="7"/>
  <c r="G2712" i="7" s="1"/>
  <c r="F2711" i="7"/>
  <c r="D2711" i="7"/>
  <c r="F2710" i="7"/>
  <c r="D2710" i="7"/>
  <c r="C2709" i="7"/>
  <c r="F2707" i="7"/>
  <c r="D2707" i="7"/>
  <c r="F2706" i="7"/>
  <c r="D2706" i="7"/>
  <c r="G2706" i="7" s="1"/>
  <c r="H2706" i="7" s="1"/>
  <c r="F2705" i="7"/>
  <c r="D2705" i="7"/>
  <c r="G2705" i="7" s="1"/>
  <c r="C2704" i="7"/>
  <c r="F2702" i="7"/>
  <c r="D2702" i="7"/>
  <c r="F2701" i="7"/>
  <c r="D2701" i="7"/>
  <c r="F2700" i="7"/>
  <c r="D2700" i="7"/>
  <c r="F2699" i="7"/>
  <c r="C2699" i="7"/>
  <c r="F2697" i="7"/>
  <c r="D2697" i="7"/>
  <c r="G2697" i="7" s="1"/>
  <c r="F2696" i="7"/>
  <c r="D2696" i="7"/>
  <c r="F2695" i="7"/>
  <c r="D2695" i="7"/>
  <c r="C2694" i="7"/>
  <c r="F2692" i="7"/>
  <c r="D2692" i="7"/>
  <c r="F2691" i="7"/>
  <c r="D2691" i="7"/>
  <c r="F2690" i="7"/>
  <c r="D2690" i="7"/>
  <c r="F2689" i="7"/>
  <c r="C2689" i="7"/>
  <c r="F2687" i="7"/>
  <c r="D2687" i="7"/>
  <c r="G2687" i="7" s="1"/>
  <c r="C2684" i="7"/>
  <c r="F2682" i="7"/>
  <c r="D2682" i="7"/>
  <c r="F2681" i="7"/>
  <c r="D2681" i="7"/>
  <c r="F2680" i="7"/>
  <c r="D2680" i="7"/>
  <c r="F2679" i="7"/>
  <c r="C2679" i="7"/>
  <c r="F2677" i="7"/>
  <c r="D2677" i="7"/>
  <c r="G2677" i="7" s="1"/>
  <c r="F2676" i="7"/>
  <c r="D2676" i="7"/>
  <c r="F2675" i="7"/>
  <c r="D2675" i="7"/>
  <c r="C2674" i="7"/>
  <c r="F2672" i="7"/>
  <c r="D2672" i="7"/>
  <c r="F2671" i="7"/>
  <c r="D2671" i="7"/>
  <c r="F2670" i="7"/>
  <c r="D2670" i="7"/>
  <c r="F2669" i="7"/>
  <c r="C2669" i="7"/>
  <c r="F2667" i="7"/>
  <c r="D2667" i="7"/>
  <c r="G2667" i="7" s="1"/>
  <c r="F2666" i="7"/>
  <c r="D2666" i="7"/>
  <c r="F2665" i="7"/>
  <c r="D2665" i="7"/>
  <c r="C2664" i="7"/>
  <c r="F2662" i="7"/>
  <c r="D2662" i="7"/>
  <c r="F2661" i="7"/>
  <c r="D2661" i="7"/>
  <c r="F2660" i="7"/>
  <c r="D2660" i="7"/>
  <c r="F2659" i="7"/>
  <c r="C2659" i="7"/>
  <c r="F2657" i="7"/>
  <c r="D2657" i="7"/>
  <c r="G2657" i="7" s="1"/>
  <c r="F2656" i="7"/>
  <c r="D2656" i="7"/>
  <c r="F2655" i="7"/>
  <c r="D2655" i="7"/>
  <c r="C2654" i="7"/>
  <c r="F2652" i="7"/>
  <c r="D2652" i="7"/>
  <c r="F2651" i="7"/>
  <c r="D2651" i="7"/>
  <c r="G2651" i="7" s="1"/>
  <c r="F2650" i="7"/>
  <c r="D2650" i="7"/>
  <c r="F2649" i="7"/>
  <c r="C2649" i="7"/>
  <c r="F2646" i="7"/>
  <c r="D2646" i="7"/>
  <c r="G2646" i="7" s="1"/>
  <c r="C2643" i="7"/>
  <c r="F2641" i="7"/>
  <c r="D2641" i="7"/>
  <c r="F2638" i="7"/>
  <c r="C2638" i="7"/>
  <c r="F2636" i="7"/>
  <c r="D2636" i="7"/>
  <c r="G2636" i="7" s="1"/>
  <c r="C2633" i="7"/>
  <c r="F2631" i="7"/>
  <c r="D2631" i="7"/>
  <c r="F2628" i="7"/>
  <c r="C2628" i="7"/>
  <c r="F2626" i="7"/>
  <c r="D2626" i="7"/>
  <c r="G2626" i="7" s="1"/>
  <c r="C2623" i="7"/>
  <c r="F2621" i="7"/>
  <c r="D2621" i="7"/>
  <c r="F2618" i="7"/>
  <c r="C2618" i="7"/>
  <c r="F2616" i="7"/>
  <c r="D2616" i="7"/>
  <c r="G2616" i="7" s="1"/>
  <c r="C2613" i="7"/>
  <c r="F2611" i="7"/>
  <c r="D2611" i="7"/>
  <c r="F2608" i="7"/>
  <c r="C2608" i="7"/>
  <c r="F2606" i="7"/>
  <c r="D2606" i="7"/>
  <c r="G2606" i="7" s="1"/>
  <c r="C2603" i="7"/>
  <c r="F2600" i="7"/>
  <c r="D2600" i="7"/>
  <c r="F2597" i="7"/>
  <c r="C2597" i="7"/>
  <c r="F2595" i="7"/>
  <c r="D2595" i="7"/>
  <c r="G2595" i="7" s="1"/>
  <c r="C2592" i="7"/>
  <c r="F2590" i="7"/>
  <c r="D2590" i="7"/>
  <c r="F2587" i="7"/>
  <c r="C2587" i="7"/>
  <c r="F2585" i="7"/>
  <c r="D2585" i="7"/>
  <c r="G2585" i="7" s="1"/>
  <c r="C2582" i="7"/>
  <c r="F2580" i="7"/>
  <c r="D2580" i="7"/>
  <c r="F2577" i="7"/>
  <c r="C2577" i="7"/>
  <c r="F2575" i="7"/>
  <c r="D2575" i="7"/>
  <c r="G2575" i="7" s="1"/>
  <c r="C2572" i="7"/>
  <c r="F2569" i="7"/>
  <c r="D2569" i="7"/>
  <c r="F2566" i="7"/>
  <c r="C2566" i="7"/>
  <c r="F2564" i="7"/>
  <c r="D2564" i="7"/>
  <c r="G2564" i="7" s="1"/>
  <c r="C2561" i="7"/>
  <c r="F2559" i="7"/>
  <c r="D2559" i="7"/>
  <c r="F2556" i="7"/>
  <c r="C2556" i="7"/>
  <c r="F2554" i="7"/>
  <c r="D2554" i="7"/>
  <c r="G2554" i="7" s="1"/>
  <c r="C2551" i="7"/>
  <c r="F2549" i="7"/>
  <c r="D2549" i="7"/>
  <c r="F2546" i="7"/>
  <c r="C2546" i="7"/>
  <c r="F2544" i="7"/>
  <c r="D2544" i="7"/>
  <c r="G2544" i="7" s="1"/>
  <c r="C2541" i="7"/>
  <c r="F2539" i="7"/>
  <c r="D2539" i="7"/>
  <c r="F2536" i="7"/>
  <c r="C2536" i="7"/>
  <c r="F2534" i="7"/>
  <c r="D2534" i="7"/>
  <c r="G2534" i="7" s="1"/>
  <c r="C2531" i="7"/>
  <c r="F2529" i="7"/>
  <c r="D2529" i="7"/>
  <c r="F2526" i="7"/>
  <c r="C2526" i="7"/>
  <c r="F2524" i="7"/>
  <c r="D2524" i="7"/>
  <c r="G2524" i="7" s="1"/>
  <c r="C2521" i="7"/>
  <c r="F2519" i="7"/>
  <c r="D2519" i="7"/>
  <c r="F2516" i="7"/>
  <c r="C2516" i="7"/>
  <c r="F2514" i="7"/>
  <c r="D2514" i="7"/>
  <c r="G2514" i="7" s="1"/>
  <c r="C2511" i="7"/>
  <c r="F2509" i="7"/>
  <c r="D2509" i="7"/>
  <c r="F2506" i="7"/>
  <c r="C2506" i="7"/>
  <c r="F2504" i="7"/>
  <c r="D2504" i="7"/>
  <c r="G2504" i="7" s="1"/>
  <c r="C2501" i="7"/>
  <c r="F2499" i="7"/>
  <c r="D2499" i="7"/>
  <c r="F2496" i="7"/>
  <c r="C2496" i="7"/>
  <c r="F2494" i="7"/>
  <c r="D2494" i="7"/>
  <c r="G2494" i="7" s="1"/>
  <c r="C2491" i="7"/>
  <c r="F2489" i="7"/>
  <c r="D2489" i="7"/>
  <c r="F2486" i="7"/>
  <c r="C2486" i="7"/>
  <c r="F2484" i="7"/>
  <c r="D2484" i="7"/>
  <c r="G2484" i="7" s="1"/>
  <c r="C2481" i="7"/>
  <c r="F2479" i="7"/>
  <c r="D2479" i="7"/>
  <c r="F2476" i="7"/>
  <c r="C2476" i="7"/>
  <c r="F2474" i="7"/>
  <c r="D2474" i="7"/>
  <c r="G2474" i="7" s="1"/>
  <c r="C2471" i="7"/>
  <c r="F2469" i="7"/>
  <c r="D2469" i="7"/>
  <c r="F2466" i="7"/>
  <c r="C2466" i="7"/>
  <c r="F2463" i="7"/>
  <c r="D2463" i="7"/>
  <c r="G2463" i="7" s="1"/>
  <c r="F2462" i="7"/>
  <c r="D2462" i="7"/>
  <c r="F2461" i="7"/>
  <c r="D2461" i="7"/>
  <c r="C2460" i="7"/>
  <c r="F2458" i="7"/>
  <c r="D2458" i="7"/>
  <c r="F2457" i="7"/>
  <c r="D2457" i="7"/>
  <c r="F2456" i="7"/>
  <c r="D2456" i="7"/>
  <c r="F2455" i="7"/>
  <c r="C2455" i="7"/>
  <c r="F2453" i="7"/>
  <c r="D2453" i="7"/>
  <c r="G2453" i="7" s="1"/>
  <c r="F2452" i="7"/>
  <c r="D2452" i="7"/>
  <c r="F2451" i="7"/>
  <c r="D2451" i="7"/>
  <c r="C2450" i="7"/>
  <c r="F2448" i="7"/>
  <c r="D2448" i="7"/>
  <c r="F2447" i="7"/>
  <c r="D2447" i="7"/>
  <c r="F2446" i="7"/>
  <c r="D2446" i="7"/>
  <c r="F2445" i="7"/>
  <c r="C2445" i="7"/>
  <c r="F2443" i="7"/>
  <c r="D2443" i="7"/>
  <c r="G2443" i="7" s="1"/>
  <c r="F2442" i="7"/>
  <c r="D2442" i="7"/>
  <c r="F2441" i="7"/>
  <c r="D2441" i="7"/>
  <c r="C2440" i="7"/>
  <c r="F2438" i="7"/>
  <c r="D2438" i="7"/>
  <c r="F2437" i="7"/>
  <c r="D2437" i="7"/>
  <c r="F2436" i="7"/>
  <c r="D2436" i="7"/>
  <c r="F2435" i="7"/>
  <c r="C2435" i="7"/>
  <c r="F2433" i="7"/>
  <c r="D2433" i="7"/>
  <c r="G2433" i="7" s="1"/>
  <c r="F2432" i="7"/>
  <c r="D2432" i="7"/>
  <c r="F2431" i="7"/>
  <c r="D2431" i="7"/>
  <c r="C2430" i="7"/>
  <c r="F2427" i="7"/>
  <c r="D2427" i="7"/>
  <c r="F2424" i="7"/>
  <c r="C2424" i="7"/>
  <c r="F2422" i="7"/>
  <c r="D2422" i="7"/>
  <c r="G2422" i="7" s="1"/>
  <c r="C2419" i="7"/>
  <c r="F2417" i="7"/>
  <c r="D2417" i="7"/>
  <c r="F2414" i="7"/>
  <c r="C2414" i="7"/>
  <c r="F2412" i="7"/>
  <c r="D2412" i="7"/>
  <c r="G2412" i="7" s="1"/>
  <c r="C2409" i="7"/>
  <c r="F2407" i="7"/>
  <c r="D2407" i="7"/>
  <c r="F2404" i="7"/>
  <c r="C2404" i="7"/>
  <c r="F2401" i="7"/>
  <c r="D2401" i="7"/>
  <c r="G2401" i="7" s="1"/>
  <c r="C2398" i="7"/>
  <c r="F2396" i="7"/>
  <c r="D2396" i="7"/>
  <c r="F2393" i="7"/>
  <c r="C2393" i="7"/>
  <c r="F2391" i="7"/>
  <c r="D2391" i="7"/>
  <c r="G2391" i="7" s="1"/>
  <c r="C2388" i="7"/>
  <c r="F2386" i="7"/>
  <c r="D2386" i="7"/>
  <c r="D2385" i="7"/>
  <c r="D2384" i="7"/>
  <c r="F2383" i="7"/>
  <c r="C2383" i="7"/>
  <c r="F2381" i="7"/>
  <c r="D2381" i="7"/>
  <c r="G2381" i="7" s="1"/>
  <c r="D2380" i="7"/>
  <c r="D2379" i="7"/>
  <c r="C2378" i="7"/>
  <c r="F2376" i="7"/>
  <c r="D2376" i="7"/>
  <c r="D2375" i="7"/>
  <c r="D2374" i="7"/>
  <c r="F2373" i="7"/>
  <c r="C2373" i="7"/>
  <c r="F2371" i="7"/>
  <c r="D2371" i="7"/>
  <c r="G2371" i="7" s="1"/>
  <c r="D2370" i="7"/>
  <c r="D2369" i="7"/>
  <c r="C2368" i="7"/>
  <c r="F2366" i="7"/>
  <c r="D2366" i="7"/>
  <c r="D2365" i="7"/>
  <c r="D2364" i="7"/>
  <c r="F2363" i="7"/>
  <c r="C2363" i="7"/>
  <c r="F2361" i="7"/>
  <c r="D2361" i="7"/>
  <c r="G2361" i="7" s="1"/>
  <c r="C2358" i="7"/>
  <c r="F2356" i="7"/>
  <c r="D2356" i="7"/>
  <c r="F2353" i="7"/>
  <c r="C2353" i="7"/>
  <c r="F2351" i="7"/>
  <c r="D2351" i="7"/>
  <c r="G2351" i="7" s="1"/>
  <c r="C2348" i="7"/>
  <c r="F2346" i="7"/>
  <c r="D2346" i="7"/>
  <c r="F2343" i="7"/>
  <c r="C2343" i="7"/>
  <c r="F2341" i="7"/>
  <c r="D2341" i="7"/>
  <c r="G2341" i="7" s="1"/>
  <c r="C2338" i="7"/>
  <c r="F2336" i="7"/>
  <c r="D2336" i="7"/>
  <c r="F2333" i="7"/>
  <c r="C2333" i="7"/>
  <c r="F2331" i="7"/>
  <c r="D2331" i="7"/>
  <c r="G2331" i="7" s="1"/>
  <c r="C2328" i="7"/>
  <c r="F2326" i="7"/>
  <c r="D2326" i="7"/>
  <c r="F2323" i="7"/>
  <c r="C2323" i="7"/>
  <c r="F2321" i="7"/>
  <c r="D2321" i="7"/>
  <c r="G2321" i="7" s="1"/>
  <c r="C2318" i="7"/>
  <c r="F2316" i="7"/>
  <c r="D2316" i="7"/>
  <c r="F2313" i="7"/>
  <c r="C2313" i="7"/>
  <c r="F2311" i="7"/>
  <c r="D2311" i="7"/>
  <c r="G2311" i="7" s="1"/>
  <c r="C2308" i="7"/>
  <c r="F2306" i="7"/>
  <c r="D2306" i="7"/>
  <c r="D2305" i="7"/>
  <c r="D2304" i="7"/>
  <c r="F2303" i="7"/>
  <c r="C2303" i="7"/>
  <c r="F2301" i="7"/>
  <c r="D2301" i="7"/>
  <c r="G2301" i="7" s="1"/>
  <c r="D2300" i="7"/>
  <c r="D2299" i="7"/>
  <c r="C2298" i="7"/>
  <c r="F2296" i="7"/>
  <c r="D2296" i="7"/>
  <c r="D2295" i="7"/>
  <c r="D2294" i="7"/>
  <c r="F2293" i="7"/>
  <c r="C2293" i="7"/>
  <c r="F2291" i="7"/>
  <c r="D2291" i="7"/>
  <c r="G2291" i="7" s="1"/>
  <c r="D2290" i="7"/>
  <c r="D2289" i="7"/>
  <c r="C2288" i="7"/>
  <c r="F2286" i="7"/>
  <c r="D2286" i="7"/>
  <c r="D2285" i="7"/>
  <c r="D2284" i="7"/>
  <c r="F2283" i="7"/>
  <c r="C2283" i="7"/>
  <c r="F2280" i="7"/>
  <c r="D2280" i="7"/>
  <c r="G2280" i="7" s="1"/>
  <c r="C2277" i="7"/>
  <c r="F2275" i="7"/>
  <c r="D2275" i="7"/>
  <c r="F2272" i="7"/>
  <c r="C2272" i="7"/>
  <c r="F2270" i="7"/>
  <c r="D2270" i="7"/>
  <c r="G2270" i="7" s="1"/>
  <c r="C2267" i="7"/>
  <c r="F2265" i="7"/>
  <c r="D2265" i="7"/>
  <c r="F2262" i="7"/>
  <c r="C2262" i="7"/>
  <c r="F2260" i="7"/>
  <c r="D2260" i="7"/>
  <c r="G2260" i="7" s="1"/>
  <c r="C2257" i="7"/>
  <c r="F2255" i="7"/>
  <c r="D2255" i="7"/>
  <c r="F2252" i="7"/>
  <c r="C2252" i="7"/>
  <c r="F2250" i="7"/>
  <c r="D2250" i="7"/>
  <c r="G2250" i="7" s="1"/>
  <c r="C2247" i="7"/>
  <c r="F2245" i="7"/>
  <c r="D2245" i="7"/>
  <c r="F2242" i="7"/>
  <c r="C2242" i="7"/>
  <c r="F2240" i="7"/>
  <c r="D2240" i="7"/>
  <c r="G2240" i="7" s="1"/>
  <c r="C2237" i="7"/>
  <c r="F2235" i="7"/>
  <c r="D2235" i="7"/>
  <c r="F2232" i="7"/>
  <c r="C2232" i="7"/>
  <c r="F2230" i="7"/>
  <c r="D2230" i="7"/>
  <c r="G2230" i="7" s="1"/>
  <c r="C2227" i="7"/>
  <c r="F2225" i="7"/>
  <c r="D2225" i="7"/>
  <c r="F2222" i="7"/>
  <c r="C2222" i="7"/>
  <c r="F2220" i="7"/>
  <c r="D2220" i="7"/>
  <c r="G2220" i="7" s="1"/>
  <c r="C2217" i="7"/>
  <c r="F2215" i="7"/>
  <c r="D2215" i="7"/>
  <c r="F2212" i="7"/>
  <c r="C2212" i="7"/>
  <c r="F2210" i="7"/>
  <c r="D2210" i="7"/>
  <c r="G2210" i="7" s="1"/>
  <c r="C2207" i="7"/>
  <c r="F2205" i="7"/>
  <c r="D2205" i="7"/>
  <c r="F2203" i="7"/>
  <c r="D2203" i="7"/>
  <c r="F2201" i="7"/>
  <c r="D2201" i="7"/>
  <c r="G2201" i="7" s="1"/>
  <c r="H2201" i="7" s="1"/>
  <c r="F2199" i="7"/>
  <c r="D2199" i="7"/>
  <c r="G2199" i="7" s="1"/>
  <c r="H2199" i="7" s="1"/>
  <c r="F2197" i="7"/>
  <c r="D2197" i="7"/>
  <c r="G2197" i="7" s="1"/>
  <c r="F2195" i="7"/>
  <c r="D2195" i="7"/>
  <c r="G2195" i="7" s="1"/>
  <c r="F2193" i="7"/>
  <c r="D2193" i="7"/>
  <c r="G2193" i="7" s="1"/>
  <c r="F2191" i="7"/>
  <c r="D2191" i="7"/>
  <c r="G2191" i="7" s="1"/>
  <c r="F2189" i="7"/>
  <c r="D2189" i="7"/>
  <c r="F2187" i="7"/>
  <c r="D2187" i="7"/>
  <c r="F2185" i="7"/>
  <c r="D2185" i="7"/>
  <c r="G2185" i="7" s="1"/>
  <c r="H2185" i="7" s="1"/>
  <c r="F2183" i="7"/>
  <c r="D2183" i="7"/>
  <c r="G2183" i="7" s="1"/>
  <c r="H2183" i="7" s="1"/>
  <c r="F2181" i="7"/>
  <c r="D2181" i="7"/>
  <c r="G2181" i="7" s="1"/>
  <c r="F2179" i="7"/>
  <c r="D2179" i="7"/>
  <c r="G2179" i="7" s="1"/>
  <c r="F2177" i="7"/>
  <c r="D2177" i="7"/>
  <c r="G2177" i="7" s="1"/>
  <c r="F2175" i="7"/>
  <c r="D2175" i="7"/>
  <c r="G2175" i="7" s="1"/>
  <c r="F2172" i="7"/>
  <c r="D2172" i="7"/>
  <c r="F2169" i="7"/>
  <c r="C2169" i="7"/>
  <c r="F2167" i="7"/>
  <c r="D2167" i="7"/>
  <c r="G2167" i="7" s="1"/>
  <c r="C2164" i="7"/>
  <c r="F2162" i="7"/>
  <c r="D2162" i="7"/>
  <c r="F2159" i="7"/>
  <c r="C2159" i="7"/>
  <c r="F2157" i="7"/>
  <c r="D2157" i="7"/>
  <c r="G2157" i="7" s="1"/>
  <c r="C2154" i="7"/>
  <c r="F2152" i="7"/>
  <c r="D2152" i="7"/>
  <c r="F2149" i="7"/>
  <c r="C2149" i="7"/>
  <c r="F2147" i="7"/>
  <c r="D2147" i="7"/>
  <c r="G2147" i="7" s="1"/>
  <c r="C2144" i="7"/>
  <c r="F2142" i="7"/>
  <c r="D2142" i="7"/>
  <c r="F2139" i="7"/>
  <c r="C2139" i="7"/>
  <c r="F2137" i="7"/>
  <c r="D2137" i="7"/>
  <c r="G2137" i="7" s="1"/>
  <c r="F2134" i="7"/>
  <c r="C2134" i="7"/>
  <c r="F2132" i="7"/>
  <c r="D2132" i="7"/>
  <c r="G2132" i="7" s="1"/>
  <c r="C2129" i="7"/>
  <c r="F2127" i="7"/>
  <c r="D2127" i="7"/>
  <c r="F2124" i="7"/>
  <c r="C2124" i="7"/>
  <c r="F2122" i="7"/>
  <c r="D2122" i="7"/>
  <c r="G2122" i="7" s="1"/>
  <c r="C2119" i="7"/>
  <c r="F2117" i="7"/>
  <c r="D2117" i="7"/>
  <c r="F2114" i="7"/>
  <c r="C2114" i="7"/>
  <c r="F2112" i="7"/>
  <c r="D2112" i="7"/>
  <c r="G2112" i="7" s="1"/>
  <c r="C2109" i="7"/>
  <c r="F2107" i="7"/>
  <c r="D2107" i="7"/>
  <c r="H2106" i="7"/>
  <c r="F2106" i="7"/>
  <c r="F2105" i="7"/>
  <c r="D2104" i="7"/>
  <c r="C2104" i="7"/>
  <c r="F2104" i="7" s="1"/>
  <c r="G2104" i="7" s="1"/>
  <c r="F2102" i="7"/>
  <c r="D2102" i="7"/>
  <c r="G2102" i="7" s="1"/>
  <c r="H2101" i="7"/>
  <c r="F2101" i="7"/>
  <c r="D2099" i="7"/>
  <c r="C2099" i="7"/>
  <c r="F2099" i="7" s="1"/>
  <c r="G2099" i="7" s="1"/>
  <c r="F2097" i="7"/>
  <c r="D2097" i="7"/>
  <c r="G2097" i="7" s="1"/>
  <c r="D2094" i="7"/>
  <c r="C2094" i="7"/>
  <c r="F2094" i="7" s="1"/>
  <c r="G2094" i="7" s="1"/>
  <c r="F2092" i="7"/>
  <c r="D2092" i="7"/>
  <c r="G2092" i="7" s="1"/>
  <c r="D2089" i="7"/>
  <c r="C2089" i="7"/>
  <c r="F2089" i="7" s="1"/>
  <c r="G2089" i="7" s="1"/>
  <c r="F2087" i="7"/>
  <c r="D2087" i="7"/>
  <c r="G2087" i="7" s="1"/>
  <c r="D2084" i="7"/>
  <c r="C2084" i="7"/>
  <c r="F2084" i="7" s="1"/>
  <c r="G2084" i="7" s="1"/>
  <c r="F2082" i="7"/>
  <c r="D2082" i="7"/>
  <c r="G2082" i="7" s="1"/>
  <c r="D2079" i="7"/>
  <c r="C2079" i="7"/>
  <c r="F2079" i="7" s="1"/>
  <c r="G2079" i="7" s="1"/>
  <c r="F2077" i="7"/>
  <c r="D2077" i="7"/>
  <c r="G2077" i="7" s="1"/>
  <c r="D2074" i="7"/>
  <c r="C2074" i="7"/>
  <c r="F2074" i="7" s="1"/>
  <c r="G2074" i="7" s="1"/>
  <c r="F2072" i="7"/>
  <c r="D2072" i="7"/>
  <c r="G2072" i="7" s="1"/>
  <c r="D2069" i="7"/>
  <c r="C2069" i="7"/>
  <c r="F2069" i="7" s="1"/>
  <c r="G2069" i="7" s="1"/>
  <c r="F2067" i="7"/>
  <c r="D2067" i="7"/>
  <c r="G2067" i="7" s="1"/>
  <c r="D2064" i="7"/>
  <c r="C2064" i="7"/>
  <c r="F2064" i="7" s="1"/>
  <c r="G2064" i="7" s="1"/>
  <c r="F2062" i="7"/>
  <c r="D2062" i="7"/>
  <c r="G2062" i="7" s="1"/>
  <c r="H2061" i="7"/>
  <c r="I2061" i="7" s="1"/>
  <c r="D2059" i="7"/>
  <c r="G2059" i="7" s="1"/>
  <c r="C2059" i="7"/>
  <c r="F2059" i="7" s="1"/>
  <c r="F2057" i="7"/>
  <c r="D2057" i="7"/>
  <c r="G2057" i="7" s="1"/>
  <c r="D2054" i="7"/>
  <c r="G2054" i="7" s="1"/>
  <c r="C2054" i="7"/>
  <c r="F2054" i="7" s="1"/>
  <c r="F2052" i="7"/>
  <c r="D2052" i="7"/>
  <c r="G2052" i="7" s="1"/>
  <c r="F2051" i="7"/>
  <c r="D2051" i="7"/>
  <c r="G2051" i="7" s="1"/>
  <c r="C2049" i="7"/>
  <c r="F2047" i="7"/>
  <c r="D2047" i="7"/>
  <c r="F2044" i="7"/>
  <c r="C2044" i="7"/>
  <c r="F2041" i="7"/>
  <c r="D2041" i="7"/>
  <c r="G2041" i="7" s="1"/>
  <c r="F2038" i="7"/>
  <c r="C2038" i="7"/>
  <c r="F2036" i="7"/>
  <c r="D2036" i="7"/>
  <c r="G2036" i="7" s="1"/>
  <c r="G2033" i="7"/>
  <c r="H2033" i="7" s="1"/>
  <c r="C2033" i="7"/>
  <c r="F2033" i="7" s="1"/>
  <c r="I2033" i="7" s="1"/>
  <c r="F2031" i="7"/>
  <c r="D2031" i="7"/>
  <c r="G2031" i="7" s="1"/>
  <c r="F2028" i="7"/>
  <c r="C2028" i="7"/>
  <c r="F2026" i="7"/>
  <c r="D2026" i="7"/>
  <c r="G2026" i="7" s="1"/>
  <c r="G2023" i="7"/>
  <c r="H2023" i="7" s="1"/>
  <c r="C2023" i="7"/>
  <c r="F2023" i="7" s="1"/>
  <c r="I2023" i="7" s="1"/>
  <c r="F2021" i="7"/>
  <c r="D2021" i="7"/>
  <c r="G2021" i="7" s="1"/>
  <c r="F2018" i="7"/>
  <c r="C2018" i="7"/>
  <c r="F2016" i="7"/>
  <c r="D2016" i="7"/>
  <c r="G2016" i="7" s="1"/>
  <c r="G2013" i="7"/>
  <c r="H2013" i="7" s="1"/>
  <c r="C2013" i="7"/>
  <c r="F2013" i="7" s="1"/>
  <c r="I2013" i="7" s="1"/>
  <c r="F2011" i="7"/>
  <c r="D2011" i="7"/>
  <c r="G2011" i="7" s="1"/>
  <c r="F2008" i="7"/>
  <c r="C2008" i="7"/>
  <c r="F2006" i="7"/>
  <c r="D2006" i="7"/>
  <c r="G2006" i="7" s="1"/>
  <c r="G2003" i="7"/>
  <c r="H2003" i="7" s="1"/>
  <c r="C2003" i="7"/>
  <c r="F2003" i="7" s="1"/>
  <c r="I2003" i="7" s="1"/>
  <c r="F2001" i="7"/>
  <c r="D2001" i="7"/>
  <c r="G2001" i="7" s="1"/>
  <c r="F1998" i="7"/>
  <c r="C1998" i="7"/>
  <c r="F1996" i="7"/>
  <c r="D1996" i="7"/>
  <c r="G1996" i="7" s="1"/>
  <c r="G1993" i="7"/>
  <c r="H1993" i="7" s="1"/>
  <c r="C1993" i="7"/>
  <c r="F1993" i="7" s="1"/>
  <c r="I1993" i="7" s="1"/>
  <c r="F1991" i="7"/>
  <c r="D1991" i="7"/>
  <c r="G1991" i="7" s="1"/>
  <c r="F1988" i="7"/>
  <c r="C1988" i="7"/>
  <c r="F1986" i="7"/>
  <c r="D1986" i="7"/>
  <c r="G1986" i="7" s="1"/>
  <c r="G1983" i="7"/>
  <c r="H1983" i="7" s="1"/>
  <c r="C1983" i="7"/>
  <c r="F1983" i="7" s="1"/>
  <c r="I1983" i="7" s="1"/>
  <c r="F1981" i="7"/>
  <c r="D1981" i="7"/>
  <c r="G1981" i="7" s="1"/>
  <c r="F1978" i="7"/>
  <c r="C1978" i="7"/>
  <c r="F1976" i="7"/>
  <c r="D1976" i="7"/>
  <c r="G1976" i="7" s="1"/>
  <c r="G1973" i="7"/>
  <c r="H1973" i="7" s="1"/>
  <c r="C1973" i="7"/>
  <c r="F1973" i="7" s="1"/>
  <c r="I1973" i="7" s="1"/>
  <c r="F1971" i="7"/>
  <c r="D1971" i="7"/>
  <c r="G1971" i="7" s="1"/>
  <c r="F1968" i="7"/>
  <c r="C1968" i="7"/>
  <c r="F1966" i="7"/>
  <c r="D1966" i="7"/>
  <c r="G1966" i="7" s="1"/>
  <c r="D1963" i="7"/>
  <c r="C1963" i="7"/>
  <c r="F1963" i="7" s="1"/>
  <c r="G1963" i="7" s="1"/>
  <c r="F1961" i="7"/>
  <c r="D1961" i="7"/>
  <c r="G1961" i="7" s="1"/>
  <c r="D1958" i="7"/>
  <c r="C1958" i="7"/>
  <c r="F1958" i="7" s="1"/>
  <c r="G1958" i="7" s="1"/>
  <c r="F1956" i="7"/>
  <c r="D1956" i="7"/>
  <c r="G1956" i="7" s="1"/>
  <c r="D1953" i="7"/>
  <c r="C1953" i="7"/>
  <c r="F1953" i="7" s="1"/>
  <c r="G1953" i="7" s="1"/>
  <c r="F1951" i="7"/>
  <c r="D1951" i="7"/>
  <c r="G1951" i="7" s="1"/>
  <c r="D1948" i="7"/>
  <c r="C1948" i="7"/>
  <c r="F1948" i="7" s="1"/>
  <c r="G1948" i="7" s="1"/>
  <c r="F1946" i="7"/>
  <c r="D1946" i="7"/>
  <c r="G1946" i="7" s="1"/>
  <c r="D1943" i="7"/>
  <c r="C1943" i="7"/>
  <c r="F1943" i="7" s="1"/>
  <c r="G1943" i="7" s="1"/>
  <c r="F1941" i="7"/>
  <c r="D1941" i="7"/>
  <c r="G1941" i="7" s="1"/>
  <c r="D1938" i="7"/>
  <c r="C1938" i="7"/>
  <c r="F1938" i="7" s="1"/>
  <c r="G1938" i="7" s="1"/>
  <c r="F1936" i="7"/>
  <c r="D1936" i="7"/>
  <c r="G1936" i="7" s="1"/>
  <c r="D1933" i="7"/>
  <c r="C1933" i="7"/>
  <c r="F1933" i="7" s="1"/>
  <c r="G1933" i="7" s="1"/>
  <c r="F1931" i="7"/>
  <c r="D1931" i="7"/>
  <c r="G1931" i="7" s="1"/>
  <c r="D1928" i="7"/>
  <c r="C1928" i="7"/>
  <c r="F1928" i="7" s="1"/>
  <c r="G1928" i="7" s="1"/>
  <c r="F1926" i="7"/>
  <c r="D1926" i="7"/>
  <c r="G1926" i="7" s="1"/>
  <c r="D1923" i="7"/>
  <c r="C1923" i="7"/>
  <c r="F1923" i="7" s="1"/>
  <c r="G1923" i="7" s="1"/>
  <c r="F1921" i="7"/>
  <c r="D1921" i="7"/>
  <c r="G1921" i="7" s="1"/>
  <c r="D1918" i="7"/>
  <c r="C1918" i="7"/>
  <c r="F1918" i="7" s="1"/>
  <c r="G1918" i="7" s="1"/>
  <c r="F1916" i="7"/>
  <c r="D1916" i="7"/>
  <c r="G1916" i="7" s="1"/>
  <c r="D1913" i="7"/>
  <c r="C1913" i="7"/>
  <c r="F1913" i="7" s="1"/>
  <c r="G1913" i="7" s="1"/>
  <c r="F1910" i="7"/>
  <c r="D1910" i="7"/>
  <c r="G1910" i="7" s="1"/>
  <c r="F1909" i="7"/>
  <c r="D1909" i="7"/>
  <c r="F1908" i="7"/>
  <c r="D1908" i="7"/>
  <c r="D1907" i="7"/>
  <c r="C1907" i="7"/>
  <c r="F1907" i="7" s="1"/>
  <c r="G1907" i="7" s="1"/>
  <c r="F1906" i="7"/>
  <c r="D1906" i="7"/>
  <c r="G1906" i="7" s="1"/>
  <c r="D1903" i="7"/>
  <c r="C1903" i="7"/>
  <c r="F1903" i="7" s="1"/>
  <c r="G1903" i="7" s="1"/>
  <c r="F1901" i="7"/>
  <c r="D1901" i="7"/>
  <c r="G1901" i="7" s="1"/>
  <c r="D1898" i="7"/>
  <c r="C1898" i="7"/>
  <c r="F1898" i="7" s="1"/>
  <c r="G1898" i="7" s="1"/>
  <c r="F1896" i="7"/>
  <c r="D1896" i="7"/>
  <c r="G1896" i="7" s="1"/>
  <c r="D1893" i="7"/>
  <c r="C1893" i="7"/>
  <c r="F1893" i="7" s="1"/>
  <c r="G1893" i="7" s="1"/>
  <c r="F1891" i="7"/>
  <c r="D1891" i="7"/>
  <c r="G1891" i="7" s="1"/>
  <c r="D1888" i="7"/>
  <c r="C1888" i="7"/>
  <c r="F1888" i="7" s="1"/>
  <c r="G1888" i="7" s="1"/>
  <c r="F1886" i="7"/>
  <c r="D1886" i="7"/>
  <c r="G1886" i="7" s="1"/>
  <c r="D1883" i="7"/>
  <c r="C1883" i="7"/>
  <c r="F1883" i="7" s="1"/>
  <c r="G1883" i="7" s="1"/>
  <c r="F1881" i="7"/>
  <c r="D1881" i="7"/>
  <c r="G1881" i="7" s="1"/>
  <c r="D1878" i="7"/>
  <c r="C1878" i="7"/>
  <c r="F1878" i="7" s="1"/>
  <c r="G1878" i="7" s="1"/>
  <c r="F1876" i="7"/>
  <c r="D1876" i="7"/>
  <c r="G1876" i="7" s="1"/>
  <c r="D1873" i="7"/>
  <c r="C1873" i="7"/>
  <c r="F1873" i="7" s="1"/>
  <c r="G1873" i="7" s="1"/>
  <c r="F1871" i="7"/>
  <c r="D1871" i="7"/>
  <c r="G1871" i="7" s="1"/>
  <c r="D1868" i="7"/>
  <c r="C1868" i="7"/>
  <c r="F1868" i="7" s="1"/>
  <c r="G1868" i="7" s="1"/>
  <c r="F1866" i="7"/>
  <c r="D1866" i="7"/>
  <c r="G1866" i="7" s="1"/>
  <c r="D1863" i="7"/>
  <c r="C1863" i="7"/>
  <c r="F1863" i="7" s="1"/>
  <c r="G1863" i="7" s="1"/>
  <c r="F1861" i="7"/>
  <c r="D1861" i="7"/>
  <c r="G1861" i="7" s="1"/>
  <c r="D1858" i="7"/>
  <c r="C1858" i="7"/>
  <c r="F1858" i="7" s="1"/>
  <c r="G1858" i="7" s="1"/>
  <c r="F1856" i="7"/>
  <c r="D1856" i="7"/>
  <c r="G1856" i="7" s="1"/>
  <c r="D1853" i="7"/>
  <c r="C1853" i="7"/>
  <c r="F1853" i="7" s="1"/>
  <c r="G1853" i="7" s="1"/>
  <c r="F1851" i="7"/>
  <c r="D1851" i="7"/>
  <c r="G1851" i="7" s="1"/>
  <c r="D1848" i="7"/>
  <c r="C1848" i="7"/>
  <c r="F1848" i="7" s="1"/>
  <c r="G1848" i="7" s="1"/>
  <c r="F1846" i="7"/>
  <c r="D1846" i="7"/>
  <c r="G1846" i="7" s="1"/>
  <c r="D1843" i="7"/>
  <c r="C1843" i="7"/>
  <c r="F1843" i="7" s="1"/>
  <c r="G1843" i="7" s="1"/>
  <c r="F1841" i="7"/>
  <c r="D1841" i="7"/>
  <c r="G1841" i="7" s="1"/>
  <c r="D1838" i="7"/>
  <c r="C1838" i="7"/>
  <c r="F1838" i="7" s="1"/>
  <c r="G1838" i="7" s="1"/>
  <c r="F1836" i="7"/>
  <c r="D1836" i="7"/>
  <c r="G1836" i="7" s="1"/>
  <c r="D1833" i="7"/>
  <c r="C1833" i="7"/>
  <c r="F1833" i="7" s="1"/>
  <c r="G1833" i="7" s="1"/>
  <c r="F1831" i="7"/>
  <c r="D1831" i="7"/>
  <c r="G1831" i="7" s="1"/>
  <c r="D1828" i="7"/>
  <c r="C1828" i="7"/>
  <c r="F1828" i="7" s="1"/>
  <c r="G1828" i="7" s="1"/>
  <c r="F1826" i="7"/>
  <c r="D1826" i="7"/>
  <c r="G1826" i="7" s="1"/>
  <c r="D1823" i="7"/>
  <c r="C1823" i="7"/>
  <c r="F1823" i="7" s="1"/>
  <c r="G1823" i="7" s="1"/>
  <c r="F1821" i="7"/>
  <c r="D1821" i="7"/>
  <c r="G1821" i="7" s="1"/>
  <c r="D1818" i="7"/>
  <c r="C1818" i="7"/>
  <c r="F1818" i="7" s="1"/>
  <c r="G1818" i="7" s="1"/>
  <c r="F1816" i="7"/>
  <c r="D1816" i="7"/>
  <c r="G1816" i="7" s="1"/>
  <c r="D1813" i="7"/>
  <c r="C1813" i="7"/>
  <c r="F1813" i="7" s="1"/>
  <c r="G1813" i="7" s="1"/>
  <c r="F1811" i="7"/>
  <c r="D1811" i="7"/>
  <c r="G1811" i="7" s="1"/>
  <c r="G1808" i="7"/>
  <c r="H1808" i="7" s="1"/>
  <c r="C1808" i="7"/>
  <c r="F1808" i="7" s="1"/>
  <c r="F1806" i="7"/>
  <c r="D1806" i="7"/>
  <c r="G1806" i="7" s="1"/>
  <c r="D1805" i="7"/>
  <c r="D1804" i="7"/>
  <c r="C1803" i="7"/>
  <c r="F1801" i="7"/>
  <c r="D1801" i="7"/>
  <c r="D1800" i="7"/>
  <c r="D1799" i="7"/>
  <c r="F1798" i="7"/>
  <c r="C1798" i="7"/>
  <c r="F1796" i="7"/>
  <c r="D1796" i="7"/>
  <c r="G1796" i="7" s="1"/>
  <c r="D1795" i="7"/>
  <c r="D1794" i="7"/>
  <c r="C1793" i="7"/>
  <c r="F1791" i="7"/>
  <c r="D1791" i="7"/>
  <c r="D1790" i="7"/>
  <c r="D1789" i="7"/>
  <c r="F1788" i="7"/>
  <c r="C1788" i="7"/>
  <c r="F1786" i="7"/>
  <c r="D1786" i="7"/>
  <c r="G1786" i="7" s="1"/>
  <c r="D1785" i="7"/>
  <c r="D1784" i="7"/>
  <c r="C1783" i="7"/>
  <c r="F1781" i="7"/>
  <c r="D1781" i="7"/>
  <c r="D1780" i="7"/>
  <c r="D1779" i="7"/>
  <c r="F1778" i="7"/>
  <c r="C1778" i="7"/>
  <c r="F1776" i="7"/>
  <c r="D1776" i="7"/>
  <c r="G1776" i="7" s="1"/>
  <c r="D1775" i="7"/>
  <c r="D1774" i="7"/>
  <c r="C1773" i="7"/>
  <c r="F1771" i="7"/>
  <c r="D1771" i="7"/>
  <c r="D1770" i="7"/>
  <c r="D1769" i="7"/>
  <c r="F1768" i="7"/>
  <c r="C1768" i="7"/>
  <c r="F1766" i="7"/>
  <c r="D1766" i="7"/>
  <c r="G1766" i="7" s="1"/>
  <c r="D1765" i="7"/>
  <c r="D1764" i="7"/>
  <c r="C1763" i="7"/>
  <c r="F1760" i="7"/>
  <c r="D1760" i="7"/>
  <c r="F1759" i="7"/>
  <c r="D1759" i="7"/>
  <c r="F1758" i="7"/>
  <c r="D1758" i="7"/>
  <c r="F1757" i="7"/>
  <c r="C1757" i="7"/>
  <c r="F1755" i="7"/>
  <c r="D1755" i="7"/>
  <c r="G1755" i="7" s="1"/>
  <c r="F1754" i="7"/>
  <c r="D1754" i="7"/>
  <c r="F1753" i="7"/>
  <c r="D1753" i="7"/>
  <c r="C1752" i="7"/>
  <c r="F1750" i="7"/>
  <c r="D1750" i="7"/>
  <c r="F1749" i="7"/>
  <c r="D1749" i="7"/>
  <c r="F1748" i="7"/>
  <c r="D1748" i="7"/>
  <c r="F1747" i="7"/>
  <c r="C1747" i="7"/>
  <c r="F1745" i="7"/>
  <c r="D1745" i="7"/>
  <c r="G1745" i="7" s="1"/>
  <c r="F1744" i="7"/>
  <c r="D1744" i="7"/>
  <c r="F1743" i="7"/>
  <c r="D1743" i="7"/>
  <c r="C1742" i="7"/>
  <c r="F1740" i="7"/>
  <c r="D1740" i="7"/>
  <c r="F1739" i="7"/>
  <c r="D1739" i="7"/>
  <c r="F1738" i="7"/>
  <c r="D1738" i="7"/>
  <c r="F1737" i="7"/>
  <c r="C1737" i="7"/>
  <c r="F1735" i="7"/>
  <c r="D1735" i="7"/>
  <c r="G1735" i="7" s="1"/>
  <c r="F1734" i="7"/>
  <c r="D1734" i="7"/>
  <c r="F1733" i="7"/>
  <c r="D1733" i="7"/>
  <c r="C1732" i="7"/>
  <c r="F1730" i="7"/>
  <c r="D1730" i="7"/>
  <c r="F1729" i="7"/>
  <c r="D1729" i="7"/>
  <c r="F1728" i="7"/>
  <c r="D1728" i="7"/>
  <c r="F1727" i="7"/>
  <c r="C1727" i="7"/>
  <c r="F1725" i="7"/>
  <c r="D1725" i="7"/>
  <c r="G1725" i="7" s="1"/>
  <c r="F1724" i="7"/>
  <c r="D1724" i="7"/>
  <c r="F1723" i="7"/>
  <c r="D1723" i="7"/>
  <c r="C1722" i="7"/>
  <c r="F1720" i="7"/>
  <c r="D1720" i="7"/>
  <c r="F1719" i="7"/>
  <c r="D1719" i="7"/>
  <c r="F1718" i="7"/>
  <c r="D1718" i="7"/>
  <c r="F1717" i="7"/>
  <c r="C1717" i="7"/>
  <c r="F1715" i="7"/>
  <c r="D1715" i="7"/>
  <c r="G1715" i="7" s="1"/>
  <c r="F1714" i="7"/>
  <c r="D1714" i="7"/>
  <c r="F1713" i="7"/>
  <c r="D1713" i="7"/>
  <c r="C1712" i="7"/>
  <c r="F1710" i="7"/>
  <c r="D1710" i="7"/>
  <c r="F1709" i="7"/>
  <c r="D1709" i="7"/>
  <c r="F1708" i="7"/>
  <c r="D1708" i="7"/>
  <c r="F1707" i="7"/>
  <c r="C1707" i="7"/>
  <c r="F1705" i="7"/>
  <c r="D1705" i="7"/>
  <c r="G1705" i="7" s="1"/>
  <c r="F1704" i="7"/>
  <c r="D1704" i="7"/>
  <c r="F1703" i="7"/>
  <c r="D1703" i="7"/>
  <c r="C1702" i="7"/>
  <c r="F1700" i="7"/>
  <c r="D1700" i="7"/>
  <c r="F1699" i="7"/>
  <c r="D1699" i="7"/>
  <c r="F1698" i="7"/>
  <c r="D1698" i="7"/>
  <c r="F1697" i="7"/>
  <c r="C1697" i="7"/>
  <c r="F1695" i="7"/>
  <c r="D1695" i="7"/>
  <c r="G1695" i="7" s="1"/>
  <c r="F1694" i="7"/>
  <c r="D1694" i="7"/>
  <c r="F1693" i="7"/>
  <c r="D1693" i="7"/>
  <c r="C1692" i="7"/>
  <c r="F1690" i="7"/>
  <c r="D1690" i="7"/>
  <c r="F1689" i="7"/>
  <c r="D1689" i="7"/>
  <c r="F1688" i="7"/>
  <c r="D1688" i="7"/>
  <c r="F1687" i="7"/>
  <c r="C1687" i="7"/>
  <c r="F1685" i="7"/>
  <c r="D1685" i="7"/>
  <c r="G1685" i="7" s="1"/>
  <c r="F1684" i="7"/>
  <c r="D1684" i="7"/>
  <c r="F1683" i="7"/>
  <c r="D1683" i="7"/>
  <c r="C1682" i="7"/>
  <c r="F1680" i="7"/>
  <c r="D1680" i="7"/>
  <c r="F1679" i="7"/>
  <c r="D1679" i="7"/>
  <c r="F1678" i="7"/>
  <c r="D1678" i="7"/>
  <c r="F1677" i="7"/>
  <c r="C1677" i="7"/>
  <c r="F1675" i="7"/>
  <c r="D1675" i="7"/>
  <c r="G1675" i="7" s="1"/>
  <c r="F1674" i="7"/>
  <c r="D1674" i="7"/>
  <c r="F1673" i="7"/>
  <c r="D1673" i="7"/>
  <c r="C1672" i="7"/>
  <c r="F1669" i="7"/>
  <c r="D1669" i="7"/>
  <c r="F1666" i="7"/>
  <c r="C1666" i="7"/>
  <c r="F1664" i="7"/>
  <c r="D1664" i="7"/>
  <c r="G1664" i="7" s="1"/>
  <c r="C1661" i="7"/>
  <c r="F1661" i="7" s="1"/>
  <c r="F1659" i="7"/>
  <c r="D1659" i="7"/>
  <c r="F1656" i="7"/>
  <c r="C1656" i="7"/>
  <c r="F1654" i="7"/>
  <c r="D1654" i="7"/>
  <c r="G1654" i="7" s="1"/>
  <c r="C1651" i="7"/>
  <c r="F1651" i="7" s="1"/>
  <c r="F1649" i="7"/>
  <c r="D1649" i="7"/>
  <c r="F1646" i="7"/>
  <c r="C1646" i="7"/>
  <c r="F1644" i="7"/>
  <c r="D1644" i="7"/>
  <c r="G1644" i="7" s="1"/>
  <c r="C1641" i="7"/>
  <c r="F1641" i="7" s="1"/>
  <c r="F1640" i="7"/>
  <c r="D1640" i="7"/>
  <c r="F1637" i="7"/>
  <c r="C1637" i="7"/>
  <c r="F1635" i="7"/>
  <c r="D1635" i="7"/>
  <c r="G1635" i="7" s="1"/>
  <c r="C1632" i="7"/>
  <c r="F1632" i="7" s="1"/>
  <c r="F1630" i="7"/>
  <c r="D1630" i="7"/>
  <c r="F1627" i="7"/>
  <c r="C1627" i="7"/>
  <c r="F1625" i="7"/>
  <c r="D1625" i="7"/>
  <c r="G1625" i="7" s="1"/>
  <c r="C1622" i="7"/>
  <c r="F1622" i="7" s="1"/>
  <c r="F1620" i="7"/>
  <c r="D1620" i="7"/>
  <c r="F1617" i="7"/>
  <c r="C1617" i="7"/>
  <c r="F1615" i="7"/>
  <c r="D1615" i="7"/>
  <c r="G1615" i="7" s="1"/>
  <c r="C1612" i="7"/>
  <c r="F1612" i="7" s="1"/>
  <c r="F1609" i="7"/>
  <c r="D1609" i="7"/>
  <c r="F1606" i="7"/>
  <c r="C1606" i="7"/>
  <c r="F1604" i="7"/>
  <c r="D1604" i="7"/>
  <c r="G1604" i="7" s="1"/>
  <c r="C1601" i="7"/>
  <c r="F1599" i="7"/>
  <c r="D1599" i="7"/>
  <c r="F1596" i="7"/>
  <c r="C1596" i="7"/>
  <c r="F1594" i="7"/>
  <c r="D1594" i="7"/>
  <c r="G1594" i="7" s="1"/>
  <c r="C1591" i="7"/>
  <c r="F1589" i="7"/>
  <c r="D1589" i="7"/>
  <c r="F1586" i="7"/>
  <c r="C1586" i="7"/>
  <c r="F1584" i="7"/>
  <c r="D1584" i="7"/>
  <c r="G1584" i="7" s="1"/>
  <c r="C1581" i="7"/>
  <c r="F1579" i="7"/>
  <c r="D1579" i="7"/>
  <c r="F1576" i="7"/>
  <c r="C1576" i="7"/>
  <c r="F1574" i="7"/>
  <c r="D1574" i="7"/>
  <c r="G1574" i="7" s="1"/>
  <c r="C1571" i="7"/>
  <c r="F1569" i="7"/>
  <c r="D1569" i="7"/>
  <c r="F1566" i="7"/>
  <c r="C1566" i="7"/>
  <c r="F1564" i="7"/>
  <c r="D1564" i="7"/>
  <c r="G1564" i="7" s="1"/>
  <c r="C1561" i="7"/>
  <c r="F1559" i="7"/>
  <c r="D1559" i="7"/>
  <c r="F1556" i="7"/>
  <c r="C1556" i="7"/>
  <c r="F1554" i="7"/>
  <c r="D1554" i="7"/>
  <c r="G1554" i="7" s="1"/>
  <c r="C1551" i="7"/>
  <c r="F1548" i="7"/>
  <c r="D1548" i="7"/>
  <c r="F1545" i="7"/>
  <c r="D1545" i="7"/>
  <c r="F1543" i="7"/>
  <c r="D1543" i="7"/>
  <c r="G1543" i="7" s="1"/>
  <c r="F1540" i="7"/>
  <c r="D1540" i="7"/>
  <c r="G1540" i="7" s="1"/>
  <c r="F1538" i="7"/>
  <c r="D1538" i="7"/>
  <c r="G1538" i="7" s="1"/>
  <c r="F1535" i="7"/>
  <c r="D1535" i="7"/>
  <c r="G1535" i="7" s="1"/>
  <c r="F1533" i="7"/>
  <c r="D1533" i="7"/>
  <c r="G1533" i="7" s="1"/>
  <c r="F1530" i="7"/>
  <c r="D1530" i="7"/>
  <c r="G1530" i="7" s="1"/>
  <c r="F1528" i="7"/>
  <c r="D1528" i="7"/>
  <c r="F1525" i="7"/>
  <c r="D1525" i="7"/>
  <c r="F1523" i="7"/>
  <c r="D1523" i="7"/>
  <c r="G1523" i="7" s="1"/>
  <c r="F1520" i="7"/>
  <c r="D1520" i="7"/>
  <c r="G1520" i="7" s="1"/>
  <c r="F1518" i="7"/>
  <c r="D1518" i="7"/>
  <c r="G1518" i="7" s="1"/>
  <c r="F1515" i="7"/>
  <c r="D1515" i="7"/>
  <c r="G1515" i="7" s="1"/>
  <c r="F1513" i="7"/>
  <c r="D1513" i="7"/>
  <c r="G1513" i="7" s="1"/>
  <c r="F1510" i="7"/>
  <c r="D1510" i="7"/>
  <c r="G1510" i="7" s="1"/>
  <c r="F1508" i="7"/>
  <c r="D1508" i="7"/>
  <c r="F1505" i="7"/>
  <c r="D1505" i="7"/>
  <c r="F1503" i="7"/>
  <c r="D1503" i="7"/>
  <c r="G1503" i="7" s="1"/>
  <c r="F1500" i="7"/>
  <c r="D1500" i="7"/>
  <c r="G1500" i="7" s="1"/>
  <c r="F1498" i="7"/>
  <c r="D1498" i="7"/>
  <c r="G1498" i="7" s="1"/>
  <c r="F1495" i="7"/>
  <c r="D1495" i="7"/>
  <c r="G1495" i="7" s="1"/>
  <c r="F1493" i="7"/>
  <c r="D1493" i="7"/>
  <c r="G1493" i="7" s="1"/>
  <c r="F1490" i="7"/>
  <c r="D1490" i="7"/>
  <c r="G1490" i="7" s="1"/>
  <c r="F1488" i="7"/>
  <c r="D1488" i="7"/>
  <c r="F1485" i="7"/>
  <c r="D1485" i="7"/>
  <c r="F1482" i="7"/>
  <c r="D1482" i="7"/>
  <c r="G1482" i="7" s="1"/>
  <c r="D1479" i="7"/>
  <c r="G1479" i="7" s="1"/>
  <c r="C1479" i="7"/>
  <c r="F1479" i="7" s="1"/>
  <c r="F1477" i="7"/>
  <c r="D1477" i="7"/>
  <c r="G1477" i="7" s="1"/>
  <c r="D1474" i="7"/>
  <c r="G1474" i="7" s="1"/>
  <c r="C1474" i="7"/>
  <c r="F1474" i="7" s="1"/>
  <c r="F1472" i="7"/>
  <c r="D1472" i="7"/>
  <c r="G1472" i="7" s="1"/>
  <c r="D1469" i="7"/>
  <c r="G1469" i="7" s="1"/>
  <c r="C1469" i="7"/>
  <c r="F1469" i="7" s="1"/>
  <c r="F1467" i="7"/>
  <c r="D1467" i="7"/>
  <c r="G1467" i="7" s="1"/>
  <c r="D1464" i="7"/>
  <c r="G1464" i="7" s="1"/>
  <c r="C1464" i="7"/>
  <c r="F1464" i="7" s="1"/>
  <c r="F1462" i="7"/>
  <c r="D1462" i="7"/>
  <c r="G1462" i="7" s="1"/>
  <c r="D1459" i="7"/>
  <c r="G1459" i="7" s="1"/>
  <c r="C1459" i="7"/>
  <c r="F1459" i="7" s="1"/>
  <c r="F1457" i="7"/>
  <c r="D1457" i="7"/>
  <c r="G1457" i="7" s="1"/>
  <c r="D1454" i="7"/>
  <c r="G1454" i="7" s="1"/>
  <c r="C1454" i="7"/>
  <c r="F1454" i="7" s="1"/>
  <c r="F1451" i="7"/>
  <c r="D1451" i="7"/>
  <c r="G1451" i="7" s="1"/>
  <c r="D1448" i="7"/>
  <c r="G1448" i="7" s="1"/>
  <c r="C1448" i="7"/>
  <c r="F1448" i="7" s="1"/>
  <c r="F1446" i="7"/>
  <c r="D1446" i="7"/>
  <c r="G1446" i="7" s="1"/>
  <c r="D1443" i="7"/>
  <c r="G1443" i="7" s="1"/>
  <c r="C1443" i="7"/>
  <c r="F1443" i="7" s="1"/>
  <c r="F1441" i="7"/>
  <c r="D1441" i="7"/>
  <c r="G1441" i="7" s="1"/>
  <c r="D1438" i="7"/>
  <c r="G1438" i="7" s="1"/>
  <c r="C1438" i="7"/>
  <c r="F1438" i="7" s="1"/>
  <c r="F1436" i="7"/>
  <c r="D1436" i="7"/>
  <c r="G1436" i="7" s="1"/>
  <c r="D1433" i="7"/>
  <c r="G1433" i="7" s="1"/>
  <c r="C1433" i="7"/>
  <c r="F1433" i="7" s="1"/>
  <c r="F1431" i="7"/>
  <c r="D1431" i="7"/>
  <c r="G1431" i="7" s="1"/>
  <c r="D1428" i="7"/>
  <c r="G1428" i="7" s="1"/>
  <c r="C1428" i="7"/>
  <c r="F1428" i="7" s="1"/>
  <c r="F1426" i="7"/>
  <c r="D1426" i="7"/>
  <c r="G1426" i="7" s="1"/>
  <c r="D1423" i="7"/>
  <c r="G1423" i="7" s="1"/>
  <c r="C1423" i="7"/>
  <c r="F1423" i="7" s="1"/>
  <c r="F1421" i="7"/>
  <c r="D1421" i="7"/>
  <c r="G1421" i="7" s="1"/>
  <c r="D1418" i="7"/>
  <c r="G1418" i="7" s="1"/>
  <c r="C1418" i="7"/>
  <c r="F1418" i="7" s="1"/>
  <c r="F1416" i="7"/>
  <c r="D1416" i="7"/>
  <c r="G1416" i="7" s="1"/>
  <c r="D1413" i="7"/>
  <c r="G1413" i="7" s="1"/>
  <c r="C1413" i="7"/>
  <c r="F1413" i="7" s="1"/>
  <c r="F1411" i="7"/>
  <c r="D1411" i="7"/>
  <c r="G1411" i="7" s="1"/>
  <c r="D1408" i="7"/>
  <c r="G1408" i="7" s="1"/>
  <c r="C1408" i="7"/>
  <c r="F1408" i="7" s="1"/>
  <c r="F1406" i="7"/>
  <c r="D1406" i="7"/>
  <c r="G1406" i="7" s="1"/>
  <c r="D1403" i="7"/>
  <c r="G1403" i="7" s="1"/>
  <c r="C1403" i="7"/>
  <c r="F1403" i="7" s="1"/>
  <c r="F1401" i="7"/>
  <c r="D1401" i="7"/>
  <c r="G1401" i="7" s="1"/>
  <c r="D1398" i="7"/>
  <c r="G1398" i="7" s="1"/>
  <c r="C1398" i="7"/>
  <c r="F1398" i="7" s="1"/>
  <c r="F1396" i="7"/>
  <c r="D1396" i="7"/>
  <c r="G1396" i="7" s="1"/>
  <c r="D1393" i="7"/>
  <c r="G1393" i="7" s="1"/>
  <c r="C1393" i="7"/>
  <c r="F1393" i="7" s="1"/>
  <c r="F1391" i="7"/>
  <c r="D1391" i="7"/>
  <c r="G1391" i="7" s="1"/>
  <c r="F1388" i="7"/>
  <c r="D1388" i="7"/>
  <c r="G1388" i="7" s="1"/>
  <c r="F1386" i="7"/>
  <c r="D1386" i="7"/>
  <c r="G1386" i="7" s="1"/>
  <c r="F1383" i="7"/>
  <c r="D1383" i="7"/>
  <c r="G1383" i="7" s="1"/>
  <c r="F1381" i="7"/>
  <c r="D1381" i="7"/>
  <c r="G1381" i="7" s="1"/>
  <c r="F1378" i="7"/>
  <c r="D1378" i="7"/>
  <c r="G1378" i="7" s="1"/>
  <c r="F1376" i="7"/>
  <c r="D1376" i="7"/>
  <c r="F1373" i="7"/>
  <c r="D1373" i="7"/>
  <c r="F1371" i="7"/>
  <c r="D1371" i="7"/>
  <c r="G1371" i="7" s="1"/>
  <c r="D1368" i="7"/>
  <c r="G1368" i="7" s="1"/>
  <c r="C1368" i="7"/>
  <c r="F1368" i="7" s="1"/>
  <c r="F1366" i="7"/>
  <c r="D1366" i="7"/>
  <c r="G1366" i="7" s="1"/>
  <c r="D1363" i="7"/>
  <c r="G1363" i="7" s="1"/>
  <c r="C1363" i="7"/>
  <c r="F1363" i="7" s="1"/>
  <c r="F1361" i="7"/>
  <c r="D1361" i="7"/>
  <c r="G1361" i="7" s="1"/>
  <c r="D1358" i="7"/>
  <c r="G1358" i="7" s="1"/>
  <c r="C1358" i="7"/>
  <c r="F1358" i="7" s="1"/>
  <c r="F1356" i="7"/>
  <c r="D1356" i="7"/>
  <c r="G1356" i="7" s="1"/>
  <c r="F1353" i="7"/>
  <c r="D1353" i="7"/>
  <c r="G1353" i="7" s="1"/>
  <c r="F1351" i="7"/>
  <c r="D1351" i="7"/>
  <c r="G1351" i="7" s="1"/>
  <c r="F1348" i="7"/>
  <c r="D1348" i="7"/>
  <c r="G1348" i="7" s="1"/>
  <c r="F1346" i="7"/>
  <c r="D1346" i="7"/>
  <c r="G1346" i="7" s="1"/>
  <c r="D1343" i="7"/>
  <c r="C1343" i="7"/>
  <c r="F1343" i="7" s="1"/>
  <c r="G1343" i="7" s="1"/>
  <c r="F1341" i="7"/>
  <c r="D1341" i="7"/>
  <c r="G1341" i="7" s="1"/>
  <c r="D1338" i="7"/>
  <c r="C1338" i="7"/>
  <c r="F1338" i="7" s="1"/>
  <c r="G1338" i="7" s="1"/>
  <c r="F1336" i="7"/>
  <c r="D1336" i="7"/>
  <c r="G1336" i="7" s="1"/>
  <c r="D1333" i="7"/>
  <c r="C1333" i="7"/>
  <c r="F1333" i="7" s="1"/>
  <c r="G1333" i="7" s="1"/>
  <c r="F1331" i="7"/>
  <c r="D1331" i="7"/>
  <c r="G1331" i="7" s="1"/>
  <c r="D1328" i="7"/>
  <c r="C1328" i="7"/>
  <c r="F1328" i="7" s="1"/>
  <c r="G1328" i="7" s="1"/>
  <c r="F1326" i="7"/>
  <c r="D1326" i="7"/>
  <c r="G1326" i="7" s="1"/>
  <c r="F1323" i="7"/>
  <c r="D1323" i="7"/>
  <c r="G1323" i="7" s="1"/>
  <c r="F1320" i="7"/>
  <c r="D1320" i="7"/>
  <c r="F1317" i="7"/>
  <c r="C1317" i="7"/>
  <c r="F1315" i="7"/>
  <c r="D1315" i="7"/>
  <c r="G1315" i="7" s="1"/>
  <c r="C1312" i="7"/>
  <c r="F1310" i="7"/>
  <c r="D1310" i="7"/>
  <c r="F1307" i="7"/>
  <c r="C1307" i="7"/>
  <c r="F1305" i="7"/>
  <c r="D1305" i="7"/>
  <c r="G1305" i="7" s="1"/>
  <c r="C1302" i="7"/>
  <c r="F1300" i="7"/>
  <c r="D1300" i="7"/>
  <c r="F1297" i="7"/>
  <c r="C1297" i="7"/>
  <c r="F1295" i="7"/>
  <c r="D1295" i="7"/>
  <c r="G1295" i="7" s="1"/>
  <c r="C1292" i="7"/>
  <c r="F1290" i="7"/>
  <c r="D1290" i="7"/>
  <c r="F1287" i="7"/>
  <c r="C1287" i="7"/>
  <c r="F1285" i="7"/>
  <c r="D1285" i="7"/>
  <c r="G1285" i="7" s="1"/>
  <c r="C1282" i="7"/>
  <c r="D1276" i="7"/>
  <c r="C1276" i="7"/>
  <c r="F1276" i="7" s="1"/>
  <c r="G1276" i="7" s="1"/>
  <c r="C1271" i="7"/>
  <c r="D1266" i="7"/>
  <c r="C1266" i="7"/>
  <c r="F1266" i="7" s="1"/>
  <c r="G1266" i="7" s="1"/>
  <c r="F1263" i="7"/>
  <c r="D1263" i="7"/>
  <c r="G1263" i="7" s="1"/>
  <c r="D1260" i="7"/>
  <c r="C1260" i="7"/>
  <c r="F1260" i="7" s="1"/>
  <c r="G1260" i="7" s="1"/>
  <c r="F1258" i="7"/>
  <c r="D1258" i="7"/>
  <c r="G1258" i="7" s="1"/>
  <c r="D1255" i="7"/>
  <c r="C1255" i="7"/>
  <c r="F1255" i="7" s="1"/>
  <c r="G1255" i="7" s="1"/>
  <c r="F1253" i="7"/>
  <c r="D1253" i="7"/>
  <c r="G1253" i="7" s="1"/>
  <c r="D1250" i="7"/>
  <c r="C1250" i="7"/>
  <c r="F1250" i="7" s="1"/>
  <c r="G1250" i="7" s="1"/>
  <c r="F1248" i="7"/>
  <c r="D1248" i="7"/>
  <c r="G1248" i="7" s="1"/>
  <c r="D1245" i="7"/>
  <c r="C1245" i="7"/>
  <c r="F1245" i="7" s="1"/>
  <c r="G1245" i="7" s="1"/>
  <c r="F1243" i="7"/>
  <c r="D1243" i="7"/>
  <c r="G1243" i="7" s="1"/>
  <c r="D1240" i="7"/>
  <c r="C1240" i="7"/>
  <c r="F1240" i="7" s="1"/>
  <c r="G1240" i="7" s="1"/>
  <c r="F1238" i="7"/>
  <c r="D1238" i="7"/>
  <c r="G1238" i="7" s="1"/>
  <c r="D1235" i="7"/>
  <c r="C1235" i="7"/>
  <c r="F1235" i="7" s="1"/>
  <c r="G1235" i="7" s="1"/>
  <c r="F1233" i="7"/>
  <c r="D1233" i="7"/>
  <c r="G1233" i="7" s="1"/>
  <c r="D1230" i="7"/>
  <c r="C1230" i="7"/>
  <c r="F1230" i="7" s="1"/>
  <c r="G1230" i="7" s="1"/>
  <c r="F1227" i="7"/>
  <c r="D1227" i="7"/>
  <c r="G1227" i="7" s="1"/>
  <c r="D1224" i="7"/>
  <c r="C1224" i="7"/>
  <c r="F1224" i="7" s="1"/>
  <c r="G1224" i="7" s="1"/>
  <c r="F1222" i="7"/>
  <c r="D1222" i="7"/>
  <c r="G1222" i="7" s="1"/>
  <c r="D1219" i="7"/>
  <c r="C1219" i="7"/>
  <c r="F1219" i="7" s="1"/>
  <c r="G1219" i="7" s="1"/>
  <c r="F1217" i="7"/>
  <c r="D1217" i="7"/>
  <c r="G1217" i="7" s="1"/>
  <c r="D1214" i="7"/>
  <c r="C1214" i="7"/>
  <c r="F1214" i="7" s="1"/>
  <c r="G1214" i="7" s="1"/>
  <c r="F1212" i="7"/>
  <c r="D1212" i="7"/>
  <c r="G1212" i="7" s="1"/>
  <c r="D1209" i="7"/>
  <c r="C1209" i="7"/>
  <c r="F1209" i="7" s="1"/>
  <c r="G1209" i="7" s="1"/>
  <c r="F1207" i="7"/>
  <c r="D1207" i="7"/>
  <c r="G1207" i="7" s="1"/>
  <c r="D1204" i="7"/>
  <c r="C1204" i="7"/>
  <c r="F1204" i="7" s="1"/>
  <c r="G1204" i="7" s="1"/>
  <c r="F1201" i="7"/>
  <c r="D1201" i="7"/>
  <c r="G1201" i="7" s="1"/>
  <c r="D1198" i="7"/>
  <c r="C1198" i="7"/>
  <c r="F1198" i="7" s="1"/>
  <c r="G1198" i="7" s="1"/>
  <c r="F1196" i="7"/>
  <c r="D1196" i="7"/>
  <c r="G1196" i="7" s="1"/>
  <c r="D1193" i="7"/>
  <c r="C1193" i="7"/>
  <c r="F1193" i="7" s="1"/>
  <c r="G1193" i="7" s="1"/>
  <c r="F1191" i="7"/>
  <c r="D1191" i="7"/>
  <c r="G1191" i="7" s="1"/>
  <c r="D1188" i="7"/>
  <c r="C1188" i="7"/>
  <c r="F1188" i="7" s="1"/>
  <c r="G1188" i="7" s="1"/>
  <c r="F1186" i="7"/>
  <c r="D1186" i="7"/>
  <c r="G1186" i="7" s="1"/>
  <c r="D1183" i="7"/>
  <c r="C1183" i="7"/>
  <c r="F1183" i="7" s="1"/>
  <c r="G1183" i="7" s="1"/>
  <c r="F1181" i="7"/>
  <c r="D1181" i="7"/>
  <c r="G1181" i="7" s="1"/>
  <c r="D1178" i="7"/>
  <c r="C1178" i="7"/>
  <c r="F1178" i="7" s="1"/>
  <c r="G1178" i="7" s="1"/>
  <c r="F1175" i="7"/>
  <c r="D1175" i="7"/>
  <c r="G1175" i="7" s="1"/>
  <c r="D1172" i="7"/>
  <c r="C1172" i="7"/>
  <c r="F1172" i="7" s="1"/>
  <c r="G1172" i="7" s="1"/>
  <c r="F1170" i="7"/>
  <c r="D1170" i="7"/>
  <c r="G1170" i="7" s="1"/>
  <c r="D1167" i="7"/>
  <c r="C1167" i="7"/>
  <c r="F1167" i="7" s="1"/>
  <c r="G1167" i="7" s="1"/>
  <c r="F1165" i="7"/>
  <c r="D1165" i="7"/>
  <c r="G1165" i="7" s="1"/>
  <c r="D1162" i="7"/>
  <c r="C1162" i="7"/>
  <c r="F1162" i="7" s="1"/>
  <c r="G1162" i="7" s="1"/>
  <c r="F1160" i="7"/>
  <c r="D1160" i="7"/>
  <c r="G1160" i="7" s="1"/>
  <c r="D1157" i="7"/>
  <c r="C1157" i="7"/>
  <c r="F1157" i="7" s="1"/>
  <c r="G1157" i="7" s="1"/>
  <c r="F1155" i="7"/>
  <c r="D1155" i="7"/>
  <c r="G1155" i="7" s="1"/>
  <c r="D1152" i="7"/>
  <c r="C1152" i="7"/>
  <c r="F1152" i="7" s="1"/>
  <c r="G1152" i="7" s="1"/>
  <c r="F1150" i="7"/>
  <c r="D1150" i="7"/>
  <c r="G1150" i="7" s="1"/>
  <c r="D1147" i="7"/>
  <c r="C1147" i="7"/>
  <c r="F1147" i="7" s="1"/>
  <c r="G1147" i="7" s="1"/>
  <c r="F1145" i="7"/>
  <c r="D1145" i="7"/>
  <c r="G1145" i="7" s="1"/>
  <c r="D1142" i="7"/>
  <c r="C1142" i="7"/>
  <c r="F1142" i="7" s="1"/>
  <c r="G1142" i="7" s="1"/>
  <c r="F1140" i="7"/>
  <c r="D1140" i="7"/>
  <c r="G1140" i="7" s="1"/>
  <c r="D1137" i="7"/>
  <c r="C1137" i="7"/>
  <c r="F1137" i="7" s="1"/>
  <c r="G1137" i="7" s="1"/>
  <c r="F1134" i="7"/>
  <c r="D1134" i="7"/>
  <c r="G1134" i="7" s="1"/>
  <c r="D1131" i="7"/>
  <c r="C1131" i="7"/>
  <c r="F1131" i="7" s="1"/>
  <c r="G1131" i="7" s="1"/>
  <c r="F1129" i="7"/>
  <c r="D1129" i="7"/>
  <c r="G1129" i="7" s="1"/>
  <c r="D1126" i="7"/>
  <c r="C1126" i="7"/>
  <c r="F1126" i="7" s="1"/>
  <c r="G1126" i="7" s="1"/>
  <c r="F1124" i="7"/>
  <c r="D1124" i="7"/>
  <c r="G1124" i="7" s="1"/>
  <c r="D1121" i="7"/>
  <c r="C1121" i="7"/>
  <c r="F1121" i="7" s="1"/>
  <c r="G1121" i="7" s="1"/>
  <c r="F1119" i="7"/>
  <c r="D1119" i="7"/>
  <c r="G1119" i="7" s="1"/>
  <c r="D1116" i="7"/>
  <c r="C1116" i="7"/>
  <c r="F1116" i="7" s="1"/>
  <c r="G1116" i="7" s="1"/>
  <c r="F1114" i="7"/>
  <c r="D1114" i="7"/>
  <c r="G1114" i="7" s="1"/>
  <c r="D1111" i="7"/>
  <c r="C1111" i="7"/>
  <c r="F1111" i="7" s="1"/>
  <c r="G1111" i="7" s="1"/>
  <c r="F1109" i="7"/>
  <c r="D1109" i="7"/>
  <c r="G1109" i="7" s="1"/>
  <c r="D1106" i="7"/>
  <c r="C1106" i="7"/>
  <c r="F1106" i="7" s="1"/>
  <c r="G1106" i="7" s="1"/>
  <c r="F1104" i="7"/>
  <c r="D1104" i="7"/>
  <c r="G1104" i="7" s="1"/>
  <c r="D1101" i="7"/>
  <c r="C1101" i="7"/>
  <c r="F1101" i="7" s="1"/>
  <c r="G1101" i="7" s="1"/>
  <c r="F1099" i="7"/>
  <c r="D1099" i="7"/>
  <c r="G1099" i="7" s="1"/>
  <c r="D1096" i="7"/>
  <c r="C1096" i="7"/>
  <c r="F1096" i="7" s="1"/>
  <c r="G1096" i="7" s="1"/>
  <c r="F1094" i="7"/>
  <c r="D1094" i="7"/>
  <c r="G1094" i="7" s="1"/>
  <c r="D1091" i="7"/>
  <c r="C1091" i="7"/>
  <c r="F1091" i="7" s="1"/>
  <c r="G1091" i="7" s="1"/>
  <c r="F1089" i="7"/>
  <c r="D1089" i="7"/>
  <c r="G1089" i="7" s="1"/>
  <c r="D1086" i="7"/>
  <c r="C1086" i="7"/>
  <c r="F1086" i="7" s="1"/>
  <c r="G1086" i="7" s="1"/>
  <c r="F1084" i="7"/>
  <c r="D1084" i="7"/>
  <c r="G1084" i="7" s="1"/>
  <c r="D1081" i="7"/>
  <c r="C1081" i="7"/>
  <c r="F1081" i="7" s="1"/>
  <c r="G1081" i="7" s="1"/>
  <c r="F1079" i="7"/>
  <c r="D1079" i="7"/>
  <c r="G1079" i="7" s="1"/>
  <c r="D1076" i="7"/>
  <c r="C1076" i="7"/>
  <c r="F1076" i="7" s="1"/>
  <c r="G1076" i="7" s="1"/>
  <c r="F1074" i="7"/>
  <c r="D1074" i="7"/>
  <c r="G1074" i="7" s="1"/>
  <c r="D1071" i="7"/>
  <c r="C1071" i="7"/>
  <c r="F1071" i="7" s="1"/>
  <c r="G1071" i="7" s="1"/>
  <c r="F1069" i="7"/>
  <c r="D1069" i="7"/>
  <c r="G1069" i="7" s="1"/>
  <c r="D1066" i="7"/>
  <c r="C1066" i="7"/>
  <c r="F1066" i="7" s="1"/>
  <c r="G1066" i="7" s="1"/>
  <c r="F1064" i="7"/>
  <c r="D1064" i="7"/>
  <c r="G1064" i="7" s="1"/>
  <c r="D1061" i="7"/>
  <c r="C1061" i="7"/>
  <c r="F1061" i="7" s="1"/>
  <c r="G1061" i="7" s="1"/>
  <c r="F1059" i="7"/>
  <c r="D1059" i="7"/>
  <c r="G1059" i="7" s="1"/>
  <c r="D1056" i="7"/>
  <c r="C1056" i="7"/>
  <c r="F1056" i="7" s="1"/>
  <c r="G1056" i="7" s="1"/>
  <c r="F1054" i="7"/>
  <c r="D1054" i="7"/>
  <c r="G1054" i="7" s="1"/>
  <c r="D1051" i="7"/>
  <c r="C1051" i="7"/>
  <c r="F1051" i="7" s="1"/>
  <c r="G1051" i="7" s="1"/>
  <c r="F1049" i="7"/>
  <c r="D1049" i="7"/>
  <c r="G1049" i="7" s="1"/>
  <c r="D1046" i="7"/>
  <c r="C1046" i="7"/>
  <c r="F1046" i="7" s="1"/>
  <c r="G1046" i="7" s="1"/>
  <c r="F1044" i="7"/>
  <c r="D1044" i="7"/>
  <c r="G1044" i="7" s="1"/>
  <c r="D1041" i="7"/>
  <c r="C1041" i="7"/>
  <c r="F1041" i="7" s="1"/>
  <c r="G1041" i="7" s="1"/>
  <c r="F1039" i="7"/>
  <c r="D1039" i="7"/>
  <c r="G1039" i="7" s="1"/>
  <c r="D1036" i="7"/>
  <c r="C1036" i="7"/>
  <c r="F1036" i="7" s="1"/>
  <c r="G1036" i="7" s="1"/>
  <c r="F1034" i="7"/>
  <c r="D1034" i="7"/>
  <c r="G1034" i="7" s="1"/>
  <c r="D1031" i="7"/>
  <c r="C1031" i="7"/>
  <c r="F1031" i="7" s="1"/>
  <c r="G1031" i="7" s="1"/>
  <c r="F1029" i="7"/>
  <c r="D1029" i="7"/>
  <c r="G1029" i="7" s="1"/>
  <c r="D1026" i="7"/>
  <c r="C1026" i="7"/>
  <c r="F1026" i="7" s="1"/>
  <c r="G1026" i="7" s="1"/>
  <c r="F1024" i="7"/>
  <c r="D1024" i="7"/>
  <c r="G1024" i="7" s="1"/>
  <c r="D1021" i="7"/>
  <c r="C1021" i="7"/>
  <c r="F1021" i="7" s="1"/>
  <c r="G1021" i="7" s="1"/>
  <c r="F1019" i="7"/>
  <c r="D1019" i="7"/>
  <c r="G1019" i="7" s="1"/>
  <c r="D1016" i="7"/>
  <c r="C1016" i="7"/>
  <c r="F1016" i="7" s="1"/>
  <c r="G1016" i="7" s="1"/>
  <c r="F1014" i="7"/>
  <c r="D1014" i="7"/>
  <c r="G1014" i="7" s="1"/>
  <c r="D1011" i="7"/>
  <c r="C1011" i="7"/>
  <c r="F1011" i="7" s="1"/>
  <c r="G1011" i="7" s="1"/>
  <c r="F1009" i="7"/>
  <c r="D1009" i="7"/>
  <c r="G1009" i="7" s="1"/>
  <c r="D1006" i="7"/>
  <c r="C1006" i="7"/>
  <c r="F1006" i="7" s="1"/>
  <c r="G1006" i="7" s="1"/>
  <c r="F1004" i="7"/>
  <c r="D1004" i="7"/>
  <c r="G1004" i="7" s="1"/>
  <c r="D1001" i="7"/>
  <c r="C1001" i="7"/>
  <c r="F1001" i="7" s="1"/>
  <c r="G1001" i="7" s="1"/>
  <c r="F999" i="7"/>
  <c r="D999" i="7"/>
  <c r="G999" i="7" s="1"/>
  <c r="D996" i="7"/>
  <c r="C996" i="7"/>
  <c r="F996" i="7" s="1"/>
  <c r="G996" i="7" s="1"/>
  <c r="F994" i="7"/>
  <c r="D994" i="7"/>
  <c r="G994" i="7" s="1"/>
  <c r="D991" i="7"/>
  <c r="C991" i="7"/>
  <c r="F991" i="7" s="1"/>
  <c r="G991" i="7" s="1"/>
  <c r="I990" i="7"/>
  <c r="F989" i="7"/>
  <c r="D989" i="7"/>
  <c r="G989" i="7" s="1"/>
  <c r="C986" i="7"/>
  <c r="F984" i="7"/>
  <c r="D984" i="7"/>
  <c r="F981" i="7"/>
  <c r="C981" i="7"/>
  <c r="F979" i="7"/>
  <c r="D979" i="7"/>
  <c r="G979" i="7" s="1"/>
  <c r="C976" i="7"/>
  <c r="F974" i="7"/>
  <c r="D974" i="7"/>
  <c r="F971" i="7"/>
  <c r="C971" i="7"/>
  <c r="F969" i="7"/>
  <c r="D969" i="7"/>
  <c r="G969" i="7" s="1"/>
  <c r="C966" i="7"/>
  <c r="F964" i="7"/>
  <c r="D964" i="7"/>
  <c r="F963" i="7"/>
  <c r="F962" i="7"/>
  <c r="F961" i="7"/>
  <c r="C961" i="7"/>
  <c r="F959" i="7"/>
  <c r="D959" i="7"/>
  <c r="G959" i="7" s="1"/>
  <c r="F958" i="7"/>
  <c r="F957" i="7"/>
  <c r="C956" i="7"/>
  <c r="F953" i="7"/>
  <c r="D953" i="7"/>
  <c r="F950" i="7"/>
  <c r="C950" i="7"/>
  <c r="F948" i="7"/>
  <c r="D948" i="7"/>
  <c r="G948" i="7" s="1"/>
  <c r="C945" i="7"/>
  <c r="F943" i="7"/>
  <c r="D943" i="7"/>
  <c r="F940" i="7"/>
  <c r="C940" i="7"/>
  <c r="F938" i="7"/>
  <c r="D938" i="7"/>
  <c r="G938" i="7" s="1"/>
  <c r="C935" i="7"/>
  <c r="F933" i="7"/>
  <c r="D933" i="7"/>
  <c r="F930" i="7"/>
  <c r="C930" i="7"/>
  <c r="F927" i="7"/>
  <c r="D927" i="7"/>
  <c r="G927" i="7" s="1"/>
  <c r="C924" i="7"/>
  <c r="F922" i="7"/>
  <c r="D922" i="7"/>
  <c r="F919" i="7"/>
  <c r="C919" i="7"/>
  <c r="F917" i="7"/>
  <c r="D917" i="7"/>
  <c r="G917" i="7" s="1"/>
  <c r="C914" i="7"/>
  <c r="F912" i="7"/>
  <c r="D912" i="7"/>
  <c r="C909" i="7"/>
  <c r="F907" i="7"/>
  <c r="D907" i="7"/>
  <c r="G907" i="7" s="1"/>
  <c r="C904" i="7"/>
  <c r="F902" i="7"/>
  <c r="D902" i="7"/>
  <c r="G902" i="7" s="1"/>
  <c r="C899" i="7"/>
  <c r="F897" i="7"/>
  <c r="D897" i="7"/>
  <c r="G897" i="7" s="1"/>
  <c r="C894" i="7"/>
  <c r="F892" i="7"/>
  <c r="D892" i="7"/>
  <c r="G892" i="7" s="1"/>
  <c r="C889" i="7"/>
  <c r="F887" i="7"/>
  <c r="D887" i="7"/>
  <c r="G887" i="7" s="1"/>
  <c r="C884" i="7"/>
  <c r="F882" i="7"/>
  <c r="D882" i="7"/>
  <c r="G882" i="7" s="1"/>
  <c r="C879" i="7"/>
  <c r="F877" i="7"/>
  <c r="D877" i="7"/>
  <c r="G877" i="7" s="1"/>
  <c r="C874" i="7"/>
  <c r="F872" i="7"/>
  <c r="D872" i="7"/>
  <c r="G872" i="7" s="1"/>
  <c r="F869" i="7"/>
  <c r="D869" i="7"/>
  <c r="G869" i="7" s="1"/>
  <c r="F867" i="7"/>
  <c r="D867" i="7"/>
  <c r="G867" i="7" s="1"/>
  <c r="D864" i="7"/>
  <c r="C864" i="7"/>
  <c r="F864" i="7" s="1"/>
  <c r="F862" i="7"/>
  <c r="D862" i="7"/>
  <c r="G862" i="7" s="1"/>
  <c r="D859" i="7"/>
  <c r="C859" i="7"/>
  <c r="F859" i="7" s="1"/>
  <c r="F857" i="7"/>
  <c r="D857" i="7"/>
  <c r="G857" i="7" s="1"/>
  <c r="D854" i="7"/>
  <c r="C854" i="7"/>
  <c r="F854" i="7" s="1"/>
  <c r="F852" i="7"/>
  <c r="D852" i="7"/>
  <c r="G852" i="7" s="1"/>
  <c r="D849" i="7"/>
  <c r="C849" i="7"/>
  <c r="F849" i="7" s="1"/>
  <c r="F847" i="7"/>
  <c r="D847" i="7"/>
  <c r="G847" i="7" s="1"/>
  <c r="D844" i="7"/>
  <c r="C844" i="7"/>
  <c r="F844" i="7" s="1"/>
  <c r="F842" i="7"/>
  <c r="D842" i="7"/>
  <c r="G842" i="7" s="1"/>
  <c r="D839" i="7"/>
  <c r="C839" i="7"/>
  <c r="F839" i="7" s="1"/>
  <c r="F837" i="7"/>
  <c r="D837" i="7"/>
  <c r="G837" i="7" s="1"/>
  <c r="D834" i="7"/>
  <c r="C834" i="7"/>
  <c r="F834" i="7" s="1"/>
  <c r="F831" i="7"/>
  <c r="D831" i="7"/>
  <c r="G831" i="7" s="1"/>
  <c r="D828" i="7"/>
  <c r="C828" i="7"/>
  <c r="F828" i="7" s="1"/>
  <c r="F826" i="7"/>
  <c r="D826" i="7"/>
  <c r="G826" i="7" s="1"/>
  <c r="D823" i="7"/>
  <c r="C823" i="7"/>
  <c r="F823" i="7" s="1"/>
  <c r="F821" i="7"/>
  <c r="D821" i="7"/>
  <c r="G821" i="7" s="1"/>
  <c r="D818" i="7"/>
  <c r="C818" i="7"/>
  <c r="F818" i="7" s="1"/>
  <c r="F816" i="7"/>
  <c r="D816" i="7"/>
  <c r="G816" i="7" s="1"/>
  <c r="D813" i="7"/>
  <c r="C813" i="7"/>
  <c r="F813" i="7" s="1"/>
  <c r="F811" i="7"/>
  <c r="D811" i="7"/>
  <c r="G811" i="7" s="1"/>
  <c r="D808" i="7"/>
  <c r="C808" i="7"/>
  <c r="F808" i="7" s="1"/>
  <c r="F806" i="7"/>
  <c r="D806" i="7"/>
  <c r="G806" i="7" s="1"/>
  <c r="D803" i="7"/>
  <c r="C803" i="7"/>
  <c r="F803" i="7" s="1"/>
  <c r="F801" i="7"/>
  <c r="D801" i="7"/>
  <c r="G801" i="7" s="1"/>
  <c r="D798" i="7"/>
  <c r="C798" i="7"/>
  <c r="F798" i="7" s="1"/>
  <c r="F796" i="7"/>
  <c r="D796" i="7"/>
  <c r="G796" i="7" s="1"/>
  <c r="D793" i="7"/>
  <c r="C793" i="7"/>
  <c r="F793" i="7" s="1"/>
  <c r="F791" i="7"/>
  <c r="D791" i="7"/>
  <c r="G791" i="7" s="1"/>
  <c r="D788" i="7"/>
  <c r="C788" i="7"/>
  <c r="F788" i="7" s="1"/>
  <c r="F786" i="7"/>
  <c r="D786" i="7"/>
  <c r="G786" i="7" s="1"/>
  <c r="D783" i="7"/>
  <c r="C783" i="7"/>
  <c r="F783" i="7" s="1"/>
  <c r="F781" i="7"/>
  <c r="D781" i="7"/>
  <c r="G781" i="7" s="1"/>
  <c r="D778" i="7"/>
  <c r="C778" i="7"/>
  <c r="F778" i="7" s="1"/>
  <c r="F776" i="7"/>
  <c r="D776" i="7"/>
  <c r="G776" i="7" s="1"/>
  <c r="D773" i="7"/>
  <c r="C773" i="7"/>
  <c r="F773" i="7" s="1"/>
  <c r="F771" i="7"/>
  <c r="D771" i="7"/>
  <c r="G771" i="7" s="1"/>
  <c r="D768" i="7"/>
  <c r="C768" i="7"/>
  <c r="F768" i="7" s="1"/>
  <c r="F766" i="7"/>
  <c r="D766" i="7"/>
  <c r="G766" i="7" s="1"/>
  <c r="D763" i="7"/>
  <c r="C763" i="7"/>
  <c r="F763" i="7" s="1"/>
  <c r="F761" i="7"/>
  <c r="D761" i="7"/>
  <c r="G761" i="7" s="1"/>
  <c r="D758" i="7"/>
  <c r="C758" i="7"/>
  <c r="F758" i="7" s="1"/>
  <c r="F756" i="7"/>
  <c r="D756" i="7"/>
  <c r="G756" i="7" s="1"/>
  <c r="D753" i="7"/>
  <c r="C753" i="7"/>
  <c r="F753" i="7" s="1"/>
  <c r="F751" i="7"/>
  <c r="D751" i="7"/>
  <c r="G751" i="7" s="1"/>
  <c r="D748" i="7"/>
  <c r="C748" i="7"/>
  <c r="F748" i="7" s="1"/>
  <c r="F746" i="7"/>
  <c r="D746" i="7"/>
  <c r="G746" i="7" s="1"/>
  <c r="D743" i="7"/>
  <c r="C743" i="7"/>
  <c r="F743" i="7" s="1"/>
  <c r="F741" i="7"/>
  <c r="D741" i="7"/>
  <c r="G741" i="7" s="1"/>
  <c r="D738" i="7"/>
  <c r="C738" i="7"/>
  <c r="F738" i="7" s="1"/>
  <c r="F736" i="7"/>
  <c r="D736" i="7"/>
  <c r="G736" i="7" s="1"/>
  <c r="D733" i="7"/>
  <c r="C733" i="7"/>
  <c r="F733" i="7" s="1"/>
  <c r="F731" i="7"/>
  <c r="D731" i="7"/>
  <c r="G731" i="7" s="1"/>
  <c r="D728" i="7"/>
  <c r="C728" i="7"/>
  <c r="F728" i="7" s="1"/>
  <c r="F726" i="7"/>
  <c r="D726" i="7"/>
  <c r="G726" i="7" s="1"/>
  <c r="D723" i="7"/>
  <c r="C723" i="7"/>
  <c r="F723" i="7" s="1"/>
  <c r="F721" i="7"/>
  <c r="D721" i="7"/>
  <c r="G721" i="7" s="1"/>
  <c r="D718" i="7"/>
  <c r="C718" i="7"/>
  <c r="F718" i="7" s="1"/>
  <c r="F716" i="7"/>
  <c r="D716" i="7"/>
  <c r="G716" i="7" s="1"/>
  <c r="D713" i="7"/>
  <c r="C713" i="7"/>
  <c r="F713" i="7" s="1"/>
  <c r="F711" i="7"/>
  <c r="D711" i="7"/>
  <c r="G711" i="7" s="1"/>
  <c r="D708" i="7"/>
  <c r="C708" i="7"/>
  <c r="F708" i="7" s="1"/>
  <c r="F706" i="7"/>
  <c r="D706" i="7"/>
  <c r="G706" i="7" s="1"/>
  <c r="D703" i="7"/>
  <c r="C703" i="7"/>
  <c r="F703" i="7" s="1"/>
  <c r="F701" i="7"/>
  <c r="D701" i="7"/>
  <c r="G701" i="7" s="1"/>
  <c r="D698" i="7"/>
  <c r="C698" i="7"/>
  <c r="F698" i="7" s="1"/>
  <c r="F696" i="7"/>
  <c r="D696" i="7"/>
  <c r="G696" i="7" s="1"/>
  <c r="D693" i="7"/>
  <c r="C693" i="7"/>
  <c r="F693" i="7" s="1"/>
  <c r="F691" i="7"/>
  <c r="D691" i="7"/>
  <c r="G691" i="7" s="1"/>
  <c r="D688" i="7"/>
  <c r="C688" i="7"/>
  <c r="F688" i="7" s="1"/>
  <c r="F686" i="7"/>
  <c r="D686" i="7"/>
  <c r="G686" i="7" s="1"/>
  <c r="D683" i="7"/>
  <c r="C683" i="7"/>
  <c r="F683" i="7" s="1"/>
  <c r="F681" i="7"/>
  <c r="D681" i="7"/>
  <c r="G681" i="7" s="1"/>
  <c r="D678" i="7"/>
  <c r="C678" i="7"/>
  <c r="F678" i="7" s="1"/>
  <c r="F676" i="7"/>
  <c r="D676" i="7"/>
  <c r="G676" i="7" s="1"/>
  <c r="D673" i="7"/>
  <c r="C673" i="7"/>
  <c r="F673" i="7" s="1"/>
  <c r="F671" i="7"/>
  <c r="D671" i="7"/>
  <c r="G671" i="7" s="1"/>
  <c r="D668" i="7"/>
  <c r="C668" i="7"/>
  <c r="F668" i="7" s="1"/>
  <c r="F666" i="7"/>
  <c r="D666" i="7"/>
  <c r="G666" i="7" s="1"/>
  <c r="D663" i="7"/>
  <c r="C663" i="7"/>
  <c r="F663" i="7" s="1"/>
  <c r="F661" i="7"/>
  <c r="D661" i="7"/>
  <c r="G661" i="7" s="1"/>
  <c r="D658" i="7"/>
  <c r="C658" i="7"/>
  <c r="F658" i="7" s="1"/>
  <c r="F656" i="7"/>
  <c r="D656" i="7"/>
  <c r="G656" i="7" s="1"/>
  <c r="D653" i="7"/>
  <c r="C653" i="7"/>
  <c r="F653" i="7" s="1"/>
  <c r="F651" i="7"/>
  <c r="D651" i="7"/>
  <c r="G651" i="7" s="1"/>
  <c r="D648" i="7"/>
  <c r="C648" i="7"/>
  <c r="F648" i="7" s="1"/>
  <c r="F646" i="7"/>
  <c r="D646" i="7"/>
  <c r="G646" i="7" s="1"/>
  <c r="D643" i="7"/>
  <c r="C643" i="7"/>
  <c r="F643" i="7" s="1"/>
  <c r="F641" i="7"/>
  <c r="D641" i="7"/>
  <c r="G641" i="7" s="1"/>
  <c r="D638" i="7"/>
  <c r="C638" i="7"/>
  <c r="F638" i="7" s="1"/>
  <c r="F636" i="7"/>
  <c r="D636" i="7"/>
  <c r="G636" i="7" s="1"/>
  <c r="D633" i="7"/>
  <c r="C633" i="7"/>
  <c r="F633" i="7" s="1"/>
  <c r="F631" i="7"/>
  <c r="D631" i="7"/>
  <c r="G631" i="7" s="1"/>
  <c r="D628" i="7"/>
  <c r="C628" i="7"/>
  <c r="F628" i="7" s="1"/>
  <c r="F626" i="7"/>
  <c r="D626" i="7"/>
  <c r="G626" i="7" s="1"/>
  <c r="D623" i="7"/>
  <c r="C623" i="7"/>
  <c r="F623" i="7" s="1"/>
  <c r="F621" i="7"/>
  <c r="D621" i="7"/>
  <c r="G621" i="7" s="1"/>
  <c r="D618" i="7"/>
  <c r="C618" i="7"/>
  <c r="F618" i="7" s="1"/>
  <c r="F616" i="7"/>
  <c r="D616" i="7"/>
  <c r="G616" i="7" s="1"/>
  <c r="D613" i="7"/>
  <c r="C613" i="7"/>
  <c r="F613" i="7" s="1"/>
  <c r="F609" i="7"/>
  <c r="D609" i="7"/>
  <c r="G609" i="7" s="1"/>
  <c r="F607" i="7"/>
  <c r="D607" i="7"/>
  <c r="G607" i="7" s="1"/>
  <c r="F605" i="7"/>
  <c r="D605" i="7"/>
  <c r="G605" i="7" s="1"/>
  <c r="F603" i="7"/>
  <c r="D603" i="7"/>
  <c r="G603" i="7" s="1"/>
  <c r="F601" i="7"/>
  <c r="D601" i="7"/>
  <c r="G601" i="7" s="1"/>
  <c r="F600" i="7"/>
  <c r="D600" i="7"/>
  <c r="F599" i="7"/>
  <c r="D599" i="7"/>
  <c r="D598" i="7"/>
  <c r="C598" i="7"/>
  <c r="F598" i="7" s="1"/>
  <c r="F596" i="7"/>
  <c r="D596" i="7"/>
  <c r="G596" i="7" s="1"/>
  <c r="F595" i="7"/>
  <c r="D595" i="7"/>
  <c r="F594" i="7"/>
  <c r="D594" i="7"/>
  <c r="D593" i="7"/>
  <c r="C593" i="7"/>
  <c r="F593" i="7" s="1"/>
  <c r="F591" i="7"/>
  <c r="D591" i="7"/>
  <c r="G591" i="7" s="1"/>
  <c r="F590" i="7"/>
  <c r="D590" i="7"/>
  <c r="F589" i="7"/>
  <c r="D589" i="7"/>
  <c r="D588" i="7"/>
  <c r="C588" i="7"/>
  <c r="F588" i="7" s="1"/>
  <c r="F586" i="7"/>
  <c r="D586" i="7"/>
  <c r="G586" i="7" s="1"/>
  <c r="F585" i="7"/>
  <c r="D585" i="7"/>
  <c r="F584" i="7"/>
  <c r="D584" i="7"/>
  <c r="D583" i="7"/>
  <c r="C583" i="7"/>
  <c r="F583" i="7" s="1"/>
  <c r="F581" i="7"/>
  <c r="D581" i="7"/>
  <c r="G581" i="7" s="1"/>
  <c r="F580" i="7"/>
  <c r="D580" i="7"/>
  <c r="F579" i="7"/>
  <c r="D579" i="7"/>
  <c r="D578" i="7"/>
  <c r="C578" i="7"/>
  <c r="F578" i="7" s="1"/>
  <c r="F576" i="7"/>
  <c r="D576" i="7"/>
  <c r="G576" i="7" s="1"/>
  <c r="F575" i="7"/>
  <c r="D575" i="7"/>
  <c r="F574" i="7"/>
  <c r="D574" i="7"/>
  <c r="D573" i="7"/>
  <c r="C573" i="7"/>
  <c r="F573" i="7" s="1"/>
  <c r="F571" i="7"/>
  <c r="D571" i="7"/>
  <c r="G571" i="7" s="1"/>
  <c r="F570" i="7"/>
  <c r="D570" i="7"/>
  <c r="F569" i="7"/>
  <c r="D569" i="7"/>
  <c r="D568" i="7"/>
  <c r="C568" i="7"/>
  <c r="F568" i="7" s="1"/>
  <c r="F566" i="7"/>
  <c r="D566" i="7"/>
  <c r="G566" i="7" s="1"/>
  <c r="F565" i="7"/>
  <c r="D565" i="7"/>
  <c r="F564" i="7"/>
  <c r="D564" i="7"/>
  <c r="D563" i="7"/>
  <c r="C563" i="7"/>
  <c r="F563" i="7" s="1"/>
  <c r="F561" i="7"/>
  <c r="D561" i="7"/>
  <c r="G561" i="7" s="1"/>
  <c r="F560" i="7"/>
  <c r="D560" i="7"/>
  <c r="F559" i="7"/>
  <c r="D559" i="7"/>
  <c r="D558" i="7"/>
  <c r="C558" i="7"/>
  <c r="F558" i="7" s="1"/>
  <c r="F556" i="7"/>
  <c r="D556" i="7"/>
  <c r="G556" i="7" s="1"/>
  <c r="F555" i="7"/>
  <c r="D555" i="7"/>
  <c r="F554" i="7"/>
  <c r="D554" i="7"/>
  <c r="G554" i="7" s="1"/>
  <c r="F552" i="7"/>
  <c r="D552" i="7"/>
  <c r="G552" i="7" s="1"/>
  <c r="F551" i="7"/>
  <c r="D551" i="7"/>
  <c r="F550" i="7"/>
  <c r="D550" i="7"/>
  <c r="C549" i="7"/>
  <c r="F547" i="7"/>
  <c r="D547" i="7"/>
  <c r="G547" i="7" s="1"/>
  <c r="F546" i="7"/>
  <c r="F545" i="7"/>
  <c r="C544" i="7"/>
  <c r="F543" i="7"/>
  <c r="F542" i="7"/>
  <c r="D542" i="7"/>
  <c r="G542" i="7" s="1"/>
  <c r="F541" i="7"/>
  <c r="F540" i="7"/>
  <c r="D539" i="7"/>
  <c r="G539" i="7" s="1"/>
  <c r="C539" i="7"/>
  <c r="F539" i="7" s="1"/>
  <c r="F537" i="7"/>
  <c r="D537" i="7"/>
  <c r="G537" i="7" s="1"/>
  <c r="F536" i="7"/>
  <c r="F535" i="7"/>
  <c r="D534" i="7"/>
  <c r="G534" i="7" s="1"/>
  <c r="C534" i="7"/>
  <c r="F534" i="7" s="1"/>
  <c r="F531" i="7"/>
  <c r="D531" i="7"/>
  <c r="G531" i="7" s="1"/>
  <c r="D530" i="7"/>
  <c r="D529" i="7"/>
  <c r="D528" i="7"/>
  <c r="G528" i="7" s="1"/>
  <c r="C528" i="7"/>
  <c r="F528" i="7" s="1"/>
  <c r="F526" i="7"/>
  <c r="D526" i="7"/>
  <c r="G526" i="7" s="1"/>
  <c r="D525" i="7"/>
  <c r="D524" i="7"/>
  <c r="D523" i="7"/>
  <c r="G523" i="7" s="1"/>
  <c r="C523" i="7"/>
  <c r="F523" i="7" s="1"/>
  <c r="F521" i="7"/>
  <c r="D521" i="7"/>
  <c r="G521" i="7" s="1"/>
  <c r="D520" i="7"/>
  <c r="D519" i="7"/>
  <c r="D518" i="7"/>
  <c r="G518" i="7" s="1"/>
  <c r="C518" i="7"/>
  <c r="F518" i="7" s="1"/>
  <c r="F516" i="7"/>
  <c r="D516" i="7"/>
  <c r="G516" i="7" s="1"/>
  <c r="D515" i="7"/>
  <c r="D514" i="7"/>
  <c r="D513" i="7"/>
  <c r="G513" i="7" s="1"/>
  <c r="C513" i="7"/>
  <c r="F513" i="7" s="1"/>
  <c r="F511" i="7"/>
  <c r="D511" i="7"/>
  <c r="G511" i="7" s="1"/>
  <c r="D510" i="7"/>
  <c r="D509" i="7"/>
  <c r="D508" i="7"/>
  <c r="G508" i="7" s="1"/>
  <c r="C508" i="7"/>
  <c r="F508" i="7" s="1"/>
  <c r="F505" i="7"/>
  <c r="D505" i="7"/>
  <c r="G505" i="7" s="1"/>
  <c r="F504" i="7"/>
  <c r="D504" i="7"/>
  <c r="F503" i="7"/>
  <c r="D503" i="7"/>
  <c r="D502" i="7"/>
  <c r="G502" i="7" s="1"/>
  <c r="C502" i="7"/>
  <c r="F502" i="7" s="1"/>
  <c r="F500" i="7"/>
  <c r="D500" i="7"/>
  <c r="G500" i="7" s="1"/>
  <c r="D499" i="7"/>
  <c r="D498" i="7"/>
  <c r="D497" i="7"/>
  <c r="G497" i="7" s="1"/>
  <c r="C497" i="7"/>
  <c r="F497" i="7" s="1"/>
  <c r="F495" i="7"/>
  <c r="D495" i="7"/>
  <c r="G495" i="7" s="1"/>
  <c r="D492" i="7"/>
  <c r="G492" i="7" s="1"/>
  <c r="C492" i="7"/>
  <c r="F492" i="7" s="1"/>
  <c r="F490" i="7"/>
  <c r="D490" i="7"/>
  <c r="G490" i="7" s="1"/>
  <c r="D487" i="7"/>
  <c r="G487" i="7" s="1"/>
  <c r="C487" i="7"/>
  <c r="F487" i="7" s="1"/>
  <c r="F485" i="7"/>
  <c r="D485" i="7"/>
  <c r="G485" i="7" s="1"/>
  <c r="D482" i="7"/>
  <c r="G482" i="7" s="1"/>
  <c r="C482" i="7"/>
  <c r="F482" i="7" s="1"/>
  <c r="F480" i="7"/>
  <c r="D480" i="7"/>
  <c r="G480" i="7" s="1"/>
  <c r="D477" i="7"/>
  <c r="G477" i="7" s="1"/>
  <c r="C477" i="7"/>
  <c r="F477" i="7" s="1"/>
  <c r="F475" i="7"/>
  <c r="D475" i="7"/>
  <c r="G475" i="7" s="1"/>
  <c r="D472" i="7"/>
  <c r="G472" i="7" s="1"/>
  <c r="C472" i="7"/>
  <c r="F472" i="7" s="1"/>
  <c r="F470" i="7"/>
  <c r="D470" i="7"/>
  <c r="G470" i="7" s="1"/>
  <c r="D467" i="7"/>
  <c r="G467" i="7" s="1"/>
  <c r="C467" i="7"/>
  <c r="F467" i="7" s="1"/>
  <c r="F465" i="7"/>
  <c r="D465" i="7"/>
  <c r="G465" i="7" s="1"/>
  <c r="D462" i="7"/>
  <c r="G462" i="7" s="1"/>
  <c r="C462" i="7"/>
  <c r="F462" i="7" s="1"/>
  <c r="F460" i="7"/>
  <c r="D460" i="7"/>
  <c r="G460" i="7" s="1"/>
  <c r="F458" i="7"/>
  <c r="D458" i="7"/>
  <c r="G458" i="7" s="1"/>
  <c r="F456" i="7"/>
  <c r="D456" i="7"/>
  <c r="G456" i="7" s="1"/>
  <c r="C453" i="7"/>
  <c r="F451" i="7"/>
  <c r="D451" i="7"/>
  <c r="G451" i="7" s="1"/>
  <c r="C448" i="7"/>
  <c r="F446" i="7"/>
  <c r="D446" i="7"/>
  <c r="G446" i="7" s="1"/>
  <c r="D445" i="7"/>
  <c r="F444" i="7"/>
  <c r="E444" i="7"/>
  <c r="G444" i="7" s="1"/>
  <c r="D444" i="7"/>
  <c r="F442" i="7"/>
  <c r="D442" i="7"/>
  <c r="G442" i="7" s="1"/>
  <c r="D440" i="7"/>
  <c r="F439" i="7"/>
  <c r="E439" i="7"/>
  <c r="D439" i="7"/>
  <c r="C439" i="7"/>
  <c r="G439" i="7" s="1"/>
  <c r="F437" i="7"/>
  <c r="D437" i="7"/>
  <c r="G437" i="7" s="1"/>
  <c r="D436" i="7"/>
  <c r="D435" i="7"/>
  <c r="D434" i="7"/>
  <c r="C434" i="7"/>
  <c r="F434" i="7" s="1"/>
  <c r="F432" i="7"/>
  <c r="D432" i="7"/>
  <c r="G432" i="7" s="1"/>
  <c r="D431" i="7"/>
  <c r="D430" i="7"/>
  <c r="D429" i="7"/>
  <c r="C429" i="7"/>
  <c r="F429" i="7" s="1"/>
  <c r="F427" i="7"/>
  <c r="D427" i="7"/>
  <c r="G427" i="7" s="1"/>
  <c r="D426" i="7"/>
  <c r="D425" i="7"/>
  <c r="E424" i="7"/>
  <c r="C424" i="7"/>
  <c r="F424" i="7" s="1"/>
  <c r="F422" i="7"/>
  <c r="D422" i="7"/>
  <c r="G422" i="7" s="1"/>
  <c r="D421" i="7"/>
  <c r="D420" i="7"/>
  <c r="F419" i="7"/>
  <c r="E419" i="7"/>
  <c r="D419" i="7"/>
  <c r="C419" i="7"/>
  <c r="G419" i="7" s="1"/>
  <c r="F417" i="7"/>
  <c r="D417" i="7"/>
  <c r="G417" i="7" s="1"/>
  <c r="D416" i="7"/>
  <c r="D415" i="7"/>
  <c r="E414" i="7"/>
  <c r="C414" i="7"/>
  <c r="F414" i="7" s="1"/>
  <c r="F412" i="7"/>
  <c r="D412" i="7"/>
  <c r="G412" i="7" s="1"/>
  <c r="D411" i="7"/>
  <c r="D410" i="7"/>
  <c r="C409" i="7"/>
  <c r="F407" i="7"/>
  <c r="D407" i="7"/>
  <c r="G407" i="7" s="1"/>
  <c r="D406" i="7"/>
  <c r="D405" i="7"/>
  <c r="F404" i="7"/>
  <c r="E404" i="7"/>
  <c r="D404" i="7"/>
  <c r="C404" i="7"/>
  <c r="G404" i="7" s="1"/>
  <c r="F402" i="7"/>
  <c r="D402" i="7"/>
  <c r="G402" i="7" s="1"/>
  <c r="D401" i="7"/>
  <c r="D400" i="7"/>
  <c r="E399" i="7"/>
  <c r="C399" i="7"/>
  <c r="F399" i="7" s="1"/>
  <c r="F397" i="7"/>
  <c r="D397" i="7"/>
  <c r="G397" i="7" s="1"/>
  <c r="D396" i="7"/>
  <c r="D395" i="7"/>
  <c r="F394" i="7"/>
  <c r="D394" i="7"/>
  <c r="G394" i="7" s="1"/>
  <c r="F392" i="7"/>
  <c r="D392" i="7"/>
  <c r="G392" i="7" s="1"/>
  <c r="D391" i="7"/>
  <c r="D390" i="7"/>
  <c r="D389" i="7"/>
  <c r="G389" i="7" s="1"/>
  <c r="C389" i="7"/>
  <c r="F389" i="7" s="1"/>
  <c r="F387" i="7"/>
  <c r="D387" i="7"/>
  <c r="G387" i="7" s="1"/>
  <c r="F384" i="7"/>
  <c r="D384" i="7"/>
  <c r="G384" i="7" s="1"/>
  <c r="F382" i="7"/>
  <c r="D382" i="7"/>
  <c r="G382" i="7" s="1"/>
  <c r="D381" i="7"/>
  <c r="D380" i="7"/>
  <c r="C379" i="7"/>
  <c r="F377" i="7"/>
  <c r="D377" i="7"/>
  <c r="G377" i="7" s="1"/>
  <c r="F376" i="7"/>
  <c r="D376" i="7"/>
  <c r="F375" i="7"/>
  <c r="E375" i="7"/>
  <c r="D375" i="7"/>
  <c r="G375" i="7" s="1"/>
  <c r="F373" i="7"/>
  <c r="D373" i="7"/>
  <c r="G373" i="7" s="1"/>
  <c r="F372" i="7"/>
  <c r="D372" i="7"/>
  <c r="F371" i="7"/>
  <c r="E371" i="7"/>
  <c r="D371" i="7"/>
  <c r="F369" i="7"/>
  <c r="D369" i="7"/>
  <c r="G369" i="7" s="1"/>
  <c r="F368" i="7"/>
  <c r="D368" i="7"/>
  <c r="F367" i="7"/>
  <c r="D367" i="7"/>
  <c r="F366" i="7"/>
  <c r="E366" i="7"/>
  <c r="D366" i="7"/>
  <c r="C366" i="7"/>
  <c r="G366" i="7" s="1"/>
  <c r="F364" i="7"/>
  <c r="D364" i="7"/>
  <c r="G364" i="7" s="1"/>
  <c r="F363" i="7"/>
  <c r="D363" i="7"/>
  <c r="F362" i="7"/>
  <c r="E362" i="7"/>
  <c r="G362" i="7" s="1"/>
  <c r="D362" i="7"/>
  <c r="F360" i="7"/>
  <c r="D360" i="7"/>
  <c r="G360" i="7" s="1"/>
  <c r="F359" i="7"/>
  <c r="D359" i="7"/>
  <c r="F358" i="7"/>
  <c r="D358" i="7"/>
  <c r="D357" i="7"/>
  <c r="G357" i="7" s="1"/>
  <c r="C357" i="7"/>
  <c r="F357" i="7" s="1"/>
  <c r="F355" i="7"/>
  <c r="D355" i="7"/>
  <c r="G355" i="7" s="1"/>
  <c r="F354" i="7"/>
  <c r="D354" i="7"/>
  <c r="F353" i="7"/>
  <c r="D353" i="7"/>
  <c r="D352" i="7"/>
  <c r="G352" i="7" s="1"/>
  <c r="C352" i="7"/>
  <c r="F352" i="7" s="1"/>
  <c r="F350" i="7"/>
  <c r="D350" i="7"/>
  <c r="G350" i="7" s="1"/>
  <c r="F349" i="7"/>
  <c r="D349" i="7"/>
  <c r="E347" i="7"/>
  <c r="C347" i="7"/>
  <c r="F347" i="7" s="1"/>
  <c r="F345" i="7"/>
  <c r="D345" i="7"/>
  <c r="G345" i="7" s="1"/>
  <c r="F344" i="7"/>
  <c r="D344" i="7"/>
  <c r="F343" i="7"/>
  <c r="E343" i="7"/>
  <c r="D343" i="7"/>
  <c r="F341" i="7"/>
  <c r="D341" i="7"/>
  <c r="G341" i="7" s="1"/>
  <c r="F340" i="7"/>
  <c r="D340" i="7"/>
  <c r="F339" i="7"/>
  <c r="E339" i="7"/>
  <c r="D339" i="7"/>
  <c r="G339" i="7" s="1"/>
  <c r="F337" i="7"/>
  <c r="D337" i="7"/>
  <c r="G337" i="7" s="1"/>
  <c r="F336" i="7"/>
  <c r="D336" i="7"/>
  <c r="F335" i="7"/>
  <c r="D335" i="7"/>
  <c r="F334" i="7"/>
  <c r="E334" i="7"/>
  <c r="D334" i="7"/>
  <c r="C334" i="7"/>
  <c r="G334" i="7" s="1"/>
  <c r="F332" i="7"/>
  <c r="D332" i="7"/>
  <c r="G332" i="7" s="1"/>
  <c r="F331" i="7"/>
  <c r="D331" i="7"/>
  <c r="F330" i="7"/>
  <c r="D330" i="7"/>
  <c r="E329" i="7"/>
  <c r="C329" i="7"/>
  <c r="F329" i="7" s="1"/>
  <c r="F327" i="7"/>
  <c r="D327" i="7"/>
  <c r="G327" i="7" s="1"/>
  <c r="F326" i="7"/>
  <c r="D326" i="7"/>
  <c r="F325" i="7"/>
  <c r="D325" i="7"/>
  <c r="F324" i="7"/>
  <c r="E324" i="7"/>
  <c r="D324" i="7"/>
  <c r="C324" i="7"/>
  <c r="G324" i="7" s="1"/>
  <c r="F322" i="7"/>
  <c r="D322" i="7"/>
  <c r="G322" i="7" s="1"/>
  <c r="F321" i="7"/>
  <c r="D321" i="7"/>
  <c r="F320" i="7"/>
  <c r="D320" i="7"/>
  <c r="F319" i="7"/>
  <c r="E319" i="7"/>
  <c r="G319" i="7" s="1"/>
  <c r="D319" i="7"/>
  <c r="F317" i="7"/>
  <c r="D317" i="7"/>
  <c r="G317" i="7" s="1"/>
  <c r="E315" i="7"/>
  <c r="C315" i="7"/>
  <c r="F315" i="7" s="1"/>
  <c r="F313" i="7"/>
  <c r="D313" i="7"/>
  <c r="G313" i="7" s="1"/>
  <c r="F310" i="7"/>
  <c r="E310" i="7"/>
  <c r="D310" i="7"/>
  <c r="C310" i="7"/>
  <c r="G310" i="7" s="1"/>
  <c r="F308" i="7"/>
  <c r="D308" i="7"/>
  <c r="G308" i="7" s="1"/>
  <c r="E305" i="7"/>
  <c r="C305" i="7"/>
  <c r="F305" i="7" s="1"/>
  <c r="F303" i="7"/>
  <c r="D303" i="7"/>
  <c r="G303" i="7" s="1"/>
  <c r="C300" i="7"/>
  <c r="F298" i="7"/>
  <c r="D298" i="7"/>
  <c r="G298" i="7" s="1"/>
  <c r="F295" i="7"/>
  <c r="E295" i="7"/>
  <c r="D295" i="7"/>
  <c r="C295" i="7"/>
  <c r="G295" i="7" s="1"/>
  <c r="F293" i="7"/>
  <c r="D293" i="7"/>
  <c r="G293" i="7" s="1"/>
  <c r="E290" i="7"/>
  <c r="C290" i="7"/>
  <c r="F290" i="7" s="1"/>
  <c r="F288" i="7"/>
  <c r="D288" i="7"/>
  <c r="G288" i="7" s="1"/>
  <c r="F286" i="7"/>
  <c r="D286" i="7"/>
  <c r="G286" i="7" s="1"/>
  <c r="F284" i="7"/>
  <c r="D284" i="7"/>
  <c r="G284" i="7" s="1"/>
  <c r="D281" i="7"/>
  <c r="G281" i="7" s="1"/>
  <c r="C281" i="7"/>
  <c r="F281" i="7" s="1"/>
  <c r="F279" i="7"/>
  <c r="D279" i="7"/>
  <c r="G279" i="7" s="1"/>
  <c r="F277" i="7"/>
  <c r="D277" i="7"/>
  <c r="G277" i="7" s="1"/>
  <c r="F275" i="7"/>
  <c r="D275" i="7"/>
  <c r="G275" i="7" s="1"/>
  <c r="D274" i="7"/>
  <c r="F273" i="7"/>
  <c r="D273" i="7"/>
  <c r="G273" i="7" s="1"/>
  <c r="F271" i="7"/>
  <c r="D271" i="7"/>
  <c r="G271" i="7" s="1"/>
  <c r="D270" i="7"/>
  <c r="D269" i="7"/>
  <c r="C268" i="7"/>
  <c r="F266" i="7"/>
  <c r="D266" i="7"/>
  <c r="G266" i="7" s="1"/>
  <c r="F265" i="7"/>
  <c r="D265" i="7"/>
  <c r="F264" i="7"/>
  <c r="E264" i="7"/>
  <c r="D264" i="7"/>
  <c r="F262" i="7"/>
  <c r="D262" i="7"/>
  <c r="G262" i="7" s="1"/>
  <c r="F261" i="7"/>
  <c r="D261" i="7"/>
  <c r="F260" i="7"/>
  <c r="D260" i="7"/>
  <c r="F259" i="7"/>
  <c r="E259" i="7"/>
  <c r="D259" i="7"/>
  <c r="C259" i="7"/>
  <c r="G259" i="7" s="1"/>
  <c r="F257" i="7"/>
  <c r="D257" i="7"/>
  <c r="G257" i="7" s="1"/>
  <c r="E254" i="7"/>
  <c r="C254" i="7"/>
  <c r="F254" i="7" s="1"/>
  <c r="F252" i="7"/>
  <c r="D252" i="7"/>
  <c r="G252" i="7" s="1"/>
  <c r="F249" i="7"/>
  <c r="E249" i="7"/>
  <c r="D249" i="7"/>
  <c r="C249" i="7"/>
  <c r="G249" i="7" s="1"/>
  <c r="F247" i="7"/>
  <c r="D247" i="7"/>
  <c r="G247" i="7" s="1"/>
  <c r="D244" i="7"/>
  <c r="C244" i="7"/>
  <c r="F244" i="7" s="1"/>
  <c r="F242" i="7"/>
  <c r="D242" i="7"/>
  <c r="G242" i="7" s="1"/>
  <c r="D239" i="7"/>
  <c r="C239" i="7"/>
  <c r="F239" i="7" s="1"/>
  <c r="F237" i="7"/>
  <c r="D237" i="7"/>
  <c r="G237" i="7" s="1"/>
  <c r="D234" i="7"/>
  <c r="C234" i="7"/>
  <c r="F234" i="7" s="1"/>
  <c r="F232" i="7"/>
  <c r="D232" i="7"/>
  <c r="G232" i="7" s="1"/>
  <c r="D229" i="7"/>
  <c r="C229" i="7"/>
  <c r="F229" i="7" s="1"/>
  <c r="F227" i="7"/>
  <c r="D227" i="7"/>
  <c r="G227" i="7" s="1"/>
  <c r="F225" i="7"/>
  <c r="D225" i="7"/>
  <c r="G225" i="7" s="1"/>
  <c r="F223" i="7"/>
  <c r="D223" i="7"/>
  <c r="G223" i="7" s="1"/>
  <c r="F220" i="7"/>
  <c r="E220" i="7"/>
  <c r="D220" i="7"/>
  <c r="C220" i="7"/>
  <c r="G220" i="7" s="1"/>
  <c r="F217" i="7"/>
  <c r="D217" i="7"/>
  <c r="G217" i="7" s="1"/>
  <c r="D214" i="7"/>
  <c r="C214" i="7"/>
  <c r="F214" i="7" s="1"/>
  <c r="F212" i="7"/>
  <c r="D212" i="7"/>
  <c r="G212" i="7" s="1"/>
  <c r="D209" i="7"/>
  <c r="C209" i="7"/>
  <c r="F209" i="7" s="1"/>
  <c r="F207" i="7"/>
  <c r="D207" i="7"/>
  <c r="G207" i="7" s="1"/>
  <c r="D204" i="7"/>
  <c r="C204" i="7"/>
  <c r="F204" i="7" s="1"/>
  <c r="F202" i="7"/>
  <c r="D202" i="7"/>
  <c r="G202" i="7" s="1"/>
  <c r="D199" i="7"/>
  <c r="C199" i="7"/>
  <c r="F199" i="7" s="1"/>
  <c r="F197" i="7"/>
  <c r="D197" i="7"/>
  <c r="G197" i="7" s="1"/>
  <c r="D194" i="7"/>
  <c r="C194" i="7"/>
  <c r="F194" i="7" s="1"/>
  <c r="F192" i="7"/>
  <c r="D192" i="7"/>
  <c r="G192" i="7" s="1"/>
  <c r="D189" i="7"/>
  <c r="C189" i="7"/>
  <c r="F189" i="7" s="1"/>
  <c r="F187" i="7"/>
  <c r="D187" i="7"/>
  <c r="G187" i="7" s="1"/>
  <c r="D184" i="7"/>
  <c r="C184" i="7"/>
  <c r="F184" i="7" s="1"/>
  <c r="F182" i="7"/>
  <c r="D182" i="7"/>
  <c r="G182" i="7" s="1"/>
  <c r="D179" i="7"/>
  <c r="C179" i="7"/>
  <c r="F179" i="7" s="1"/>
  <c r="F177" i="7"/>
  <c r="D177" i="7"/>
  <c r="G177" i="7" s="1"/>
  <c r="D174" i="7"/>
  <c r="C174" i="7"/>
  <c r="F174" i="7" s="1"/>
  <c r="F172" i="7"/>
  <c r="D172" i="7"/>
  <c r="G172" i="7" s="1"/>
  <c r="D169" i="7"/>
  <c r="C169" i="7"/>
  <c r="F169" i="7" s="1"/>
  <c r="F167" i="7"/>
  <c r="D167" i="7"/>
  <c r="G167" i="7" s="1"/>
  <c r="D164" i="7"/>
  <c r="C164" i="7"/>
  <c r="F164" i="7" s="1"/>
  <c r="F162" i="7"/>
  <c r="D162" i="7"/>
  <c r="G162" i="7" s="1"/>
  <c r="D159" i="7"/>
  <c r="C159" i="7"/>
  <c r="F159" i="7" s="1"/>
  <c r="F157" i="7"/>
  <c r="D157" i="7"/>
  <c r="G157" i="7" s="1"/>
  <c r="D154" i="7"/>
  <c r="C154" i="7"/>
  <c r="F154" i="7" s="1"/>
  <c r="F152" i="7"/>
  <c r="D152" i="7"/>
  <c r="G152" i="7" s="1"/>
  <c r="D149" i="7"/>
  <c r="C149" i="7"/>
  <c r="F149" i="7" s="1"/>
  <c r="F147" i="7"/>
  <c r="D147" i="7"/>
  <c r="G147" i="7" s="1"/>
  <c r="D144" i="7"/>
  <c r="C144" i="7"/>
  <c r="F144" i="7" s="1"/>
  <c r="F142" i="7"/>
  <c r="D142" i="7"/>
  <c r="G142" i="7" s="1"/>
  <c r="D139" i="7"/>
  <c r="C139" i="7"/>
  <c r="F139" i="7" s="1"/>
  <c r="F137" i="7"/>
  <c r="D137" i="7"/>
  <c r="G137" i="7" s="1"/>
  <c r="D134" i="7"/>
  <c r="C134" i="7"/>
  <c r="F134" i="7" s="1"/>
  <c r="F132" i="7"/>
  <c r="D132" i="7"/>
  <c r="G132" i="7" s="1"/>
  <c r="D129" i="7"/>
  <c r="C129" i="7"/>
  <c r="F129" i="7" s="1"/>
  <c r="F127" i="7"/>
  <c r="D127" i="7"/>
  <c r="G127" i="7" s="1"/>
  <c r="D124" i="7"/>
  <c r="C124" i="7"/>
  <c r="F124" i="7" s="1"/>
  <c r="F122" i="7"/>
  <c r="D122" i="7"/>
  <c r="G122" i="7" s="1"/>
  <c r="D119" i="7"/>
  <c r="C119" i="7"/>
  <c r="F119" i="7" s="1"/>
  <c r="F117" i="7"/>
  <c r="D117" i="7"/>
  <c r="G117" i="7" s="1"/>
  <c r="D114" i="7"/>
  <c r="C114" i="7"/>
  <c r="F114" i="7" s="1"/>
  <c r="F112" i="7"/>
  <c r="D112" i="7"/>
  <c r="G112" i="7" s="1"/>
  <c r="D109" i="7"/>
  <c r="C109" i="7"/>
  <c r="F109" i="7" s="1"/>
  <c r="F107" i="7"/>
  <c r="D107" i="7"/>
  <c r="G107" i="7" s="1"/>
  <c r="D104" i="7"/>
  <c r="C104" i="7"/>
  <c r="F104" i="7" s="1"/>
  <c r="F102" i="7"/>
  <c r="D102" i="7"/>
  <c r="G102" i="7" s="1"/>
  <c r="D99" i="7"/>
  <c r="C99" i="7"/>
  <c r="F99" i="7" s="1"/>
  <c r="F97" i="7"/>
  <c r="D97" i="7"/>
  <c r="G97" i="7" s="1"/>
  <c r="D94" i="7"/>
  <c r="C94" i="7"/>
  <c r="F94" i="7" s="1"/>
  <c r="F92" i="7"/>
  <c r="D92" i="7"/>
  <c r="G92" i="7" s="1"/>
  <c r="D89" i="7"/>
  <c r="C89" i="7"/>
  <c r="F89" i="7" s="1"/>
  <c r="F87" i="7"/>
  <c r="D87" i="7"/>
  <c r="G87" i="7" s="1"/>
  <c r="D84" i="7"/>
  <c r="C84" i="7"/>
  <c r="F84" i="7" s="1"/>
  <c r="F82" i="7"/>
  <c r="D82" i="7"/>
  <c r="G82" i="7" s="1"/>
  <c r="D79" i="7"/>
  <c r="C79" i="7"/>
  <c r="F79" i="7" s="1"/>
  <c r="G79" i="7" s="1"/>
  <c r="F77" i="7"/>
  <c r="D77" i="7"/>
  <c r="G77" i="7" s="1"/>
  <c r="D74" i="7"/>
  <c r="C74" i="7"/>
  <c r="F74" i="7" s="1"/>
  <c r="G74" i="7" s="1"/>
  <c r="F72" i="7"/>
  <c r="D72" i="7"/>
  <c r="G72" i="7" s="1"/>
  <c r="D69" i="7"/>
  <c r="C69" i="7"/>
  <c r="F69" i="7" s="1"/>
  <c r="G69" i="7" s="1"/>
  <c r="F67" i="7"/>
  <c r="D67" i="7"/>
  <c r="G67" i="7" s="1"/>
  <c r="D64" i="7"/>
  <c r="C64" i="7"/>
  <c r="F64" i="7" s="1"/>
  <c r="G64" i="7" s="1"/>
  <c r="F62" i="7"/>
  <c r="D62" i="7"/>
  <c r="G62" i="7" s="1"/>
  <c r="D59" i="7"/>
  <c r="C59" i="7"/>
  <c r="F59" i="7" s="1"/>
  <c r="G59" i="7" s="1"/>
  <c r="F57" i="7"/>
  <c r="D57" i="7"/>
  <c r="G57" i="7" s="1"/>
  <c r="D54" i="7"/>
  <c r="C54" i="7"/>
  <c r="F54" i="7" s="1"/>
  <c r="G54" i="7" s="1"/>
  <c r="F52" i="7"/>
  <c r="D52" i="7"/>
  <c r="G52" i="7" s="1"/>
  <c r="D49" i="7"/>
  <c r="C49" i="7"/>
  <c r="F49" i="7" s="1"/>
  <c r="G49" i="7" s="1"/>
  <c r="F47" i="7"/>
  <c r="D47" i="7"/>
  <c r="G47" i="7" s="1"/>
  <c r="D44" i="7"/>
  <c r="C44" i="7"/>
  <c r="F44" i="7" s="1"/>
  <c r="G44" i="7" s="1"/>
  <c r="F42" i="7"/>
  <c r="D42" i="7"/>
  <c r="G42" i="7" s="1"/>
  <c r="D39" i="7"/>
  <c r="C39" i="7"/>
  <c r="F39" i="7" s="1"/>
  <c r="G39" i="7" s="1"/>
  <c r="F37" i="7"/>
  <c r="D37" i="7"/>
  <c r="G37" i="7" s="1"/>
  <c r="D34" i="7"/>
  <c r="C34" i="7"/>
  <c r="F34" i="7" s="1"/>
  <c r="G34" i="7" s="1"/>
  <c r="F32" i="7"/>
  <c r="D32" i="7"/>
  <c r="G32" i="7" s="1"/>
  <c r="D29" i="7"/>
  <c r="C29" i="7"/>
  <c r="F29" i="7" s="1"/>
  <c r="G29" i="7" s="1"/>
  <c r="F27" i="7"/>
  <c r="D27" i="7"/>
  <c r="G27" i="7" s="1"/>
  <c r="D24" i="7"/>
  <c r="C24" i="7"/>
  <c r="F24" i="7" s="1"/>
  <c r="G24" i="7" s="1"/>
  <c r="F22" i="7"/>
  <c r="D22" i="7"/>
  <c r="G22" i="7" s="1"/>
  <c r="D19" i="7"/>
  <c r="C19" i="7"/>
  <c r="F19" i="7" s="1"/>
  <c r="G19" i="7" s="1"/>
  <c r="F17" i="7"/>
  <c r="D17" i="7"/>
  <c r="G17" i="7" s="1"/>
  <c r="D14" i="7"/>
  <c r="C14" i="7"/>
  <c r="F14" i="7" s="1"/>
  <c r="G14" i="7" s="1"/>
  <c r="F12" i="7"/>
  <c r="D12" i="7"/>
  <c r="G12" i="7" s="1"/>
  <c r="D9" i="7"/>
  <c r="C9" i="7"/>
  <c r="F9" i="7" s="1"/>
  <c r="G9" i="7" s="1"/>
  <c r="J12" i="9" l="1"/>
  <c r="I9" i="9"/>
  <c r="J83" i="9"/>
  <c r="J72" i="9"/>
  <c r="I71" i="9"/>
  <c r="I27" i="9"/>
  <c r="I544" i="9"/>
  <c r="J544" i="9" s="1"/>
  <c r="I503" i="9"/>
  <c r="J503" i="9" s="1"/>
  <c r="I495" i="9"/>
  <c r="J495" i="9" s="1"/>
  <c r="I286" i="9"/>
  <c r="J286" i="9" s="1"/>
  <c r="I283" i="9"/>
  <c r="J283" i="9" s="1"/>
  <c r="I277" i="9"/>
  <c r="J277" i="9" s="1"/>
  <c r="I271" i="9"/>
  <c r="J271" i="9" s="1"/>
  <c r="I265" i="9"/>
  <c r="J265" i="9" s="1"/>
  <c r="I258" i="9"/>
  <c r="J258" i="9" s="1"/>
  <c r="I252" i="9"/>
  <c r="J252" i="9" s="1"/>
  <c r="I246" i="9"/>
  <c r="J246" i="9" s="1"/>
  <c r="I240" i="9"/>
  <c r="J240" i="9" s="1"/>
  <c r="I234" i="9"/>
  <c r="J234" i="9" s="1"/>
  <c r="I228" i="9"/>
  <c r="J228" i="9" s="1"/>
  <c r="I221" i="9"/>
  <c r="J221" i="9" s="1"/>
  <c r="I215" i="9"/>
  <c r="J215" i="9" s="1"/>
  <c r="I209" i="9"/>
  <c r="J209" i="9" s="1"/>
  <c r="I193" i="9"/>
  <c r="J193" i="9" s="1"/>
  <c r="I187" i="9"/>
  <c r="J187" i="9" s="1"/>
  <c r="I179" i="9"/>
  <c r="J179" i="9" s="1"/>
  <c r="I171" i="9"/>
  <c r="J171" i="9" s="1"/>
  <c r="I163" i="9"/>
  <c r="J163" i="9" s="1"/>
  <c r="I155" i="9"/>
  <c r="J155" i="9" s="1"/>
  <c r="I147" i="9"/>
  <c r="J147" i="9" s="1"/>
  <c r="I144" i="9"/>
  <c r="J144" i="9" s="1"/>
  <c r="I136" i="9"/>
  <c r="J136" i="9" s="1"/>
  <c r="I128" i="9"/>
  <c r="J128" i="9" s="1"/>
  <c r="K119" i="9"/>
  <c r="I120" i="9"/>
  <c r="I113" i="9"/>
  <c r="J113" i="9" s="1"/>
  <c r="I105" i="9"/>
  <c r="J105" i="9" s="1"/>
  <c r="I97" i="9"/>
  <c r="J97" i="9" s="1"/>
  <c r="I89" i="9"/>
  <c r="J89" i="9" s="1"/>
  <c r="K82" i="9"/>
  <c r="G264" i="7"/>
  <c r="G343" i="7"/>
  <c r="G371" i="7"/>
  <c r="H9" i="7"/>
  <c r="I9" i="7"/>
  <c r="H12" i="7"/>
  <c r="I12" i="7"/>
  <c r="H14" i="7"/>
  <c r="I14" i="7"/>
  <c r="H17" i="7"/>
  <c r="I17" i="7"/>
  <c r="H19" i="7"/>
  <c r="I19" i="7"/>
  <c r="H22" i="7"/>
  <c r="I22" i="7"/>
  <c r="H24" i="7"/>
  <c r="I24" i="7"/>
  <c r="H27" i="7"/>
  <c r="I27" i="7"/>
  <c r="H29" i="7"/>
  <c r="I29" i="7"/>
  <c r="H32" i="7"/>
  <c r="I32" i="7"/>
  <c r="H34" i="7"/>
  <c r="I34" i="7"/>
  <c r="H37" i="7"/>
  <c r="I37" i="7"/>
  <c r="H39" i="7"/>
  <c r="I39" i="7"/>
  <c r="H42" i="7"/>
  <c r="I42" i="7"/>
  <c r="H44" i="7"/>
  <c r="I44" i="7"/>
  <c r="H47" i="7"/>
  <c r="I47" i="7"/>
  <c r="H49" i="7"/>
  <c r="I49" i="7"/>
  <c r="H52" i="7"/>
  <c r="I52" i="7"/>
  <c r="H54" i="7"/>
  <c r="I54" i="7"/>
  <c r="H57" i="7"/>
  <c r="I57" i="7"/>
  <c r="H59" i="7"/>
  <c r="I59" i="7"/>
  <c r="H62" i="7"/>
  <c r="I62" i="7"/>
  <c r="H64" i="7"/>
  <c r="I64" i="7"/>
  <c r="H67" i="7"/>
  <c r="I67" i="7"/>
  <c r="H69" i="7"/>
  <c r="I69" i="7"/>
  <c r="H72" i="7"/>
  <c r="I72" i="7"/>
  <c r="H74" i="7"/>
  <c r="I74" i="7"/>
  <c r="H77" i="7"/>
  <c r="I77" i="7"/>
  <c r="H79" i="7"/>
  <c r="I79" i="7"/>
  <c r="H82" i="7"/>
  <c r="I82" i="7"/>
  <c r="H87" i="7"/>
  <c r="I87" i="7"/>
  <c r="H92" i="7"/>
  <c r="I92" i="7"/>
  <c r="H97" i="7"/>
  <c r="I97" i="7"/>
  <c r="H102" i="7"/>
  <c r="I102" i="7"/>
  <c r="H107" i="7"/>
  <c r="I107" i="7"/>
  <c r="H112" i="7"/>
  <c r="I112" i="7"/>
  <c r="H117" i="7"/>
  <c r="I117" i="7"/>
  <c r="H122" i="7"/>
  <c r="I122" i="7"/>
  <c r="H127" i="7"/>
  <c r="I127" i="7"/>
  <c r="H132" i="7"/>
  <c r="I132" i="7"/>
  <c r="H137" i="7"/>
  <c r="I137" i="7"/>
  <c r="H142" i="7"/>
  <c r="I142" i="7"/>
  <c r="H147" i="7"/>
  <c r="I147" i="7"/>
  <c r="H152" i="7"/>
  <c r="I152" i="7"/>
  <c r="H157" i="7"/>
  <c r="I157" i="7"/>
  <c r="H162" i="7"/>
  <c r="I162" i="7"/>
  <c r="H167" i="7"/>
  <c r="I167" i="7"/>
  <c r="H172" i="7"/>
  <c r="I172" i="7"/>
  <c r="H177" i="7"/>
  <c r="I177" i="7"/>
  <c r="H182" i="7"/>
  <c r="I182" i="7"/>
  <c r="H187" i="7"/>
  <c r="I187" i="7"/>
  <c r="H192" i="7"/>
  <c r="I192" i="7"/>
  <c r="H197" i="7"/>
  <c r="I197" i="7"/>
  <c r="H202" i="7"/>
  <c r="I202" i="7"/>
  <c r="H207" i="7"/>
  <c r="I207" i="7"/>
  <c r="H212" i="7"/>
  <c r="I212" i="7"/>
  <c r="H217" i="7"/>
  <c r="I217" i="7"/>
  <c r="H220" i="7"/>
  <c r="I220" i="7" s="1"/>
  <c r="H223" i="7"/>
  <c r="I223" i="7" s="1"/>
  <c r="H225" i="7"/>
  <c r="I225" i="7"/>
  <c r="H227" i="7"/>
  <c r="I227" i="7"/>
  <c r="H232" i="7"/>
  <c r="I232" i="7"/>
  <c r="H237" i="7"/>
  <c r="I237" i="7"/>
  <c r="H242" i="7"/>
  <c r="I242" i="7"/>
  <c r="H247" i="7"/>
  <c r="I247" i="7"/>
  <c r="H249" i="7"/>
  <c r="I249" i="7" s="1"/>
  <c r="H252" i="7"/>
  <c r="I252" i="7" s="1"/>
  <c r="H257" i="7"/>
  <c r="I257" i="7"/>
  <c r="H259" i="7"/>
  <c r="I259" i="7" s="1"/>
  <c r="H262" i="7"/>
  <c r="I262" i="7" s="1"/>
  <c r="H264" i="7"/>
  <c r="I264" i="7" s="1"/>
  <c r="J264" i="7" s="1"/>
  <c r="H271" i="7"/>
  <c r="I271" i="7" s="1"/>
  <c r="H273" i="7"/>
  <c r="I273" i="7"/>
  <c r="H281" i="7"/>
  <c r="I281" i="7"/>
  <c r="H303" i="7"/>
  <c r="I303" i="7" s="1"/>
  <c r="H308" i="7"/>
  <c r="I308" i="7"/>
  <c r="H310" i="7"/>
  <c r="I310" i="7" s="1"/>
  <c r="J310" i="7" s="1"/>
  <c r="H313" i="7"/>
  <c r="I313" i="7" s="1"/>
  <c r="H317" i="7"/>
  <c r="I317" i="7"/>
  <c r="H341" i="7"/>
  <c r="I341" i="7" s="1"/>
  <c r="H343" i="7"/>
  <c r="I343" i="7" s="1"/>
  <c r="J343" i="7" s="1"/>
  <c r="H352" i="7"/>
  <c r="I352" i="7"/>
  <c r="H357" i="7"/>
  <c r="I357" i="7"/>
  <c r="H362" i="7"/>
  <c r="I362" i="7"/>
  <c r="H364" i="7"/>
  <c r="I364" i="7"/>
  <c r="H366" i="7"/>
  <c r="I366" i="7" s="1"/>
  <c r="J366" i="7" s="1"/>
  <c r="H369" i="7"/>
  <c r="I369" i="7" s="1"/>
  <c r="H371" i="7"/>
  <c r="I371" i="7" s="1"/>
  <c r="J371" i="7" s="1"/>
  <c r="H377" i="7"/>
  <c r="I377" i="7" s="1"/>
  <c r="H389" i="7"/>
  <c r="I389" i="7" s="1"/>
  <c r="I412" i="7"/>
  <c r="H412" i="7"/>
  <c r="H417" i="7"/>
  <c r="I417" i="7" s="1"/>
  <c r="H419" i="7"/>
  <c r="I419" i="7" s="1"/>
  <c r="I422" i="7"/>
  <c r="H422" i="7"/>
  <c r="H427" i="7"/>
  <c r="I427" i="7" s="1"/>
  <c r="H432" i="7"/>
  <c r="I432" i="7" s="1"/>
  <c r="H437" i="7"/>
  <c r="I437" i="7" s="1"/>
  <c r="I439" i="7"/>
  <c r="H439" i="7"/>
  <c r="H444" i="7"/>
  <c r="I444" i="7" s="1"/>
  <c r="I451" i="7"/>
  <c r="H451" i="7"/>
  <c r="H462" i="7"/>
  <c r="I462" i="7"/>
  <c r="H467" i="7"/>
  <c r="I467" i="7"/>
  <c r="H472" i="7"/>
  <c r="I472" i="7"/>
  <c r="H477" i="7"/>
  <c r="I477" i="7"/>
  <c r="H482" i="7"/>
  <c r="I482" i="7"/>
  <c r="H487" i="7"/>
  <c r="I487" i="7"/>
  <c r="H492" i="7"/>
  <c r="I492" i="7"/>
  <c r="H497" i="7"/>
  <c r="I497" i="7"/>
  <c r="H502" i="7"/>
  <c r="I502" i="7"/>
  <c r="H508" i="7"/>
  <c r="I508" i="7"/>
  <c r="H513" i="7"/>
  <c r="I513" i="7"/>
  <c r="H518" i="7"/>
  <c r="I518" i="7"/>
  <c r="H523" i="7"/>
  <c r="I523" i="7"/>
  <c r="H528" i="7"/>
  <c r="I528" i="7"/>
  <c r="H534" i="7"/>
  <c r="I534" i="7"/>
  <c r="H539" i="7"/>
  <c r="I539" i="7"/>
  <c r="I552" i="7"/>
  <c r="H552" i="7"/>
  <c r="H554" i="7"/>
  <c r="I554" i="7" s="1"/>
  <c r="J554" i="7" s="1"/>
  <c r="H556" i="7"/>
  <c r="I556" i="7" s="1"/>
  <c r="H561" i="7"/>
  <c r="I561" i="7" s="1"/>
  <c r="H566" i="7"/>
  <c r="I566" i="7" s="1"/>
  <c r="H571" i="7"/>
  <c r="I571" i="7" s="1"/>
  <c r="H576" i="7"/>
  <c r="I576" i="7" s="1"/>
  <c r="H581" i="7"/>
  <c r="I581" i="7" s="1"/>
  <c r="H586" i="7"/>
  <c r="I586" i="7" s="1"/>
  <c r="H591" i="7"/>
  <c r="I591" i="7" s="1"/>
  <c r="H596" i="7"/>
  <c r="I596" i="7" s="1"/>
  <c r="H601" i="7"/>
  <c r="I601" i="7" s="1"/>
  <c r="I603" i="7"/>
  <c r="J603" i="7" s="1"/>
  <c r="H603" i="7"/>
  <c r="I605" i="7"/>
  <c r="H605" i="7"/>
  <c r="H607" i="7"/>
  <c r="I607" i="7" s="1"/>
  <c r="I609" i="7"/>
  <c r="J609" i="7" s="1"/>
  <c r="H609" i="7"/>
  <c r="H616" i="7"/>
  <c r="I616" i="7" s="1"/>
  <c r="H621" i="7"/>
  <c r="I621" i="7" s="1"/>
  <c r="H626" i="7"/>
  <c r="I626" i="7" s="1"/>
  <c r="H631" i="7"/>
  <c r="I631" i="7" s="1"/>
  <c r="H636" i="7"/>
  <c r="I636" i="7" s="1"/>
  <c r="H641" i="7"/>
  <c r="I641" i="7" s="1"/>
  <c r="H646" i="7"/>
  <c r="I646" i="7" s="1"/>
  <c r="H651" i="7"/>
  <c r="I651" i="7" s="1"/>
  <c r="H656" i="7"/>
  <c r="I656" i="7" s="1"/>
  <c r="H661" i="7"/>
  <c r="I661" i="7" s="1"/>
  <c r="H666" i="7"/>
  <c r="I666" i="7" s="1"/>
  <c r="H671" i="7"/>
  <c r="I671" i="7" s="1"/>
  <c r="H676" i="7"/>
  <c r="I676" i="7" s="1"/>
  <c r="H681" i="7"/>
  <c r="I681" i="7" s="1"/>
  <c r="H686" i="7"/>
  <c r="I686" i="7" s="1"/>
  <c r="H691" i="7"/>
  <c r="I691" i="7" s="1"/>
  <c r="H696" i="7"/>
  <c r="I696" i="7" s="1"/>
  <c r="H701" i="7"/>
  <c r="I701" i="7" s="1"/>
  <c r="H706" i="7"/>
  <c r="I706" i="7" s="1"/>
  <c r="H711" i="7"/>
  <c r="I711" i="7" s="1"/>
  <c r="H716" i="7"/>
  <c r="I716" i="7" s="1"/>
  <c r="H721" i="7"/>
  <c r="I721" i="7" s="1"/>
  <c r="H726" i="7"/>
  <c r="I726" i="7" s="1"/>
  <c r="H731" i="7"/>
  <c r="I731" i="7" s="1"/>
  <c r="H736" i="7"/>
  <c r="I736" i="7" s="1"/>
  <c r="H741" i="7"/>
  <c r="I741" i="7" s="1"/>
  <c r="H746" i="7"/>
  <c r="I746" i="7" s="1"/>
  <c r="H751" i="7"/>
  <c r="I751" i="7" s="1"/>
  <c r="H756" i="7"/>
  <c r="I756" i="7" s="1"/>
  <c r="H761" i="7"/>
  <c r="I761" i="7" s="1"/>
  <c r="H766" i="7"/>
  <c r="I766" i="7" s="1"/>
  <c r="H771" i="7"/>
  <c r="I771" i="7" s="1"/>
  <c r="H776" i="7"/>
  <c r="I776" i="7" s="1"/>
  <c r="H781" i="7"/>
  <c r="I781" i="7" s="1"/>
  <c r="H786" i="7"/>
  <c r="I786" i="7" s="1"/>
  <c r="H791" i="7"/>
  <c r="I791" i="7" s="1"/>
  <c r="H796" i="7"/>
  <c r="I796" i="7" s="1"/>
  <c r="H801" i="7"/>
  <c r="I801" i="7" s="1"/>
  <c r="H806" i="7"/>
  <c r="I806" i="7" s="1"/>
  <c r="H811" i="7"/>
  <c r="I811" i="7" s="1"/>
  <c r="H816" i="7"/>
  <c r="I816" i="7" s="1"/>
  <c r="H821" i="7"/>
  <c r="I821" i="7" s="1"/>
  <c r="H826" i="7"/>
  <c r="I826" i="7" s="1"/>
  <c r="H831" i="7"/>
  <c r="I831" i="7" s="1"/>
  <c r="H837" i="7"/>
  <c r="I837" i="7" s="1"/>
  <c r="H842" i="7"/>
  <c r="I842" i="7" s="1"/>
  <c r="H847" i="7"/>
  <c r="I847" i="7" s="1"/>
  <c r="H852" i="7"/>
  <c r="I852" i="7" s="1"/>
  <c r="H857" i="7"/>
  <c r="I857" i="7" s="1"/>
  <c r="H862" i="7"/>
  <c r="I862" i="7" s="1"/>
  <c r="H867" i="7"/>
  <c r="I867" i="7" s="1"/>
  <c r="I869" i="7"/>
  <c r="H869" i="7"/>
  <c r="I872" i="7"/>
  <c r="H872" i="7"/>
  <c r="H882" i="7"/>
  <c r="I882" i="7" s="1"/>
  <c r="I892" i="7"/>
  <c r="H892" i="7"/>
  <c r="H902" i="7"/>
  <c r="I902" i="7" s="1"/>
  <c r="H1276" i="7"/>
  <c r="I1276" i="7" s="1"/>
  <c r="J1276" i="7" s="1"/>
  <c r="H1323" i="7"/>
  <c r="I1323" i="7" s="1"/>
  <c r="J1323" i="7" s="1"/>
  <c r="H1326" i="7"/>
  <c r="I1326" i="7" s="1"/>
  <c r="H1328" i="7"/>
  <c r="I1328" i="7" s="1"/>
  <c r="J1328" i="7" s="1"/>
  <c r="H1331" i="7"/>
  <c r="I1331" i="7" s="1"/>
  <c r="H1333" i="7"/>
  <c r="I1333" i="7" s="1"/>
  <c r="J1333" i="7" s="1"/>
  <c r="H1336" i="7"/>
  <c r="I1336" i="7" s="1"/>
  <c r="H1338" i="7"/>
  <c r="I1338" i="7" s="1"/>
  <c r="J1338" i="7" s="1"/>
  <c r="H1341" i="7"/>
  <c r="I1341" i="7" s="1"/>
  <c r="H1343" i="7"/>
  <c r="I1343" i="7" s="1"/>
  <c r="J1343" i="7" s="1"/>
  <c r="H1346" i="7"/>
  <c r="I1346" i="7" s="1"/>
  <c r="H1353" i="7"/>
  <c r="I1353" i="7" s="1"/>
  <c r="J1353" i="7" s="1"/>
  <c r="H1356" i="7"/>
  <c r="I1356" i="7" s="1"/>
  <c r="H1361" i="7"/>
  <c r="I1361" i="7" s="1"/>
  <c r="H1366" i="7"/>
  <c r="I1366" i="7" s="1"/>
  <c r="H1371" i="7"/>
  <c r="I1371" i="7" s="1"/>
  <c r="H1378" i="7"/>
  <c r="I1378" i="7" s="1"/>
  <c r="H1381" i="7"/>
  <c r="I1381" i="7" s="1"/>
  <c r="H1388" i="7"/>
  <c r="I1388" i="7" s="1"/>
  <c r="H1391" i="7"/>
  <c r="I1391" i="7" s="1"/>
  <c r="H1396" i="7"/>
  <c r="I1396" i="7" s="1"/>
  <c r="H1401" i="7"/>
  <c r="I1401" i="7" s="1"/>
  <c r="H1406" i="7"/>
  <c r="I1406" i="7" s="1"/>
  <c r="H1411" i="7"/>
  <c r="I1411" i="7" s="1"/>
  <c r="H1416" i="7"/>
  <c r="I1416" i="7" s="1"/>
  <c r="H1421" i="7"/>
  <c r="I1421" i="7" s="1"/>
  <c r="H1426" i="7"/>
  <c r="I1426" i="7" s="1"/>
  <c r="H1431" i="7"/>
  <c r="I1431" i="7" s="1"/>
  <c r="H1436" i="7"/>
  <c r="I1436" i="7" s="1"/>
  <c r="H1441" i="7"/>
  <c r="I1441" i="7" s="1"/>
  <c r="H1446" i="7"/>
  <c r="I1446" i="7" s="1"/>
  <c r="H1451" i="7"/>
  <c r="I1451" i="7" s="1"/>
  <c r="H1457" i="7"/>
  <c r="I1457" i="7" s="1"/>
  <c r="H1462" i="7"/>
  <c r="I1462" i="7" s="1"/>
  <c r="H1467" i="7"/>
  <c r="I1467" i="7" s="1"/>
  <c r="H1472" i="7"/>
  <c r="I1472" i="7" s="1"/>
  <c r="H1477" i="7"/>
  <c r="I1477" i="7" s="1"/>
  <c r="H1482" i="7"/>
  <c r="I1482" i="7" s="1"/>
  <c r="H1490" i="7"/>
  <c r="I1490" i="7" s="1"/>
  <c r="H1493" i="7"/>
  <c r="I1493" i="7" s="1"/>
  <c r="H1500" i="7"/>
  <c r="I1500" i="7" s="1"/>
  <c r="H1503" i="7"/>
  <c r="I1503" i="7" s="1"/>
  <c r="H1510" i="7"/>
  <c r="I1510" i="7" s="1"/>
  <c r="H1513" i="7"/>
  <c r="I1513" i="7" s="1"/>
  <c r="H1520" i="7"/>
  <c r="I1520" i="7" s="1"/>
  <c r="H1523" i="7"/>
  <c r="I1523" i="7" s="1"/>
  <c r="H1530" i="7"/>
  <c r="I1530" i="7" s="1"/>
  <c r="H1533" i="7"/>
  <c r="I1533" i="7" s="1"/>
  <c r="H1540" i="7"/>
  <c r="I1540" i="7" s="1"/>
  <c r="H1543" i="7"/>
  <c r="I1543" i="7" s="1"/>
  <c r="H1625" i="7"/>
  <c r="I1625" i="7" s="1"/>
  <c r="H1644" i="7"/>
  <c r="I1644" i="7" s="1"/>
  <c r="H1664" i="7"/>
  <c r="I1664" i="7" s="1"/>
  <c r="H1811" i="7"/>
  <c r="I1811" i="7" s="1"/>
  <c r="H1813" i="7"/>
  <c r="I1813" i="7" s="1"/>
  <c r="H1816" i="7"/>
  <c r="I1816" i="7" s="1"/>
  <c r="H1818" i="7"/>
  <c r="I1818" i="7" s="1"/>
  <c r="H1821" i="7"/>
  <c r="I1821" i="7" s="1"/>
  <c r="H1823" i="7"/>
  <c r="I1823" i="7" s="1"/>
  <c r="H1826" i="7"/>
  <c r="I1826" i="7" s="1"/>
  <c r="H1828" i="7"/>
  <c r="I1828" i="7" s="1"/>
  <c r="H1831" i="7"/>
  <c r="I1831" i="7" s="1"/>
  <c r="H1833" i="7"/>
  <c r="I1833" i="7" s="1"/>
  <c r="H1836" i="7"/>
  <c r="I1836" i="7" s="1"/>
  <c r="H1838" i="7"/>
  <c r="I1838" i="7" s="1"/>
  <c r="H1841" i="7"/>
  <c r="I1841" i="7" s="1"/>
  <c r="H1843" i="7"/>
  <c r="I1843" i="7" s="1"/>
  <c r="H1846" i="7"/>
  <c r="I1846" i="7" s="1"/>
  <c r="H1848" i="7"/>
  <c r="I1848" i="7" s="1"/>
  <c r="H1851" i="7"/>
  <c r="I1851" i="7" s="1"/>
  <c r="H1853" i="7"/>
  <c r="I1853" i="7" s="1"/>
  <c r="H1856" i="7"/>
  <c r="I1856" i="7" s="1"/>
  <c r="H1858" i="7"/>
  <c r="I1858" i="7" s="1"/>
  <c r="H1861" i="7"/>
  <c r="I1861" i="7" s="1"/>
  <c r="H1863" i="7"/>
  <c r="I1863" i="7" s="1"/>
  <c r="H1866" i="7"/>
  <c r="I1866" i="7" s="1"/>
  <c r="H1868" i="7"/>
  <c r="I1868" i="7" s="1"/>
  <c r="H1871" i="7"/>
  <c r="I1871" i="7" s="1"/>
  <c r="H1873" i="7"/>
  <c r="I1873" i="7" s="1"/>
  <c r="H1876" i="7"/>
  <c r="I1876" i="7" s="1"/>
  <c r="H1878" i="7"/>
  <c r="I1878" i="7" s="1"/>
  <c r="H1881" i="7"/>
  <c r="I1881" i="7" s="1"/>
  <c r="H1883" i="7"/>
  <c r="I1883" i="7" s="1"/>
  <c r="H1886" i="7"/>
  <c r="I1886" i="7" s="1"/>
  <c r="H1888" i="7"/>
  <c r="I1888" i="7" s="1"/>
  <c r="H1891" i="7"/>
  <c r="I1891" i="7" s="1"/>
  <c r="H1893" i="7"/>
  <c r="I1893" i="7" s="1"/>
  <c r="H1896" i="7"/>
  <c r="I1896" i="7" s="1"/>
  <c r="H1898" i="7"/>
  <c r="I1898" i="7" s="1"/>
  <c r="H1901" i="7"/>
  <c r="I1901" i="7" s="1"/>
  <c r="H1903" i="7"/>
  <c r="I1903" i="7" s="1"/>
  <c r="H1906" i="7"/>
  <c r="I1906" i="7" s="1"/>
  <c r="H1907" i="7"/>
  <c r="I1907" i="7" s="1"/>
  <c r="H1910" i="7"/>
  <c r="I1910" i="7" s="1"/>
  <c r="H1913" i="7"/>
  <c r="I1913" i="7" s="1"/>
  <c r="H1916" i="7"/>
  <c r="I1916" i="7" s="1"/>
  <c r="H1918" i="7"/>
  <c r="I1918" i="7" s="1"/>
  <c r="H1921" i="7"/>
  <c r="I1921" i="7" s="1"/>
  <c r="H1923" i="7"/>
  <c r="I1923" i="7" s="1"/>
  <c r="H1926" i="7"/>
  <c r="I1926" i="7" s="1"/>
  <c r="H1928" i="7"/>
  <c r="I1928" i="7" s="1"/>
  <c r="H1931" i="7"/>
  <c r="I1931" i="7" s="1"/>
  <c r="H1933" i="7"/>
  <c r="I1933" i="7" s="1"/>
  <c r="H1936" i="7"/>
  <c r="I1936" i="7" s="1"/>
  <c r="H1938" i="7"/>
  <c r="I1938" i="7" s="1"/>
  <c r="H1941" i="7"/>
  <c r="I1941" i="7" s="1"/>
  <c r="H1943" i="7"/>
  <c r="I1943" i="7" s="1"/>
  <c r="H1946" i="7"/>
  <c r="I1946" i="7" s="1"/>
  <c r="H1948" i="7"/>
  <c r="I1948" i="7" s="1"/>
  <c r="H1951" i="7"/>
  <c r="I1951" i="7" s="1"/>
  <c r="H1953" i="7"/>
  <c r="I1953" i="7" s="1"/>
  <c r="H1956" i="7"/>
  <c r="I1956" i="7" s="1"/>
  <c r="H1958" i="7"/>
  <c r="I1958" i="7" s="1"/>
  <c r="H1961" i="7"/>
  <c r="I1961" i="7" s="1"/>
  <c r="H1963" i="7"/>
  <c r="I1963" i="7" s="1"/>
  <c r="H1966" i="7"/>
  <c r="I1966" i="7" s="1"/>
  <c r="H1976" i="7"/>
  <c r="I1976" i="7"/>
  <c r="J1973" i="7" s="1"/>
  <c r="H1986" i="7"/>
  <c r="I1986" i="7" s="1"/>
  <c r="J1983" i="7" s="1"/>
  <c r="H1996" i="7"/>
  <c r="I1996" i="7"/>
  <c r="J1993" i="7" s="1"/>
  <c r="H2006" i="7"/>
  <c r="I2006" i="7" s="1"/>
  <c r="J2003" i="7" s="1"/>
  <c r="H2016" i="7"/>
  <c r="I2016" i="7"/>
  <c r="J2013" i="7" s="1"/>
  <c r="H2026" i="7"/>
  <c r="I2026" i="7" s="1"/>
  <c r="J2023" i="7" s="1"/>
  <c r="H2036" i="7"/>
  <c r="I2036" i="7"/>
  <c r="J2033" i="7" s="1"/>
  <c r="H2054" i="7"/>
  <c r="I2054" i="7"/>
  <c r="H2059" i="7"/>
  <c r="I2059" i="7"/>
  <c r="H2062" i="7"/>
  <c r="I2062" i="7"/>
  <c r="H2064" i="7"/>
  <c r="I2064" i="7"/>
  <c r="H2067" i="7"/>
  <c r="I2067" i="7"/>
  <c r="H2069" i="7"/>
  <c r="I2069" i="7"/>
  <c r="H2072" i="7"/>
  <c r="I2072" i="7"/>
  <c r="H2074" i="7"/>
  <c r="I2074" i="7"/>
  <c r="H2077" i="7"/>
  <c r="I2077" i="7"/>
  <c r="H2079" i="7"/>
  <c r="I2079" i="7"/>
  <c r="H2082" i="7"/>
  <c r="I2082" i="7"/>
  <c r="H2084" i="7"/>
  <c r="I2084" i="7"/>
  <c r="H2087" i="7"/>
  <c r="I2087" i="7"/>
  <c r="H2089" i="7"/>
  <c r="I2089" i="7"/>
  <c r="H2092" i="7"/>
  <c r="I2092" i="7"/>
  <c r="H2094" i="7"/>
  <c r="I2094" i="7"/>
  <c r="H2097" i="7"/>
  <c r="I2097" i="7"/>
  <c r="H2099" i="7"/>
  <c r="I2099" i="7"/>
  <c r="H2102" i="7"/>
  <c r="I2102" i="7"/>
  <c r="H2104" i="7"/>
  <c r="I2104" i="7"/>
  <c r="H3013" i="7"/>
  <c r="I3013" i="7"/>
  <c r="H3069" i="7"/>
  <c r="I3069" i="7"/>
  <c r="G84" i="7"/>
  <c r="G89" i="7"/>
  <c r="G94" i="7"/>
  <c r="G99" i="7"/>
  <c r="G104" i="7"/>
  <c r="G109" i="7"/>
  <c r="G114" i="7"/>
  <c r="G119" i="7"/>
  <c r="G124" i="7"/>
  <c r="G129" i="7"/>
  <c r="G134" i="7"/>
  <c r="G139" i="7"/>
  <c r="G144" i="7"/>
  <c r="G149" i="7"/>
  <c r="G154" i="7"/>
  <c r="G159" i="7"/>
  <c r="G164" i="7"/>
  <c r="G169" i="7"/>
  <c r="G174" i="7"/>
  <c r="G179" i="7"/>
  <c r="G184" i="7"/>
  <c r="G189" i="7"/>
  <c r="G194" i="7"/>
  <c r="G199" i="7"/>
  <c r="G204" i="7"/>
  <c r="G209" i="7"/>
  <c r="G214" i="7"/>
  <c r="G229" i="7"/>
  <c r="G234" i="7"/>
  <c r="G239" i="7"/>
  <c r="G244" i="7"/>
  <c r="I266" i="7"/>
  <c r="H266" i="7"/>
  <c r="H275" i="7"/>
  <c r="I275" i="7" s="1"/>
  <c r="H277" i="7"/>
  <c r="I277" i="7"/>
  <c r="H279" i="7"/>
  <c r="I279" i="7"/>
  <c r="H284" i="7"/>
  <c r="I284" i="7"/>
  <c r="H286" i="7"/>
  <c r="I286" i="7" s="1"/>
  <c r="J286" i="7" s="1"/>
  <c r="H288" i="7"/>
  <c r="I288" i="7" s="1"/>
  <c r="H293" i="7"/>
  <c r="I293" i="7"/>
  <c r="H295" i="7"/>
  <c r="I295" i="7" s="1"/>
  <c r="J295" i="7" s="1"/>
  <c r="H298" i="7"/>
  <c r="I298" i="7" s="1"/>
  <c r="H319" i="7"/>
  <c r="I319" i="7" s="1"/>
  <c r="J319" i="7" s="1"/>
  <c r="H322" i="7"/>
  <c r="I322" i="7" s="1"/>
  <c r="H324" i="7"/>
  <c r="I324" i="7" s="1"/>
  <c r="I327" i="7"/>
  <c r="H327" i="7"/>
  <c r="H332" i="7"/>
  <c r="I332" i="7" s="1"/>
  <c r="I334" i="7"/>
  <c r="H334" i="7"/>
  <c r="I337" i="7"/>
  <c r="H337" i="7"/>
  <c r="I339" i="7"/>
  <c r="H339" i="7"/>
  <c r="I345" i="7"/>
  <c r="H345" i="7"/>
  <c r="H350" i="7"/>
  <c r="I350" i="7" s="1"/>
  <c r="H355" i="7"/>
  <c r="I355" i="7" s="1"/>
  <c r="H360" i="7"/>
  <c r="I360" i="7" s="1"/>
  <c r="I373" i="7"/>
  <c r="H373" i="7"/>
  <c r="H375" i="7"/>
  <c r="I375" i="7" s="1"/>
  <c r="I382" i="7"/>
  <c r="H382" i="7"/>
  <c r="H384" i="7"/>
  <c r="I384" i="7" s="1"/>
  <c r="J384" i="7" s="1"/>
  <c r="H387" i="7"/>
  <c r="I387" i="7" s="1"/>
  <c r="H392" i="7"/>
  <c r="I392" i="7" s="1"/>
  <c r="I394" i="7"/>
  <c r="H394" i="7"/>
  <c r="I397" i="7"/>
  <c r="H397" i="7"/>
  <c r="H402" i="7"/>
  <c r="I402" i="7" s="1"/>
  <c r="H404" i="7"/>
  <c r="I404" i="7" s="1"/>
  <c r="I407" i="7"/>
  <c r="H407" i="7"/>
  <c r="G429" i="7"/>
  <c r="G434" i="7"/>
  <c r="H442" i="7"/>
  <c r="I442" i="7"/>
  <c r="H446" i="7"/>
  <c r="I446" i="7" s="1"/>
  <c r="I456" i="7"/>
  <c r="H456" i="7"/>
  <c r="H458" i="7"/>
  <c r="I458" i="7" s="1"/>
  <c r="H460" i="7"/>
  <c r="I460" i="7" s="1"/>
  <c r="H465" i="7"/>
  <c r="I465" i="7" s="1"/>
  <c r="H470" i="7"/>
  <c r="I470" i="7" s="1"/>
  <c r="H475" i="7"/>
  <c r="I475" i="7" s="1"/>
  <c r="H480" i="7"/>
  <c r="I480" i="7" s="1"/>
  <c r="H485" i="7"/>
  <c r="I485" i="7" s="1"/>
  <c r="H490" i="7"/>
  <c r="I490" i="7" s="1"/>
  <c r="H495" i="7"/>
  <c r="I495" i="7" s="1"/>
  <c r="H500" i="7"/>
  <c r="I500" i="7" s="1"/>
  <c r="H505" i="7"/>
  <c r="I505" i="7" s="1"/>
  <c r="H511" i="7"/>
  <c r="I511" i="7" s="1"/>
  <c r="H516" i="7"/>
  <c r="I516" i="7" s="1"/>
  <c r="H521" i="7"/>
  <c r="I521" i="7" s="1"/>
  <c r="H526" i="7"/>
  <c r="I526" i="7" s="1"/>
  <c r="H531" i="7"/>
  <c r="I531" i="7" s="1"/>
  <c r="H537" i="7"/>
  <c r="I537" i="7" s="1"/>
  <c r="H542" i="7"/>
  <c r="I542" i="7" s="1"/>
  <c r="I547" i="7"/>
  <c r="H547" i="7"/>
  <c r="G558" i="7"/>
  <c r="G563" i="7"/>
  <c r="G568" i="7"/>
  <c r="G573" i="7"/>
  <c r="G578" i="7"/>
  <c r="G583" i="7"/>
  <c r="G588" i="7"/>
  <c r="G593" i="7"/>
  <c r="G598" i="7"/>
  <c r="G613" i="7"/>
  <c r="G618" i="7"/>
  <c r="G623" i="7"/>
  <c r="G628" i="7"/>
  <c r="G633" i="7"/>
  <c r="G638" i="7"/>
  <c r="G643" i="7"/>
  <c r="G648" i="7"/>
  <c r="G653" i="7"/>
  <c r="G658" i="7"/>
  <c r="G663" i="7"/>
  <c r="G668" i="7"/>
  <c r="G673" i="7"/>
  <c r="G678" i="7"/>
  <c r="G683" i="7"/>
  <c r="G688" i="7"/>
  <c r="G693" i="7"/>
  <c r="G698" i="7"/>
  <c r="G703" i="7"/>
  <c r="G708" i="7"/>
  <c r="G713" i="7"/>
  <c r="G718" i="7"/>
  <c r="G723" i="7"/>
  <c r="G728" i="7"/>
  <c r="G733" i="7"/>
  <c r="G738" i="7"/>
  <c r="G743" i="7"/>
  <c r="G748" i="7"/>
  <c r="G753" i="7"/>
  <c r="G758" i="7"/>
  <c r="G763" i="7"/>
  <c r="G768" i="7"/>
  <c r="G773" i="7"/>
  <c r="G778" i="7"/>
  <c r="G783" i="7"/>
  <c r="G788" i="7"/>
  <c r="G793" i="7"/>
  <c r="G798" i="7"/>
  <c r="G803" i="7"/>
  <c r="G808" i="7"/>
  <c r="G813" i="7"/>
  <c r="G818" i="7"/>
  <c r="G823" i="7"/>
  <c r="G828" i="7"/>
  <c r="G834" i="7"/>
  <c r="G839" i="7"/>
  <c r="G844" i="7"/>
  <c r="G849" i="7"/>
  <c r="G854" i="7"/>
  <c r="G859" i="7"/>
  <c r="G864" i="7"/>
  <c r="H877" i="7"/>
  <c r="I877" i="7" s="1"/>
  <c r="I887" i="7"/>
  <c r="H887" i="7"/>
  <c r="H897" i="7"/>
  <c r="I897" i="7" s="1"/>
  <c r="I907" i="7"/>
  <c r="H907" i="7"/>
  <c r="H991" i="7"/>
  <c r="I991" i="7"/>
  <c r="H994" i="7"/>
  <c r="I994" i="7"/>
  <c r="H996" i="7"/>
  <c r="I996" i="7"/>
  <c r="H999" i="7"/>
  <c r="I999" i="7"/>
  <c r="H1001" i="7"/>
  <c r="I1001" i="7"/>
  <c r="H1004" i="7"/>
  <c r="I1004" i="7"/>
  <c r="H1006" i="7"/>
  <c r="I1006" i="7"/>
  <c r="H1009" i="7"/>
  <c r="I1009" i="7"/>
  <c r="H1011" i="7"/>
  <c r="I1011" i="7"/>
  <c r="H1014" i="7"/>
  <c r="I1014" i="7"/>
  <c r="H1016" i="7"/>
  <c r="I1016" i="7"/>
  <c r="H1019" i="7"/>
  <c r="I1019" i="7"/>
  <c r="H1021" i="7"/>
  <c r="I1021" i="7"/>
  <c r="H1024" i="7"/>
  <c r="I1024" i="7"/>
  <c r="H1026" i="7"/>
  <c r="I1026" i="7"/>
  <c r="H1029" i="7"/>
  <c r="I1029" i="7"/>
  <c r="H1031" i="7"/>
  <c r="I1031" i="7"/>
  <c r="H1034" i="7"/>
  <c r="I1034" i="7"/>
  <c r="H1036" i="7"/>
  <c r="I1036" i="7"/>
  <c r="H1039" i="7"/>
  <c r="I1039" i="7"/>
  <c r="H1041" i="7"/>
  <c r="I1041" i="7"/>
  <c r="H1044" i="7"/>
  <c r="I1044" i="7"/>
  <c r="H1046" i="7"/>
  <c r="I1046" i="7"/>
  <c r="H1049" i="7"/>
  <c r="I1049" i="7"/>
  <c r="H1051" i="7"/>
  <c r="I1051" i="7"/>
  <c r="H1054" i="7"/>
  <c r="I1054" i="7"/>
  <c r="H1056" i="7"/>
  <c r="I1056" i="7"/>
  <c r="H1059" i="7"/>
  <c r="I1059" i="7"/>
  <c r="H1061" i="7"/>
  <c r="I1061" i="7"/>
  <c r="H1064" i="7"/>
  <c r="I1064" i="7"/>
  <c r="H1066" i="7"/>
  <c r="I1066" i="7"/>
  <c r="H1069" i="7"/>
  <c r="I1069" i="7"/>
  <c r="H1071" i="7"/>
  <c r="I1071" i="7"/>
  <c r="H1074" i="7"/>
  <c r="I1074" i="7"/>
  <c r="H1076" i="7"/>
  <c r="I1076" i="7"/>
  <c r="H1079" i="7"/>
  <c r="I1079" i="7"/>
  <c r="H1081" i="7"/>
  <c r="I1081" i="7"/>
  <c r="H1084" i="7"/>
  <c r="I1084" i="7"/>
  <c r="H1086" i="7"/>
  <c r="I1086" i="7"/>
  <c r="H1089" i="7"/>
  <c r="I1089" i="7"/>
  <c r="H1091" i="7"/>
  <c r="I1091" i="7"/>
  <c r="H1094" i="7"/>
  <c r="I1094" i="7"/>
  <c r="H1096" i="7"/>
  <c r="I1096" i="7"/>
  <c r="H1099" i="7"/>
  <c r="I1099" i="7"/>
  <c r="H1101" i="7"/>
  <c r="I1101" i="7"/>
  <c r="H1104" i="7"/>
  <c r="I1104" i="7"/>
  <c r="H1106" i="7"/>
  <c r="I1106" i="7"/>
  <c r="H1109" i="7"/>
  <c r="I1109" i="7"/>
  <c r="H1111" i="7"/>
  <c r="I1111" i="7"/>
  <c r="H1114" i="7"/>
  <c r="I1114" i="7"/>
  <c r="H1116" i="7"/>
  <c r="I1116" i="7"/>
  <c r="H1119" i="7"/>
  <c r="I1119" i="7"/>
  <c r="H1121" i="7"/>
  <c r="I1121" i="7"/>
  <c r="H1124" i="7"/>
  <c r="I1124" i="7"/>
  <c r="H1126" i="7"/>
  <c r="I1126" i="7"/>
  <c r="H1129" i="7"/>
  <c r="I1129" i="7"/>
  <c r="H1131" i="7"/>
  <c r="I1131" i="7"/>
  <c r="H1134" i="7"/>
  <c r="I1134" i="7"/>
  <c r="H1137" i="7"/>
  <c r="I1137" i="7"/>
  <c r="H1140" i="7"/>
  <c r="I1140" i="7"/>
  <c r="H1142" i="7"/>
  <c r="I1142" i="7"/>
  <c r="H1145" i="7"/>
  <c r="I1145" i="7"/>
  <c r="H1147" i="7"/>
  <c r="I1147" i="7"/>
  <c r="H1150" i="7"/>
  <c r="I1150" i="7"/>
  <c r="H1152" i="7"/>
  <c r="I1152" i="7"/>
  <c r="H1155" i="7"/>
  <c r="I1155" i="7"/>
  <c r="H1157" i="7"/>
  <c r="I1157" i="7"/>
  <c r="H1160" i="7"/>
  <c r="I1160" i="7"/>
  <c r="H1162" i="7"/>
  <c r="I1162" i="7"/>
  <c r="H1165" i="7"/>
  <c r="I1165" i="7"/>
  <c r="H1167" i="7"/>
  <c r="I1167" i="7"/>
  <c r="H1170" i="7"/>
  <c r="I1170" i="7"/>
  <c r="H1172" i="7"/>
  <c r="I1172" i="7"/>
  <c r="H1175" i="7"/>
  <c r="I1175" i="7"/>
  <c r="H1178" i="7"/>
  <c r="I1178" i="7"/>
  <c r="H1181" i="7"/>
  <c r="I1181" i="7"/>
  <c r="H1183" i="7"/>
  <c r="I1183" i="7"/>
  <c r="H1186" i="7"/>
  <c r="I1186" i="7"/>
  <c r="H1188" i="7"/>
  <c r="I1188" i="7"/>
  <c r="H1191" i="7"/>
  <c r="I1191" i="7"/>
  <c r="H1193" i="7"/>
  <c r="I1193" i="7"/>
  <c r="H1196" i="7"/>
  <c r="I1196" i="7"/>
  <c r="H1198" i="7"/>
  <c r="I1198" i="7"/>
  <c r="H1201" i="7"/>
  <c r="I1201" i="7"/>
  <c r="H1204" i="7"/>
  <c r="I1204" i="7"/>
  <c r="H1207" i="7"/>
  <c r="I1207" i="7"/>
  <c r="H1209" i="7"/>
  <c r="I1209" i="7"/>
  <c r="H1212" i="7"/>
  <c r="I1212" i="7"/>
  <c r="H1214" i="7"/>
  <c r="I1214" i="7"/>
  <c r="H1217" i="7"/>
  <c r="I1217" i="7"/>
  <c r="H1219" i="7"/>
  <c r="I1219" i="7"/>
  <c r="H1222" i="7"/>
  <c r="I1222" i="7"/>
  <c r="H1224" i="7"/>
  <c r="I1224" i="7"/>
  <c r="H1227" i="7"/>
  <c r="I1227" i="7"/>
  <c r="H1230" i="7"/>
  <c r="I1230" i="7"/>
  <c r="H1233" i="7"/>
  <c r="I1233" i="7"/>
  <c r="H1235" i="7"/>
  <c r="I1235" i="7"/>
  <c r="H1238" i="7"/>
  <c r="I1238" i="7"/>
  <c r="H1240" i="7"/>
  <c r="I1240" i="7"/>
  <c r="H1243" i="7"/>
  <c r="I1243" i="7"/>
  <c r="H1245" i="7"/>
  <c r="I1245" i="7"/>
  <c r="H1248" i="7"/>
  <c r="I1248" i="7"/>
  <c r="H1250" i="7"/>
  <c r="I1250" i="7"/>
  <c r="H1253" i="7"/>
  <c r="I1253" i="7"/>
  <c r="H1255" i="7"/>
  <c r="I1255" i="7"/>
  <c r="H1258" i="7"/>
  <c r="I1258" i="7"/>
  <c r="H1260" i="7"/>
  <c r="I1260" i="7"/>
  <c r="H1263" i="7"/>
  <c r="I1263" i="7"/>
  <c r="H1266" i="7"/>
  <c r="I1266" i="7"/>
  <c r="J1266" i="7" s="1"/>
  <c r="H1358" i="7"/>
  <c r="I1358" i="7"/>
  <c r="H1363" i="7"/>
  <c r="I1363" i="7"/>
  <c r="H1368" i="7"/>
  <c r="I1368" i="7"/>
  <c r="H1393" i="7"/>
  <c r="I1393" i="7"/>
  <c r="H1398" i="7"/>
  <c r="I1398" i="7"/>
  <c r="H1403" i="7"/>
  <c r="I1403" i="7"/>
  <c r="H1408" i="7"/>
  <c r="I1408" i="7"/>
  <c r="H1413" i="7"/>
  <c r="I1413" i="7"/>
  <c r="H1418" i="7"/>
  <c r="I1418" i="7"/>
  <c r="H1423" i="7"/>
  <c r="I1423" i="7"/>
  <c r="H1428" i="7"/>
  <c r="I1428" i="7"/>
  <c r="H1433" i="7"/>
  <c r="I1433" i="7"/>
  <c r="H1438" i="7"/>
  <c r="I1438" i="7"/>
  <c r="H1443" i="7"/>
  <c r="I1443" i="7"/>
  <c r="H1448" i="7"/>
  <c r="I1448" i="7"/>
  <c r="H1454" i="7"/>
  <c r="I1454" i="7"/>
  <c r="H1459" i="7"/>
  <c r="I1459" i="7"/>
  <c r="H1464" i="7"/>
  <c r="I1464" i="7"/>
  <c r="H1469" i="7"/>
  <c r="I1469" i="7"/>
  <c r="H1474" i="7"/>
  <c r="I1474" i="7"/>
  <c r="H1479" i="7"/>
  <c r="I1479" i="7"/>
  <c r="H1615" i="7"/>
  <c r="I1615" i="7"/>
  <c r="H1635" i="7"/>
  <c r="I1635" i="7"/>
  <c r="H1654" i="7"/>
  <c r="I1654" i="7"/>
  <c r="H2052" i="7"/>
  <c r="I2052" i="7"/>
  <c r="H2057" i="7"/>
  <c r="I2057" i="7"/>
  <c r="H2175" i="7"/>
  <c r="I2175" i="7"/>
  <c r="H2177" i="7"/>
  <c r="I2177" i="7"/>
  <c r="H2191" i="7"/>
  <c r="I2191" i="7"/>
  <c r="H2193" i="7"/>
  <c r="I2193" i="7"/>
  <c r="H2651" i="7"/>
  <c r="I2651" i="7"/>
  <c r="F268" i="7"/>
  <c r="G268" i="7" s="1"/>
  <c r="F300" i="7"/>
  <c r="G315" i="7"/>
  <c r="G347" i="7"/>
  <c r="F379" i="7"/>
  <c r="G399" i="7"/>
  <c r="F409" i="7"/>
  <c r="G414" i="7"/>
  <c r="F448" i="7"/>
  <c r="F453" i="7"/>
  <c r="F544" i="7"/>
  <c r="F549" i="7"/>
  <c r="F874" i="7"/>
  <c r="G874" i="7" s="1"/>
  <c r="F879" i="7"/>
  <c r="F884" i="7"/>
  <c r="F889" i="7"/>
  <c r="F894" i="7"/>
  <c r="G894" i="7" s="1"/>
  <c r="F899" i="7"/>
  <c r="F904" i="7"/>
  <c r="F909" i="7"/>
  <c r="D914" i="7"/>
  <c r="I917" i="7"/>
  <c r="H917" i="7"/>
  <c r="D924" i="7"/>
  <c r="I927" i="7"/>
  <c r="H927" i="7"/>
  <c r="D935" i="7"/>
  <c r="I938" i="7"/>
  <c r="H938" i="7"/>
  <c r="D945" i="7"/>
  <c r="I948" i="7"/>
  <c r="H948" i="7"/>
  <c r="D956" i="7"/>
  <c r="I959" i="7"/>
  <c r="H959" i="7"/>
  <c r="D966" i="7"/>
  <c r="I969" i="7"/>
  <c r="H969" i="7"/>
  <c r="D976" i="7"/>
  <c r="I979" i="7"/>
  <c r="H979" i="7"/>
  <c r="D986" i="7"/>
  <c r="I989" i="7"/>
  <c r="H989" i="7"/>
  <c r="G1271" i="7"/>
  <c r="D1271" i="7"/>
  <c r="D1282" i="7"/>
  <c r="I1285" i="7"/>
  <c r="H1285" i="7"/>
  <c r="D1292" i="7"/>
  <c r="I1295" i="7"/>
  <c r="H1295" i="7"/>
  <c r="D1302" i="7"/>
  <c r="I1305" i="7"/>
  <c r="H1305" i="7"/>
  <c r="D1312" i="7"/>
  <c r="I1315" i="7"/>
  <c r="H1315" i="7"/>
  <c r="I1348" i="7"/>
  <c r="H1348" i="7"/>
  <c r="I1351" i="7"/>
  <c r="H1351" i="7"/>
  <c r="I1383" i="7"/>
  <c r="H1383" i="7"/>
  <c r="I1386" i="7"/>
  <c r="H1386" i="7"/>
  <c r="I1495" i="7"/>
  <c r="H1495" i="7"/>
  <c r="I1498" i="7"/>
  <c r="H1498" i="7"/>
  <c r="I1515" i="7"/>
  <c r="H1515" i="7"/>
  <c r="I1518" i="7"/>
  <c r="H1518" i="7"/>
  <c r="I1535" i="7"/>
  <c r="H1535" i="7"/>
  <c r="I1538" i="7"/>
  <c r="H1538" i="7"/>
  <c r="D1551" i="7"/>
  <c r="I1554" i="7"/>
  <c r="H1554" i="7"/>
  <c r="D1561" i="7"/>
  <c r="I1564" i="7"/>
  <c r="H1564" i="7"/>
  <c r="D1571" i="7"/>
  <c r="I1574" i="7"/>
  <c r="H1574" i="7"/>
  <c r="D1581" i="7"/>
  <c r="I1584" i="7"/>
  <c r="H1584" i="7"/>
  <c r="D1591" i="7"/>
  <c r="I1594" i="7"/>
  <c r="H1594" i="7"/>
  <c r="D1601" i="7"/>
  <c r="I1604" i="7"/>
  <c r="H1604" i="7"/>
  <c r="D1672" i="7"/>
  <c r="I1675" i="7"/>
  <c r="H1675" i="7"/>
  <c r="D1682" i="7"/>
  <c r="I1685" i="7"/>
  <c r="H1685" i="7"/>
  <c r="D1692" i="7"/>
  <c r="I1695" i="7"/>
  <c r="H1695" i="7"/>
  <c r="D1702" i="7"/>
  <c r="I1705" i="7"/>
  <c r="H1705" i="7"/>
  <c r="D1712" i="7"/>
  <c r="I1715" i="7"/>
  <c r="H1715" i="7"/>
  <c r="D1722" i="7"/>
  <c r="I1725" i="7"/>
  <c r="H1725" i="7"/>
  <c r="D1732" i="7"/>
  <c r="I1735" i="7"/>
  <c r="H1735" i="7"/>
  <c r="D1742" i="7"/>
  <c r="I1745" i="7"/>
  <c r="H1745" i="7"/>
  <c r="D1752" i="7"/>
  <c r="I1755" i="7"/>
  <c r="H1755" i="7"/>
  <c r="D1763" i="7"/>
  <c r="I1766" i="7"/>
  <c r="H1766" i="7"/>
  <c r="D1773" i="7"/>
  <c r="I1776" i="7"/>
  <c r="H1776" i="7"/>
  <c r="D1783" i="7"/>
  <c r="I1786" i="7"/>
  <c r="H1786" i="7"/>
  <c r="D1793" i="7"/>
  <c r="I1796" i="7"/>
  <c r="H1796" i="7"/>
  <c r="D1803" i="7"/>
  <c r="I1806" i="7"/>
  <c r="H1806" i="7"/>
  <c r="I1971" i="7"/>
  <c r="H1971" i="7"/>
  <c r="I1981" i="7"/>
  <c r="H1981" i="7"/>
  <c r="I1991" i="7"/>
  <c r="H1991" i="7"/>
  <c r="I2001" i="7"/>
  <c r="H2001" i="7"/>
  <c r="I2011" i="7"/>
  <c r="H2011" i="7"/>
  <c r="I2021" i="7"/>
  <c r="H2021" i="7"/>
  <c r="I2031" i="7"/>
  <c r="H2031" i="7"/>
  <c r="I2041" i="7"/>
  <c r="H2041" i="7"/>
  <c r="G2049" i="7"/>
  <c r="D2049" i="7"/>
  <c r="I2051" i="7"/>
  <c r="H2051" i="7"/>
  <c r="G2109" i="7"/>
  <c r="D2109" i="7"/>
  <c r="I2112" i="7"/>
  <c r="H2112" i="7"/>
  <c r="G2119" i="7"/>
  <c r="D2119" i="7"/>
  <c r="I2122" i="7"/>
  <c r="H2122" i="7"/>
  <c r="G2129" i="7"/>
  <c r="D2129" i="7"/>
  <c r="I2132" i="7"/>
  <c r="H2132" i="7"/>
  <c r="I2137" i="7"/>
  <c r="H2137" i="7"/>
  <c r="D2144" i="7"/>
  <c r="F2144" i="7"/>
  <c r="G2144" i="7" s="1"/>
  <c r="H2147" i="7"/>
  <c r="I2147" i="7" s="1"/>
  <c r="D2154" i="7"/>
  <c r="G2154" i="7" s="1"/>
  <c r="F2154" i="7"/>
  <c r="I2157" i="7"/>
  <c r="H2157" i="7"/>
  <c r="D2164" i="7"/>
  <c r="F2164" i="7"/>
  <c r="G2164" i="7" s="1"/>
  <c r="H2167" i="7"/>
  <c r="I2167" i="7" s="1"/>
  <c r="H2179" i="7"/>
  <c r="I2179" i="7" s="1"/>
  <c r="J2179" i="7" s="1"/>
  <c r="I2183" i="7"/>
  <c r="I2197" i="7"/>
  <c r="H2197" i="7"/>
  <c r="I2201" i="7"/>
  <c r="D2207" i="7"/>
  <c r="G2207" i="7" s="1"/>
  <c r="F2207" i="7"/>
  <c r="I2210" i="7"/>
  <c r="H2210" i="7"/>
  <c r="D2217" i="7"/>
  <c r="F2217" i="7"/>
  <c r="G2217" i="7" s="1"/>
  <c r="H2220" i="7"/>
  <c r="I2220" i="7" s="1"/>
  <c r="D2227" i="7"/>
  <c r="G2227" i="7" s="1"/>
  <c r="F2227" i="7"/>
  <c r="I2230" i="7"/>
  <c r="H2230" i="7"/>
  <c r="D2237" i="7"/>
  <c r="F2237" i="7"/>
  <c r="G2237" i="7" s="1"/>
  <c r="H2240" i="7"/>
  <c r="I2240" i="7" s="1"/>
  <c r="D2247" i="7"/>
  <c r="G2247" i="7" s="1"/>
  <c r="F2247" i="7"/>
  <c r="I2250" i="7"/>
  <c r="H2250" i="7"/>
  <c r="D2257" i="7"/>
  <c r="F2257" i="7"/>
  <c r="G2257" i="7" s="1"/>
  <c r="H2260" i="7"/>
  <c r="I2260" i="7" s="1"/>
  <c r="D2267" i="7"/>
  <c r="G2267" i="7" s="1"/>
  <c r="F2267" i="7"/>
  <c r="I2270" i="7"/>
  <c r="H2270" i="7"/>
  <c r="D2277" i="7"/>
  <c r="F2277" i="7"/>
  <c r="G2277" i="7" s="1"/>
  <c r="H2280" i="7"/>
  <c r="I2280" i="7" s="1"/>
  <c r="D2288" i="7"/>
  <c r="G2288" i="7" s="1"/>
  <c r="F2288" i="7"/>
  <c r="I2291" i="7"/>
  <c r="H2291" i="7"/>
  <c r="D2298" i="7"/>
  <c r="F2298" i="7"/>
  <c r="G2298" i="7" s="1"/>
  <c r="H2301" i="7"/>
  <c r="I2301" i="7" s="1"/>
  <c r="D2308" i="7"/>
  <c r="G2308" i="7" s="1"/>
  <c r="F2308" i="7"/>
  <c r="I2311" i="7"/>
  <c r="H2311" i="7"/>
  <c r="D2318" i="7"/>
  <c r="F2318" i="7"/>
  <c r="G2318" i="7" s="1"/>
  <c r="H2321" i="7"/>
  <c r="I2321" i="7" s="1"/>
  <c r="D2328" i="7"/>
  <c r="G2328" i="7" s="1"/>
  <c r="F2328" i="7"/>
  <c r="I2331" i="7"/>
  <c r="H2331" i="7"/>
  <c r="D2338" i="7"/>
  <c r="F2338" i="7"/>
  <c r="G2338" i="7" s="1"/>
  <c r="H2341" i="7"/>
  <c r="I2341" i="7" s="1"/>
  <c r="D2348" i="7"/>
  <c r="G2348" i="7" s="1"/>
  <c r="F2348" i="7"/>
  <c r="I2351" i="7"/>
  <c r="H2351" i="7"/>
  <c r="D2358" i="7"/>
  <c r="F2358" i="7"/>
  <c r="G2358" i="7" s="1"/>
  <c r="H2361" i="7"/>
  <c r="I2361" i="7" s="1"/>
  <c r="D2368" i="7"/>
  <c r="G2368" i="7" s="1"/>
  <c r="F2368" i="7"/>
  <c r="I2371" i="7"/>
  <c r="H2371" i="7"/>
  <c r="D2378" i="7"/>
  <c r="F2378" i="7"/>
  <c r="G2378" i="7" s="1"/>
  <c r="H2381" i="7"/>
  <c r="I2381" i="7" s="1"/>
  <c r="D2388" i="7"/>
  <c r="G2388" i="7" s="1"/>
  <c r="F2388" i="7"/>
  <c r="I2391" i="7"/>
  <c r="H2391" i="7"/>
  <c r="D2398" i="7"/>
  <c r="F2398" i="7"/>
  <c r="G2398" i="7" s="1"/>
  <c r="H2401" i="7"/>
  <c r="I2401" i="7" s="1"/>
  <c r="D2409" i="7"/>
  <c r="G2409" i="7" s="1"/>
  <c r="F2409" i="7"/>
  <c r="I2412" i="7"/>
  <c r="H2412" i="7"/>
  <c r="D2419" i="7"/>
  <c r="F2419" i="7"/>
  <c r="G2419" i="7" s="1"/>
  <c r="H2422" i="7"/>
  <c r="I2422" i="7" s="1"/>
  <c r="D2430" i="7"/>
  <c r="G2430" i="7" s="1"/>
  <c r="F2430" i="7"/>
  <c r="I2433" i="7"/>
  <c r="H2433" i="7"/>
  <c r="D2440" i="7"/>
  <c r="F2440" i="7"/>
  <c r="G2440" i="7" s="1"/>
  <c r="H2443" i="7"/>
  <c r="I2443" i="7" s="1"/>
  <c r="D2450" i="7"/>
  <c r="G2450" i="7" s="1"/>
  <c r="F2450" i="7"/>
  <c r="I2453" i="7"/>
  <c r="H2453" i="7"/>
  <c r="D2460" i="7"/>
  <c r="F2460" i="7"/>
  <c r="G2460" i="7" s="1"/>
  <c r="H2463" i="7"/>
  <c r="I2463" i="7" s="1"/>
  <c r="D2471" i="7"/>
  <c r="G2471" i="7" s="1"/>
  <c r="F2471" i="7"/>
  <c r="I2474" i="7"/>
  <c r="H2474" i="7"/>
  <c r="D2481" i="7"/>
  <c r="F2481" i="7"/>
  <c r="G2481" i="7" s="1"/>
  <c r="H2484" i="7"/>
  <c r="I2484" i="7" s="1"/>
  <c r="D2491" i="7"/>
  <c r="G2491" i="7" s="1"/>
  <c r="F2491" i="7"/>
  <c r="I2494" i="7"/>
  <c r="H2494" i="7"/>
  <c r="D2501" i="7"/>
  <c r="F2501" i="7"/>
  <c r="G2501" i="7" s="1"/>
  <c r="H2504" i="7"/>
  <c r="I2504" i="7" s="1"/>
  <c r="D2511" i="7"/>
  <c r="G2511" i="7" s="1"/>
  <c r="F2511" i="7"/>
  <c r="I2514" i="7"/>
  <c r="H2514" i="7"/>
  <c r="D2521" i="7"/>
  <c r="F2521" i="7"/>
  <c r="G2521" i="7" s="1"/>
  <c r="H2524" i="7"/>
  <c r="I2524" i="7" s="1"/>
  <c r="D2531" i="7"/>
  <c r="G2531" i="7" s="1"/>
  <c r="F2531" i="7"/>
  <c r="I2534" i="7"/>
  <c r="H2534" i="7"/>
  <c r="D2541" i="7"/>
  <c r="F2541" i="7"/>
  <c r="G2541" i="7" s="1"/>
  <c r="H2544" i="7"/>
  <c r="I2544" i="7" s="1"/>
  <c r="D2551" i="7"/>
  <c r="G2551" i="7" s="1"/>
  <c r="F2551" i="7"/>
  <c r="I2554" i="7"/>
  <c r="H2554" i="7"/>
  <c r="D2561" i="7"/>
  <c r="F2561" i="7"/>
  <c r="G2561" i="7" s="1"/>
  <c r="H2564" i="7"/>
  <c r="I2564" i="7" s="1"/>
  <c r="D2572" i="7"/>
  <c r="G2572" i="7" s="1"/>
  <c r="F2572" i="7"/>
  <c r="I2575" i="7"/>
  <c r="H2575" i="7"/>
  <c r="D2582" i="7"/>
  <c r="F2582" i="7"/>
  <c r="G2582" i="7" s="1"/>
  <c r="H2585" i="7"/>
  <c r="I2585" i="7" s="1"/>
  <c r="D2592" i="7"/>
  <c r="G2592" i="7" s="1"/>
  <c r="F2592" i="7"/>
  <c r="I2595" i="7"/>
  <c r="H2595" i="7"/>
  <c r="D2603" i="7"/>
  <c r="F2603" i="7"/>
  <c r="G2603" i="7" s="1"/>
  <c r="H2606" i="7"/>
  <c r="I2606" i="7" s="1"/>
  <c r="D2613" i="7"/>
  <c r="G2613" i="7" s="1"/>
  <c r="F2613" i="7"/>
  <c r="I2616" i="7"/>
  <c r="H2616" i="7"/>
  <c r="D2623" i="7"/>
  <c r="F2623" i="7"/>
  <c r="G2623" i="7" s="1"/>
  <c r="H2626" i="7"/>
  <c r="I2626" i="7" s="1"/>
  <c r="D2633" i="7"/>
  <c r="G2633" i="7" s="1"/>
  <c r="F2633" i="7"/>
  <c r="I2636" i="7"/>
  <c r="H2636" i="7"/>
  <c r="D2643" i="7"/>
  <c r="F2643" i="7"/>
  <c r="G2643" i="7" s="1"/>
  <c r="H2646" i="7"/>
  <c r="I2646" i="7" s="1"/>
  <c r="H2657" i="7"/>
  <c r="I2657" i="7" s="1"/>
  <c r="H2667" i="7"/>
  <c r="I2667" i="7" s="1"/>
  <c r="H2677" i="7"/>
  <c r="I2677" i="7" s="1"/>
  <c r="H2687" i="7"/>
  <c r="I2687" i="7" s="1"/>
  <c r="H2697" i="7"/>
  <c r="I2697" i="7" s="1"/>
  <c r="H2705" i="7"/>
  <c r="I2705" i="7" s="1"/>
  <c r="H2712" i="7"/>
  <c r="I2712" i="7" s="1"/>
  <c r="H2722" i="7"/>
  <c r="I2722" i="7" s="1"/>
  <c r="H2732" i="7"/>
  <c r="I2732" i="7" s="1"/>
  <c r="H2742" i="7"/>
  <c r="I2742" i="7" s="1"/>
  <c r="H2752" i="7"/>
  <c r="I2752" i="7" s="1"/>
  <c r="H2763" i="7"/>
  <c r="I2763" i="7" s="1"/>
  <c r="H2773" i="7"/>
  <c r="I2773" i="7" s="1"/>
  <c r="H2783" i="7"/>
  <c r="I2783" i="7" s="1"/>
  <c r="H2793" i="7"/>
  <c r="I2793" i="7" s="1"/>
  <c r="H2803" i="7"/>
  <c r="I2803" i="7" s="1"/>
  <c r="H2813" i="7"/>
  <c r="I2813" i="7" s="1"/>
  <c r="H2823" i="7"/>
  <c r="I2823" i="7" s="1"/>
  <c r="H2834" i="7"/>
  <c r="I2834" i="7" s="1"/>
  <c r="H2844" i="7"/>
  <c r="I2844" i="7" s="1"/>
  <c r="H2854" i="7"/>
  <c r="I2854" i="7" s="1"/>
  <c r="H2864" i="7"/>
  <c r="I2864" i="7" s="1"/>
  <c r="H2874" i="7"/>
  <c r="I2874" i="7" s="1"/>
  <c r="H2884" i="7"/>
  <c r="I2884" i="7" s="1"/>
  <c r="H2894" i="7"/>
  <c r="I2894" i="7" s="1"/>
  <c r="H2897" i="7"/>
  <c r="I2897" i="7" s="1"/>
  <c r="D2913" i="7"/>
  <c r="F2913" i="7"/>
  <c r="G2913" i="7" s="1"/>
  <c r="D2929" i="7"/>
  <c r="F2929" i="7"/>
  <c r="G2929" i="7" s="1"/>
  <c r="D2945" i="7"/>
  <c r="F2945" i="7"/>
  <c r="G2945" i="7" s="1"/>
  <c r="D2961" i="7"/>
  <c r="F2961" i="7"/>
  <c r="G2961" i="7" s="1"/>
  <c r="H2993" i="7"/>
  <c r="I2993" i="7"/>
  <c r="I2997" i="7"/>
  <c r="I3025" i="7"/>
  <c r="H3051" i="7"/>
  <c r="I3051" i="7"/>
  <c r="H3053" i="7"/>
  <c r="I3053" i="7"/>
  <c r="I3059" i="7"/>
  <c r="D254" i="7"/>
  <c r="G254" i="7" s="1"/>
  <c r="D268" i="7"/>
  <c r="D290" i="7"/>
  <c r="G290" i="7" s="1"/>
  <c r="D300" i="7"/>
  <c r="G300" i="7" s="1"/>
  <c r="D305" i="7"/>
  <c r="G305" i="7" s="1"/>
  <c r="D315" i="7"/>
  <c r="D329" i="7"/>
  <c r="G329" i="7" s="1"/>
  <c r="D347" i="7"/>
  <c r="D379" i="7"/>
  <c r="G379" i="7" s="1"/>
  <c r="D399" i="7"/>
  <c r="D409" i="7"/>
  <c r="G409" i="7" s="1"/>
  <c r="D414" i="7"/>
  <c r="D424" i="7"/>
  <c r="G424" i="7" s="1"/>
  <c r="D448" i="7"/>
  <c r="G448" i="7" s="1"/>
  <c r="D453" i="7"/>
  <c r="G453" i="7" s="1"/>
  <c r="D544" i="7"/>
  <c r="G544" i="7" s="1"/>
  <c r="D549" i="7"/>
  <c r="G549" i="7" s="1"/>
  <c r="D874" i="7"/>
  <c r="D879" i="7"/>
  <c r="G879" i="7" s="1"/>
  <c r="D884" i="7"/>
  <c r="G884" i="7" s="1"/>
  <c r="D889" i="7"/>
  <c r="G889" i="7" s="1"/>
  <c r="D894" i="7"/>
  <c r="D899" i="7"/>
  <c r="G899" i="7" s="1"/>
  <c r="D904" i="7"/>
  <c r="G904" i="7" s="1"/>
  <c r="D909" i="7"/>
  <c r="G909" i="7" s="1"/>
  <c r="G912" i="7"/>
  <c r="F914" i="7"/>
  <c r="G914" i="7" s="1"/>
  <c r="D919" i="7"/>
  <c r="G919" i="7" s="1"/>
  <c r="G922" i="7"/>
  <c r="F924" i="7"/>
  <c r="G924" i="7" s="1"/>
  <c r="D930" i="7"/>
  <c r="G930" i="7" s="1"/>
  <c r="G933" i="7"/>
  <c r="F935" i="7"/>
  <c r="G935" i="7" s="1"/>
  <c r="D940" i="7"/>
  <c r="G940" i="7" s="1"/>
  <c r="G943" i="7"/>
  <c r="F945" i="7"/>
  <c r="G945" i="7" s="1"/>
  <c r="D950" i="7"/>
  <c r="G950" i="7" s="1"/>
  <c r="G953" i="7"/>
  <c r="F956" i="7"/>
  <c r="G956" i="7" s="1"/>
  <c r="D961" i="7"/>
  <c r="G961" i="7" s="1"/>
  <c r="G964" i="7"/>
  <c r="F966" i="7"/>
  <c r="G966" i="7" s="1"/>
  <c r="D971" i="7"/>
  <c r="G971" i="7" s="1"/>
  <c r="G974" i="7"/>
  <c r="F976" i="7"/>
  <c r="G976" i="7" s="1"/>
  <c r="D981" i="7"/>
  <c r="G981" i="7" s="1"/>
  <c r="G984" i="7"/>
  <c r="F986" i="7"/>
  <c r="G986" i="7" s="1"/>
  <c r="F1271" i="7"/>
  <c r="F1282" i="7"/>
  <c r="G1282" i="7" s="1"/>
  <c r="D1287" i="7"/>
  <c r="G1287" i="7" s="1"/>
  <c r="G1290" i="7"/>
  <c r="F1292" i="7"/>
  <c r="G1292" i="7" s="1"/>
  <c r="D1297" i="7"/>
  <c r="G1297" i="7" s="1"/>
  <c r="G1300" i="7"/>
  <c r="F1302" i="7"/>
  <c r="G1302" i="7" s="1"/>
  <c r="D1307" i="7"/>
  <c r="G1307" i="7" s="1"/>
  <c r="G1310" i="7"/>
  <c r="F1312" i="7"/>
  <c r="G1312" i="7" s="1"/>
  <c r="D1317" i="7"/>
  <c r="G1317" i="7" s="1"/>
  <c r="G1320" i="7"/>
  <c r="G1373" i="7"/>
  <c r="G1376" i="7"/>
  <c r="G1485" i="7"/>
  <c r="G1488" i="7"/>
  <c r="G1505" i="7"/>
  <c r="G1508" i="7"/>
  <c r="G1525" i="7"/>
  <c r="G1528" i="7"/>
  <c r="G1545" i="7"/>
  <c r="G1548" i="7"/>
  <c r="F1551" i="7"/>
  <c r="G1551" i="7" s="1"/>
  <c r="D1556" i="7"/>
  <c r="G1556" i="7" s="1"/>
  <c r="G1559" i="7"/>
  <c r="F1561" i="7"/>
  <c r="G1561" i="7" s="1"/>
  <c r="D1566" i="7"/>
  <c r="G1566" i="7" s="1"/>
  <c r="G1569" i="7"/>
  <c r="F1571" i="7"/>
  <c r="G1571" i="7" s="1"/>
  <c r="D1576" i="7"/>
  <c r="G1576" i="7" s="1"/>
  <c r="G1579" i="7"/>
  <c r="F1581" i="7"/>
  <c r="G1581" i="7" s="1"/>
  <c r="D1586" i="7"/>
  <c r="G1586" i="7" s="1"/>
  <c r="G1589" i="7"/>
  <c r="F1591" i="7"/>
  <c r="G1591" i="7" s="1"/>
  <c r="D1596" i="7"/>
  <c r="G1596" i="7" s="1"/>
  <c r="G1599" i="7"/>
  <c r="F1601" i="7"/>
  <c r="G1601" i="7" s="1"/>
  <c r="D1606" i="7"/>
  <c r="G1606" i="7" s="1"/>
  <c r="G1609" i="7"/>
  <c r="G1612" i="7"/>
  <c r="G1617" i="7"/>
  <c r="G1620" i="7"/>
  <c r="G1622" i="7"/>
  <c r="G1627" i="7"/>
  <c r="G1630" i="7"/>
  <c r="G1632" i="7"/>
  <c r="G1637" i="7"/>
  <c r="G1640" i="7"/>
  <c r="G1641" i="7"/>
  <c r="G1646" i="7"/>
  <c r="G1649" i="7"/>
  <c r="G1651" i="7"/>
  <c r="G1656" i="7"/>
  <c r="G1659" i="7"/>
  <c r="G1661" i="7"/>
  <c r="G1666" i="7"/>
  <c r="G1669" i="7"/>
  <c r="F1672" i="7"/>
  <c r="G1672" i="7" s="1"/>
  <c r="D1677" i="7"/>
  <c r="G1677" i="7" s="1"/>
  <c r="G1680" i="7"/>
  <c r="F1682" i="7"/>
  <c r="G1682" i="7" s="1"/>
  <c r="D1687" i="7"/>
  <c r="G1687" i="7" s="1"/>
  <c r="G1690" i="7"/>
  <c r="F1692" i="7"/>
  <c r="G1692" i="7" s="1"/>
  <c r="D1697" i="7"/>
  <c r="G1697" i="7" s="1"/>
  <c r="G1700" i="7"/>
  <c r="F1702" i="7"/>
  <c r="G1702" i="7" s="1"/>
  <c r="D1707" i="7"/>
  <c r="G1707" i="7" s="1"/>
  <c r="G1710" i="7"/>
  <c r="F1712" i="7"/>
  <c r="G1712" i="7" s="1"/>
  <c r="D1717" i="7"/>
  <c r="G1717" i="7" s="1"/>
  <c r="G1720" i="7"/>
  <c r="F1722" i="7"/>
  <c r="G1722" i="7" s="1"/>
  <c r="D1727" i="7"/>
  <c r="G1727" i="7" s="1"/>
  <c r="G1730" i="7"/>
  <c r="F1732" i="7"/>
  <c r="G1732" i="7" s="1"/>
  <c r="D1737" i="7"/>
  <c r="G1737" i="7" s="1"/>
  <c r="G1740" i="7"/>
  <c r="F1742" i="7"/>
  <c r="G1742" i="7" s="1"/>
  <c r="D1747" i="7"/>
  <c r="G1747" i="7" s="1"/>
  <c r="G1750" i="7"/>
  <c r="F1752" i="7"/>
  <c r="G1752" i="7" s="1"/>
  <c r="D1757" i="7"/>
  <c r="G1757" i="7" s="1"/>
  <c r="G1760" i="7"/>
  <c r="F1763" i="7"/>
  <c r="G1763" i="7" s="1"/>
  <c r="D1768" i="7"/>
  <c r="G1768" i="7" s="1"/>
  <c r="G1771" i="7"/>
  <c r="F1773" i="7"/>
  <c r="G1773" i="7" s="1"/>
  <c r="D1778" i="7"/>
  <c r="G1778" i="7" s="1"/>
  <c r="G1781" i="7"/>
  <c r="F1783" i="7"/>
  <c r="G1783" i="7" s="1"/>
  <c r="D1788" i="7"/>
  <c r="G1788" i="7" s="1"/>
  <c r="G1791" i="7"/>
  <c r="F1793" i="7"/>
  <c r="G1793" i="7" s="1"/>
  <c r="D1798" i="7"/>
  <c r="G1798" i="7" s="1"/>
  <c r="G1801" i="7"/>
  <c r="F1803" i="7"/>
  <c r="G1803" i="7" s="1"/>
  <c r="I1808" i="7"/>
  <c r="I1968" i="7"/>
  <c r="J1968" i="7" s="1"/>
  <c r="G1968" i="7"/>
  <c r="H1968" i="7" s="1"/>
  <c r="I1978" i="7"/>
  <c r="J1978" i="7" s="1"/>
  <c r="G1978" i="7"/>
  <c r="H1978" i="7" s="1"/>
  <c r="I1988" i="7"/>
  <c r="J1988" i="7" s="1"/>
  <c r="G1988" i="7"/>
  <c r="H1988" i="7" s="1"/>
  <c r="I1998" i="7"/>
  <c r="J1998" i="7" s="1"/>
  <c r="G1998" i="7"/>
  <c r="H1998" i="7" s="1"/>
  <c r="I2008" i="7"/>
  <c r="J2008" i="7" s="1"/>
  <c r="G2008" i="7"/>
  <c r="H2008" i="7" s="1"/>
  <c r="I2018" i="7"/>
  <c r="J2018" i="7" s="1"/>
  <c r="G2018" i="7"/>
  <c r="H2018" i="7" s="1"/>
  <c r="I2028" i="7"/>
  <c r="J2028" i="7" s="1"/>
  <c r="G2028" i="7"/>
  <c r="H2028" i="7" s="1"/>
  <c r="I2038" i="7"/>
  <c r="J2038" i="7" s="1"/>
  <c r="G2038" i="7"/>
  <c r="H2038" i="7" s="1"/>
  <c r="G2044" i="7"/>
  <c r="D2044" i="7"/>
  <c r="G2047" i="7"/>
  <c r="F2049" i="7"/>
  <c r="G2107" i="7"/>
  <c r="F2109" i="7"/>
  <c r="G2114" i="7"/>
  <c r="D2114" i="7"/>
  <c r="G2117" i="7"/>
  <c r="F2119" i="7"/>
  <c r="G2124" i="7"/>
  <c r="D2124" i="7"/>
  <c r="G2127" i="7"/>
  <c r="F2129" i="7"/>
  <c r="G2134" i="7"/>
  <c r="D2134" i="7"/>
  <c r="I2181" i="7"/>
  <c r="H2181" i="7"/>
  <c r="I2185" i="7"/>
  <c r="H2195" i="7"/>
  <c r="I2195" i="7" s="1"/>
  <c r="J2195" i="7" s="1"/>
  <c r="I2199" i="7"/>
  <c r="D2654" i="7"/>
  <c r="F2654" i="7"/>
  <c r="G2654" i="7" s="1"/>
  <c r="D2664" i="7"/>
  <c r="G2664" i="7" s="1"/>
  <c r="F2664" i="7"/>
  <c r="D2674" i="7"/>
  <c r="F2674" i="7"/>
  <c r="G2674" i="7" s="1"/>
  <c r="D2684" i="7"/>
  <c r="G2684" i="7" s="1"/>
  <c r="F2684" i="7"/>
  <c r="D2694" i="7"/>
  <c r="F2694" i="7"/>
  <c r="G2694" i="7" s="1"/>
  <c r="D2704" i="7"/>
  <c r="G2704" i="7" s="1"/>
  <c r="F2704" i="7"/>
  <c r="D2709" i="7"/>
  <c r="F2709" i="7"/>
  <c r="G2709" i="7" s="1"/>
  <c r="D2719" i="7"/>
  <c r="G2719" i="7" s="1"/>
  <c r="F2719" i="7"/>
  <c r="D2729" i="7"/>
  <c r="F2729" i="7"/>
  <c r="G2729" i="7" s="1"/>
  <c r="D2739" i="7"/>
  <c r="G2739" i="7" s="1"/>
  <c r="F2739" i="7"/>
  <c r="D2749" i="7"/>
  <c r="F2749" i="7"/>
  <c r="G2749" i="7" s="1"/>
  <c r="D2760" i="7"/>
  <c r="G2760" i="7" s="1"/>
  <c r="F2760" i="7"/>
  <c r="D2770" i="7"/>
  <c r="F2770" i="7"/>
  <c r="G2770" i="7" s="1"/>
  <c r="D2780" i="7"/>
  <c r="G2780" i="7" s="1"/>
  <c r="F2780" i="7"/>
  <c r="D2790" i="7"/>
  <c r="F2790" i="7"/>
  <c r="G2790" i="7" s="1"/>
  <c r="D2800" i="7"/>
  <c r="G2800" i="7" s="1"/>
  <c r="F2800" i="7"/>
  <c r="D2810" i="7"/>
  <c r="F2810" i="7"/>
  <c r="G2810" i="7" s="1"/>
  <c r="D2820" i="7"/>
  <c r="G2820" i="7" s="1"/>
  <c r="F2820" i="7"/>
  <c r="D2831" i="7"/>
  <c r="F2831" i="7"/>
  <c r="G2831" i="7" s="1"/>
  <c r="D2841" i="7"/>
  <c r="G2841" i="7" s="1"/>
  <c r="F2841" i="7"/>
  <c r="D2851" i="7"/>
  <c r="F2851" i="7"/>
  <c r="G2851" i="7" s="1"/>
  <c r="D2861" i="7"/>
  <c r="G2861" i="7" s="1"/>
  <c r="F2861" i="7"/>
  <c r="D2871" i="7"/>
  <c r="F2871" i="7"/>
  <c r="G2871" i="7" s="1"/>
  <c r="D2881" i="7"/>
  <c r="G2881" i="7" s="1"/>
  <c r="F2881" i="7"/>
  <c r="D2891" i="7"/>
  <c r="F2891" i="7"/>
  <c r="G2891" i="7" s="1"/>
  <c r="H2985" i="7"/>
  <c r="I2985" i="7"/>
  <c r="H3005" i="7"/>
  <c r="I3005" i="7"/>
  <c r="H3009" i="7"/>
  <c r="I3009" i="7"/>
  <c r="H3033" i="7"/>
  <c r="I3033" i="7"/>
  <c r="I3045" i="7"/>
  <c r="I3047" i="7"/>
  <c r="H3047" i="7"/>
  <c r="H3067" i="7"/>
  <c r="I3067" i="7" s="1"/>
  <c r="J3067" i="7" s="1"/>
  <c r="G2139" i="7"/>
  <c r="D2139" i="7"/>
  <c r="G2142" i="7"/>
  <c r="D2149" i="7"/>
  <c r="G2149" i="7" s="1"/>
  <c r="G2152" i="7"/>
  <c r="G2159" i="7"/>
  <c r="D2159" i="7"/>
  <c r="G2162" i="7"/>
  <c r="D2169" i="7"/>
  <c r="G2169" i="7" s="1"/>
  <c r="G2172" i="7"/>
  <c r="G2187" i="7"/>
  <c r="G2189" i="7"/>
  <c r="G2203" i="7"/>
  <c r="G2205" i="7"/>
  <c r="G2212" i="7"/>
  <c r="D2212" i="7"/>
  <c r="G2215" i="7"/>
  <c r="D2222" i="7"/>
  <c r="G2222" i="7" s="1"/>
  <c r="G2225" i="7"/>
  <c r="G2232" i="7"/>
  <c r="D2232" i="7"/>
  <c r="G2235" i="7"/>
  <c r="D2242" i="7"/>
  <c r="G2242" i="7" s="1"/>
  <c r="G2245" i="7"/>
  <c r="G2252" i="7"/>
  <c r="D2252" i="7"/>
  <c r="G2255" i="7"/>
  <c r="D2262" i="7"/>
  <c r="G2262" i="7" s="1"/>
  <c r="G2265" i="7"/>
  <c r="G2272" i="7"/>
  <c r="D2272" i="7"/>
  <c r="G2275" i="7"/>
  <c r="D2283" i="7"/>
  <c r="G2283" i="7" s="1"/>
  <c r="G2286" i="7"/>
  <c r="G2293" i="7"/>
  <c r="D2293" i="7"/>
  <c r="G2296" i="7"/>
  <c r="D2303" i="7"/>
  <c r="G2303" i="7" s="1"/>
  <c r="G2306" i="7"/>
  <c r="G2313" i="7"/>
  <c r="D2313" i="7"/>
  <c r="G2316" i="7"/>
  <c r="D2323" i="7"/>
  <c r="G2323" i="7" s="1"/>
  <c r="G2326" i="7"/>
  <c r="G2333" i="7"/>
  <c r="D2333" i="7"/>
  <c r="G2336" i="7"/>
  <c r="D2343" i="7"/>
  <c r="G2343" i="7" s="1"/>
  <c r="G2346" i="7"/>
  <c r="G2353" i="7"/>
  <c r="D2353" i="7"/>
  <c r="G2356" i="7"/>
  <c r="D2363" i="7"/>
  <c r="G2363" i="7" s="1"/>
  <c r="G2366" i="7"/>
  <c r="G2373" i="7"/>
  <c r="D2373" i="7"/>
  <c r="G2376" i="7"/>
  <c r="D2383" i="7"/>
  <c r="G2383" i="7" s="1"/>
  <c r="G2386" i="7"/>
  <c r="G2393" i="7"/>
  <c r="D2393" i="7"/>
  <c r="G2396" i="7"/>
  <c r="D2404" i="7"/>
  <c r="G2404" i="7" s="1"/>
  <c r="G2407" i="7"/>
  <c r="G2414" i="7"/>
  <c r="D2414" i="7"/>
  <c r="G2417" i="7"/>
  <c r="D2424" i="7"/>
  <c r="G2424" i="7" s="1"/>
  <c r="G2427" i="7"/>
  <c r="G2435" i="7"/>
  <c r="D2435" i="7"/>
  <c r="G2438" i="7"/>
  <c r="D2445" i="7"/>
  <c r="G2445" i="7" s="1"/>
  <c r="G2448" i="7"/>
  <c r="G2455" i="7"/>
  <c r="D2455" i="7"/>
  <c r="G2458" i="7"/>
  <c r="D2466" i="7"/>
  <c r="G2466" i="7" s="1"/>
  <c r="G2469" i="7"/>
  <c r="G2476" i="7"/>
  <c r="D2476" i="7"/>
  <c r="G2479" i="7"/>
  <c r="D2486" i="7"/>
  <c r="G2486" i="7" s="1"/>
  <c r="G2489" i="7"/>
  <c r="G2496" i="7"/>
  <c r="D2496" i="7"/>
  <c r="G2499" i="7"/>
  <c r="D2506" i="7"/>
  <c r="G2506" i="7" s="1"/>
  <c r="G2509" i="7"/>
  <c r="G2516" i="7"/>
  <c r="D2516" i="7"/>
  <c r="G2519" i="7"/>
  <c r="D2526" i="7"/>
  <c r="G2526" i="7" s="1"/>
  <c r="G2529" i="7"/>
  <c r="G2536" i="7"/>
  <c r="D2536" i="7"/>
  <c r="G2539" i="7"/>
  <c r="D2546" i="7"/>
  <c r="G2546" i="7" s="1"/>
  <c r="G2549" i="7"/>
  <c r="G2556" i="7"/>
  <c r="D2556" i="7"/>
  <c r="G2559" i="7"/>
  <c r="D2566" i="7"/>
  <c r="G2566" i="7" s="1"/>
  <c r="G2569" i="7"/>
  <c r="G2577" i="7"/>
  <c r="D2577" i="7"/>
  <c r="G2580" i="7"/>
  <c r="D2587" i="7"/>
  <c r="G2587" i="7" s="1"/>
  <c r="G2590" i="7"/>
  <c r="G2597" i="7"/>
  <c r="D2597" i="7"/>
  <c r="G2600" i="7"/>
  <c r="D2608" i="7"/>
  <c r="G2608" i="7" s="1"/>
  <c r="G2611" i="7"/>
  <c r="G2618" i="7"/>
  <c r="D2618" i="7"/>
  <c r="G2621" i="7"/>
  <c r="D2628" i="7"/>
  <c r="G2628" i="7" s="1"/>
  <c r="G2631" i="7"/>
  <c r="G2638" i="7"/>
  <c r="D2638" i="7"/>
  <c r="G2641" i="7"/>
  <c r="D2649" i="7"/>
  <c r="G2649" i="7" s="1"/>
  <c r="G2650" i="7"/>
  <c r="I2706" i="7"/>
  <c r="D2905" i="7"/>
  <c r="F2905" i="7"/>
  <c r="G2905" i="7" s="1"/>
  <c r="D2921" i="7"/>
  <c r="F2921" i="7"/>
  <c r="G2921" i="7" s="1"/>
  <c r="D2937" i="7"/>
  <c r="F2937" i="7"/>
  <c r="G2937" i="7" s="1"/>
  <c r="D2953" i="7"/>
  <c r="F2953" i="7"/>
  <c r="G2953" i="7" s="1"/>
  <c r="D2969" i="7"/>
  <c r="F2969" i="7"/>
  <c r="G2969" i="7" s="1"/>
  <c r="H2973" i="7"/>
  <c r="I2973" i="7"/>
  <c r="H2977" i="7"/>
  <c r="I2977" i="7" s="1"/>
  <c r="I2981" i="7"/>
  <c r="H3001" i="7"/>
  <c r="I3001" i="7" s="1"/>
  <c r="I3017" i="7"/>
  <c r="H3029" i="7"/>
  <c r="I3029" i="7"/>
  <c r="H3065" i="7"/>
  <c r="I3065" i="7" s="1"/>
  <c r="I3220" i="7"/>
  <c r="J3220" i="7" s="1"/>
  <c r="G2652" i="7"/>
  <c r="D2659" i="7"/>
  <c r="G2659" i="7" s="1"/>
  <c r="G2662" i="7"/>
  <c r="G2669" i="7"/>
  <c r="D2669" i="7"/>
  <c r="G2672" i="7"/>
  <c r="D2679" i="7"/>
  <c r="G2679" i="7" s="1"/>
  <c r="G2682" i="7"/>
  <c r="G2689" i="7"/>
  <c r="D2689" i="7"/>
  <c r="G2692" i="7"/>
  <c r="D2699" i="7"/>
  <c r="G2699" i="7" s="1"/>
  <c r="G2702" i="7"/>
  <c r="G2707" i="7"/>
  <c r="D2714" i="7"/>
  <c r="G2714" i="7" s="1"/>
  <c r="G2717" i="7"/>
  <c r="G2724" i="7"/>
  <c r="D2724" i="7"/>
  <c r="G2727" i="7"/>
  <c r="D2734" i="7"/>
  <c r="G2734" i="7" s="1"/>
  <c r="G2737" i="7"/>
  <c r="G2744" i="7"/>
  <c r="D2744" i="7"/>
  <c r="G2747" i="7"/>
  <c r="D2755" i="7"/>
  <c r="G2755" i="7" s="1"/>
  <c r="G2758" i="7"/>
  <c r="G2765" i="7"/>
  <c r="D2765" i="7"/>
  <c r="G2768" i="7"/>
  <c r="D2775" i="7"/>
  <c r="G2775" i="7" s="1"/>
  <c r="G2778" i="7"/>
  <c r="G2785" i="7"/>
  <c r="D2785" i="7"/>
  <c r="G2788" i="7"/>
  <c r="D2795" i="7"/>
  <c r="G2795" i="7" s="1"/>
  <c r="G2798" i="7"/>
  <c r="G2805" i="7"/>
  <c r="D2805" i="7"/>
  <c r="G2808" i="7"/>
  <c r="D2815" i="7"/>
  <c r="G2815" i="7" s="1"/>
  <c r="G2818" i="7"/>
  <c r="G2826" i="7"/>
  <c r="D2826" i="7"/>
  <c r="G2829" i="7"/>
  <c r="D2836" i="7"/>
  <c r="G2836" i="7" s="1"/>
  <c r="G2839" i="7"/>
  <c r="G2846" i="7"/>
  <c r="D2846" i="7"/>
  <c r="G2849" i="7"/>
  <c r="D2856" i="7"/>
  <c r="G2856" i="7" s="1"/>
  <c r="G2859" i="7"/>
  <c r="G2866" i="7"/>
  <c r="D2866" i="7"/>
  <c r="G2869" i="7"/>
  <c r="D2876" i="7"/>
  <c r="G2876" i="7" s="1"/>
  <c r="G2879" i="7"/>
  <c r="G2886" i="7"/>
  <c r="D2886" i="7"/>
  <c r="G2889" i="7"/>
  <c r="H2901" i="7"/>
  <c r="I2901" i="7" s="1"/>
  <c r="H2909" i="7"/>
  <c r="I2909" i="7" s="1"/>
  <c r="H2917" i="7"/>
  <c r="I2917" i="7" s="1"/>
  <c r="H2925" i="7"/>
  <c r="I2925" i="7" s="1"/>
  <c r="H2933" i="7"/>
  <c r="I2933" i="7" s="1"/>
  <c r="H2941" i="7"/>
  <c r="I2941" i="7" s="1"/>
  <c r="H2949" i="7"/>
  <c r="I2949" i="7" s="1"/>
  <c r="H2957" i="7"/>
  <c r="I2957" i="7" s="1"/>
  <c r="H2965" i="7"/>
  <c r="I2965" i="7" s="1"/>
  <c r="G2989" i="7"/>
  <c r="G3021" i="7"/>
  <c r="I3043" i="7"/>
  <c r="J3043" i="7" s="1"/>
  <c r="I3049" i="7"/>
  <c r="H3049" i="7"/>
  <c r="I3061" i="7"/>
  <c r="H3063" i="7"/>
  <c r="I3063" i="7" s="1"/>
  <c r="J3063" i="7" s="1"/>
  <c r="G3077" i="7"/>
  <c r="I3082" i="7"/>
  <c r="J3082" i="7" s="1"/>
  <c r="H3082" i="7"/>
  <c r="G3087" i="7"/>
  <c r="H3092" i="7"/>
  <c r="I3092" i="7" s="1"/>
  <c r="J3092" i="7" s="1"/>
  <c r="G3097" i="7"/>
  <c r="I3218" i="7"/>
  <c r="J3218" i="7" s="1"/>
  <c r="I3222" i="7"/>
  <c r="J3222" i="7" s="1"/>
  <c r="I3039" i="7"/>
  <c r="J3039" i="7" s="1"/>
  <c r="I3041" i="7"/>
  <c r="I3055" i="7"/>
  <c r="J3055" i="7" s="1"/>
  <c r="I3057" i="7"/>
  <c r="I3071" i="7"/>
  <c r="J3071" i="7" s="1"/>
  <c r="G3102" i="7"/>
  <c r="I3107" i="7"/>
  <c r="J3107" i="7" s="1"/>
  <c r="H3107" i="7"/>
  <c r="G3112" i="7"/>
  <c r="H3117" i="7"/>
  <c r="I3117" i="7" s="1"/>
  <c r="J3117" i="7" s="1"/>
  <c r="G3122" i="7"/>
  <c r="I3127" i="7"/>
  <c r="J3127" i="7" s="1"/>
  <c r="H3127" i="7"/>
  <c r="G3132" i="7"/>
  <c r="H3137" i="7"/>
  <c r="I3137" i="7" s="1"/>
  <c r="J3137" i="7" s="1"/>
  <c r="G3142" i="7"/>
  <c r="I3147" i="7"/>
  <c r="J3147" i="7" s="1"/>
  <c r="H3147" i="7"/>
  <c r="G3152" i="7"/>
  <c r="H3157" i="7"/>
  <c r="I3157" i="7" s="1"/>
  <c r="J3157" i="7" s="1"/>
  <c r="G3162" i="7"/>
  <c r="I3167" i="7"/>
  <c r="J3167" i="7" s="1"/>
  <c r="H3167" i="7"/>
  <c r="G3172" i="7"/>
  <c r="H3177" i="7"/>
  <c r="I3177" i="7" s="1"/>
  <c r="J3177" i="7" s="1"/>
  <c r="G3182" i="7"/>
  <c r="I3187" i="7"/>
  <c r="J3187" i="7" s="1"/>
  <c r="H3187" i="7"/>
  <c r="G3192" i="7"/>
  <c r="H3197" i="7"/>
  <c r="I3197" i="7" s="1"/>
  <c r="J3197" i="7" s="1"/>
  <c r="G3202" i="7"/>
  <c r="I3207" i="7"/>
  <c r="J3207" i="7" s="1"/>
  <c r="H3207" i="7"/>
  <c r="G3212" i="7"/>
  <c r="I3219" i="7"/>
  <c r="J3219" i="7" s="1"/>
  <c r="I3221" i="7"/>
  <c r="J3221" i="7" s="1"/>
  <c r="I3223" i="7"/>
  <c r="J3223" i="7" s="1"/>
  <c r="I3224" i="7"/>
  <c r="H3224" i="7"/>
  <c r="J120" i="9" l="1"/>
  <c r="I119" i="9"/>
  <c r="J119" i="9" s="1"/>
  <c r="I82" i="9"/>
  <c r="J82" i="9" s="1"/>
  <c r="H2856" i="7"/>
  <c r="I2856" i="7" s="1"/>
  <c r="H2815" i="7"/>
  <c r="I2815" i="7" s="1"/>
  <c r="H2775" i="7"/>
  <c r="I2775" i="7" s="1"/>
  <c r="H2734" i="7"/>
  <c r="I2734" i="7" s="1"/>
  <c r="H2699" i="7"/>
  <c r="I2699" i="7" s="1"/>
  <c r="H2659" i="7"/>
  <c r="I2659" i="7" s="1"/>
  <c r="H2649" i="7"/>
  <c r="I2649" i="7" s="1"/>
  <c r="H2608" i="7"/>
  <c r="I2608" i="7" s="1"/>
  <c r="H2566" i="7"/>
  <c r="I2566" i="7" s="1"/>
  <c r="H2526" i="7"/>
  <c r="I2526" i="7" s="1"/>
  <c r="H2486" i="7"/>
  <c r="I2486" i="7" s="1"/>
  <c r="H2445" i="7"/>
  <c r="I2445" i="7" s="1"/>
  <c r="H2404" i="7"/>
  <c r="I2404" i="7" s="1"/>
  <c r="H2363" i="7"/>
  <c r="I2363" i="7" s="1"/>
  <c r="H2323" i="7"/>
  <c r="I2323" i="7" s="1"/>
  <c r="H2283" i="7"/>
  <c r="I2283" i="7" s="1"/>
  <c r="H2242" i="7"/>
  <c r="I2242" i="7" s="1"/>
  <c r="H2169" i="7"/>
  <c r="I2169" i="7" s="1"/>
  <c r="H2881" i="7"/>
  <c r="I2881" i="7" s="1"/>
  <c r="J2881" i="7" s="1"/>
  <c r="H2861" i="7"/>
  <c r="I2861" i="7" s="1"/>
  <c r="J2861" i="7" s="1"/>
  <c r="H2841" i="7"/>
  <c r="I2841" i="7" s="1"/>
  <c r="J2841" i="7" s="1"/>
  <c r="H2820" i="7"/>
  <c r="I2820" i="7" s="1"/>
  <c r="J2820" i="7" s="1"/>
  <c r="H2800" i="7"/>
  <c r="I2800" i="7" s="1"/>
  <c r="J2800" i="7" s="1"/>
  <c r="H2780" i="7"/>
  <c r="I2780" i="7" s="1"/>
  <c r="J2780" i="7" s="1"/>
  <c r="H2760" i="7"/>
  <c r="I2760" i="7" s="1"/>
  <c r="J2760" i="7" s="1"/>
  <c r="H2739" i="7"/>
  <c r="I2739" i="7" s="1"/>
  <c r="J2739" i="7" s="1"/>
  <c r="H2719" i="7"/>
  <c r="I2719" i="7" s="1"/>
  <c r="J2719" i="7" s="1"/>
  <c r="H2704" i="7"/>
  <c r="I2704" i="7" s="1"/>
  <c r="H2684" i="7"/>
  <c r="I2684" i="7" s="1"/>
  <c r="J2684" i="7" s="1"/>
  <c r="H2664" i="7"/>
  <c r="I2664" i="7" s="1"/>
  <c r="J2664" i="7" s="1"/>
  <c r="H1793" i="7"/>
  <c r="I1793" i="7" s="1"/>
  <c r="J1793" i="7" s="1"/>
  <c r="H1788" i="7"/>
  <c r="I1788" i="7" s="1"/>
  <c r="H1773" i="7"/>
  <c r="I1773" i="7" s="1"/>
  <c r="J1773" i="7" s="1"/>
  <c r="H1768" i="7"/>
  <c r="I1768" i="7" s="1"/>
  <c r="H1752" i="7"/>
  <c r="I1752" i="7" s="1"/>
  <c r="J1752" i="7" s="1"/>
  <c r="H1747" i="7"/>
  <c r="I1747" i="7" s="1"/>
  <c r="H1732" i="7"/>
  <c r="I1732" i="7" s="1"/>
  <c r="J1732" i="7" s="1"/>
  <c r="I1727" i="7"/>
  <c r="H1727" i="7"/>
  <c r="I1712" i="7"/>
  <c r="J1712" i="7" s="1"/>
  <c r="H1712" i="7"/>
  <c r="I1707" i="7"/>
  <c r="H1707" i="7"/>
  <c r="I1692" i="7"/>
  <c r="J1692" i="7" s="1"/>
  <c r="H1692" i="7"/>
  <c r="I1687" i="7"/>
  <c r="H1687" i="7"/>
  <c r="I1672" i="7"/>
  <c r="J1672" i="7" s="1"/>
  <c r="H1672" i="7"/>
  <c r="I1606" i="7"/>
  <c r="H1606" i="7"/>
  <c r="I1591" i="7"/>
  <c r="J1591" i="7" s="1"/>
  <c r="H1591" i="7"/>
  <c r="I1586" i="7"/>
  <c r="H1586" i="7"/>
  <c r="I1571" i="7"/>
  <c r="J1571" i="7" s="1"/>
  <c r="H1571" i="7"/>
  <c r="I1566" i="7"/>
  <c r="H1566" i="7"/>
  <c r="I1551" i="7"/>
  <c r="J1551" i="7" s="1"/>
  <c r="H1551" i="7"/>
  <c r="I1317" i="7"/>
  <c r="H1317" i="7"/>
  <c r="I1302" i="7"/>
  <c r="J1302" i="7" s="1"/>
  <c r="H1302" i="7"/>
  <c r="I1297" i="7"/>
  <c r="H1297" i="7"/>
  <c r="I1282" i="7"/>
  <c r="J1282" i="7" s="1"/>
  <c r="H1282" i="7"/>
  <c r="I986" i="7"/>
  <c r="J986" i="7" s="1"/>
  <c r="H986" i="7"/>
  <c r="I981" i="7"/>
  <c r="H981" i="7"/>
  <c r="I966" i="7"/>
  <c r="J966" i="7" s="1"/>
  <c r="H966" i="7"/>
  <c r="I961" i="7"/>
  <c r="H961" i="7"/>
  <c r="I945" i="7"/>
  <c r="J945" i="7" s="1"/>
  <c r="H945" i="7"/>
  <c r="I940" i="7"/>
  <c r="H940" i="7"/>
  <c r="I924" i="7"/>
  <c r="J924" i="7" s="1"/>
  <c r="H924" i="7"/>
  <c r="I919" i="7"/>
  <c r="H919" i="7"/>
  <c r="I904" i="7"/>
  <c r="J904" i="7" s="1"/>
  <c r="H904" i="7"/>
  <c r="I884" i="7"/>
  <c r="J884" i="7" s="1"/>
  <c r="H884" i="7"/>
  <c r="I544" i="7"/>
  <c r="J544" i="7" s="1"/>
  <c r="H544" i="7"/>
  <c r="I448" i="7"/>
  <c r="J448" i="7" s="1"/>
  <c r="H448" i="7"/>
  <c r="I300" i="7"/>
  <c r="J300" i="7" s="1"/>
  <c r="H300" i="7"/>
  <c r="I2643" i="7"/>
  <c r="J2643" i="7" s="1"/>
  <c r="H2643" i="7"/>
  <c r="I2613" i="7"/>
  <c r="J2613" i="7" s="1"/>
  <c r="H2613" i="7"/>
  <c r="I2603" i="7"/>
  <c r="J2603" i="7" s="1"/>
  <c r="H2603" i="7"/>
  <c r="I2572" i="7"/>
  <c r="J2572" i="7" s="1"/>
  <c r="H2572" i="7"/>
  <c r="I2561" i="7"/>
  <c r="J2561" i="7" s="1"/>
  <c r="H2561" i="7"/>
  <c r="I2531" i="7"/>
  <c r="J2531" i="7" s="1"/>
  <c r="H2531" i="7"/>
  <c r="I2521" i="7"/>
  <c r="J2521" i="7" s="1"/>
  <c r="H2521" i="7"/>
  <c r="I2491" i="7"/>
  <c r="J2491" i="7" s="1"/>
  <c r="H2491" i="7"/>
  <c r="I2481" i="7"/>
  <c r="J2481" i="7" s="1"/>
  <c r="H2481" i="7"/>
  <c r="I2450" i="7"/>
  <c r="J2450" i="7" s="1"/>
  <c r="H2450" i="7"/>
  <c r="I2440" i="7"/>
  <c r="J2440" i="7" s="1"/>
  <c r="H2440" i="7"/>
  <c r="I2409" i="7"/>
  <c r="J2409" i="7" s="1"/>
  <c r="H2409" i="7"/>
  <c r="I2398" i="7"/>
  <c r="J2398" i="7" s="1"/>
  <c r="H2398" i="7"/>
  <c r="I2368" i="7"/>
  <c r="J2368" i="7" s="1"/>
  <c r="H2368" i="7"/>
  <c r="I2358" i="7"/>
  <c r="J2358" i="7" s="1"/>
  <c r="H2358" i="7"/>
  <c r="I2328" i="7"/>
  <c r="J2328" i="7" s="1"/>
  <c r="H2328" i="7"/>
  <c r="I2318" i="7"/>
  <c r="J2318" i="7" s="1"/>
  <c r="H2318" i="7"/>
  <c r="I2288" i="7"/>
  <c r="J2288" i="7" s="1"/>
  <c r="H2288" i="7"/>
  <c r="I2277" i="7"/>
  <c r="J2277" i="7" s="1"/>
  <c r="H2277" i="7"/>
  <c r="I2247" i="7"/>
  <c r="J2247" i="7" s="1"/>
  <c r="H2247" i="7"/>
  <c r="I2237" i="7"/>
  <c r="J2237" i="7" s="1"/>
  <c r="H2237" i="7"/>
  <c r="I2207" i="7"/>
  <c r="J2207" i="7" s="1"/>
  <c r="H2207" i="7"/>
  <c r="I2154" i="7"/>
  <c r="J2154" i="7" s="1"/>
  <c r="H2154" i="7"/>
  <c r="I2144" i="7"/>
  <c r="J2144" i="7" s="1"/>
  <c r="H2144" i="7"/>
  <c r="J389" i="7"/>
  <c r="H2876" i="7"/>
  <c r="I2876" i="7" s="1"/>
  <c r="H2836" i="7"/>
  <c r="I2836" i="7" s="1"/>
  <c r="H2795" i="7"/>
  <c r="I2795" i="7" s="1"/>
  <c r="H2755" i="7"/>
  <c r="I2755" i="7" s="1"/>
  <c r="H2714" i="7"/>
  <c r="I2714" i="7" s="1"/>
  <c r="H2679" i="7"/>
  <c r="I2679" i="7" s="1"/>
  <c r="H2628" i="7"/>
  <c r="I2628" i="7" s="1"/>
  <c r="H2587" i="7"/>
  <c r="I2587" i="7" s="1"/>
  <c r="H2546" i="7"/>
  <c r="I2546" i="7" s="1"/>
  <c r="H2506" i="7"/>
  <c r="I2506" i="7" s="1"/>
  <c r="H2466" i="7"/>
  <c r="I2466" i="7" s="1"/>
  <c r="H2424" i="7"/>
  <c r="I2424" i="7" s="1"/>
  <c r="H2383" i="7"/>
  <c r="I2383" i="7" s="1"/>
  <c r="H2343" i="7"/>
  <c r="I2343" i="7" s="1"/>
  <c r="H2303" i="7"/>
  <c r="I2303" i="7" s="1"/>
  <c r="H2262" i="7"/>
  <c r="I2262" i="7" s="1"/>
  <c r="H2222" i="7"/>
  <c r="I2222" i="7" s="1"/>
  <c r="H2149" i="7"/>
  <c r="I2149" i="7" s="1"/>
  <c r="H2891" i="7"/>
  <c r="I2891" i="7" s="1"/>
  <c r="J2891" i="7" s="1"/>
  <c r="H2871" i="7"/>
  <c r="I2871" i="7" s="1"/>
  <c r="J2871" i="7" s="1"/>
  <c r="H2851" i="7"/>
  <c r="I2851" i="7" s="1"/>
  <c r="J2851" i="7" s="1"/>
  <c r="H2831" i="7"/>
  <c r="I2831" i="7" s="1"/>
  <c r="J2831" i="7" s="1"/>
  <c r="H2810" i="7"/>
  <c r="I2810" i="7" s="1"/>
  <c r="J2810" i="7" s="1"/>
  <c r="H2790" i="7"/>
  <c r="I2790" i="7" s="1"/>
  <c r="J2790" i="7" s="1"/>
  <c r="H2770" i="7"/>
  <c r="I2770" i="7" s="1"/>
  <c r="J2770" i="7" s="1"/>
  <c r="H2749" i="7"/>
  <c r="I2749" i="7" s="1"/>
  <c r="J2749" i="7" s="1"/>
  <c r="H2729" i="7"/>
  <c r="I2729" i="7" s="1"/>
  <c r="J2729" i="7" s="1"/>
  <c r="H2709" i="7"/>
  <c r="I2709" i="7" s="1"/>
  <c r="J2709" i="7" s="1"/>
  <c r="H2694" i="7"/>
  <c r="I2694" i="7" s="1"/>
  <c r="J2694" i="7" s="1"/>
  <c r="H2674" i="7"/>
  <c r="I2674" i="7" s="1"/>
  <c r="J2674" i="7" s="1"/>
  <c r="H2654" i="7"/>
  <c r="I2654" i="7" s="1"/>
  <c r="J2654" i="7" s="1"/>
  <c r="H1803" i="7"/>
  <c r="I1803" i="7" s="1"/>
  <c r="J1803" i="7" s="1"/>
  <c r="H1798" i="7"/>
  <c r="I1798" i="7" s="1"/>
  <c r="H1783" i="7"/>
  <c r="I1783" i="7" s="1"/>
  <c r="J1783" i="7" s="1"/>
  <c r="H1778" i="7"/>
  <c r="I1778" i="7" s="1"/>
  <c r="H1763" i="7"/>
  <c r="I1763" i="7" s="1"/>
  <c r="J1763" i="7" s="1"/>
  <c r="H1757" i="7"/>
  <c r="I1757" i="7" s="1"/>
  <c r="H1742" i="7"/>
  <c r="I1742" i="7" s="1"/>
  <c r="J1742" i="7" s="1"/>
  <c r="H1737" i="7"/>
  <c r="I1737" i="7" s="1"/>
  <c r="H1722" i="7"/>
  <c r="I1722" i="7" s="1"/>
  <c r="J1722" i="7" s="1"/>
  <c r="H1717" i="7"/>
  <c r="I1717" i="7" s="1"/>
  <c r="H1702" i="7"/>
  <c r="I1702" i="7" s="1"/>
  <c r="J1702" i="7" s="1"/>
  <c r="H1697" i="7"/>
  <c r="I1697" i="7" s="1"/>
  <c r="H1682" i="7"/>
  <c r="I1682" i="7" s="1"/>
  <c r="J1682" i="7" s="1"/>
  <c r="H1677" i="7"/>
  <c r="I1677" i="7" s="1"/>
  <c r="H1601" i="7"/>
  <c r="I1601" i="7" s="1"/>
  <c r="J1601" i="7" s="1"/>
  <c r="H1596" i="7"/>
  <c r="I1596" i="7" s="1"/>
  <c r="H1581" i="7"/>
  <c r="I1581" i="7" s="1"/>
  <c r="J1581" i="7" s="1"/>
  <c r="H1576" i="7"/>
  <c r="I1576" i="7" s="1"/>
  <c r="H1561" i="7"/>
  <c r="I1561" i="7" s="1"/>
  <c r="J1561" i="7" s="1"/>
  <c r="H1556" i="7"/>
  <c r="I1556" i="7" s="1"/>
  <c r="H1312" i="7"/>
  <c r="I1312" i="7" s="1"/>
  <c r="J1312" i="7" s="1"/>
  <c r="H1307" i="7"/>
  <c r="I1307" i="7" s="1"/>
  <c r="H1292" i="7"/>
  <c r="I1292" i="7" s="1"/>
  <c r="J1292" i="7" s="1"/>
  <c r="H1287" i="7"/>
  <c r="I1287" i="7" s="1"/>
  <c r="H976" i="7"/>
  <c r="I976" i="7" s="1"/>
  <c r="J976" i="7" s="1"/>
  <c r="H971" i="7"/>
  <c r="I971" i="7" s="1"/>
  <c r="H956" i="7"/>
  <c r="I956" i="7" s="1"/>
  <c r="J956" i="7" s="1"/>
  <c r="H950" i="7"/>
  <c r="I950" i="7" s="1"/>
  <c r="H935" i="7"/>
  <c r="I935" i="7" s="1"/>
  <c r="J935" i="7" s="1"/>
  <c r="H930" i="7"/>
  <c r="I930" i="7" s="1"/>
  <c r="H914" i="7"/>
  <c r="I914" i="7" s="1"/>
  <c r="J914" i="7" s="1"/>
  <c r="H909" i="7"/>
  <c r="I909" i="7" s="1"/>
  <c r="H899" i="7"/>
  <c r="I899" i="7" s="1"/>
  <c r="J899" i="7" s="1"/>
  <c r="H889" i="7"/>
  <c r="I889" i="7" s="1"/>
  <c r="J889" i="7" s="1"/>
  <c r="H879" i="7"/>
  <c r="I879" i="7" s="1"/>
  <c r="J879" i="7" s="1"/>
  <c r="H549" i="7"/>
  <c r="I549" i="7" s="1"/>
  <c r="J549" i="7" s="1"/>
  <c r="H453" i="7"/>
  <c r="I453" i="7" s="1"/>
  <c r="J453" i="7" s="1"/>
  <c r="H424" i="7"/>
  <c r="I424" i="7"/>
  <c r="J424" i="7" s="1"/>
  <c r="H409" i="7"/>
  <c r="I409" i="7" s="1"/>
  <c r="J409" i="7" s="1"/>
  <c r="H379" i="7"/>
  <c r="I379" i="7" s="1"/>
  <c r="J379" i="7" s="1"/>
  <c r="H329" i="7"/>
  <c r="I329" i="7"/>
  <c r="J329" i="7" s="1"/>
  <c r="H305" i="7"/>
  <c r="I305" i="7"/>
  <c r="J305" i="7" s="1"/>
  <c r="H290" i="7"/>
  <c r="I290" i="7"/>
  <c r="J290" i="7" s="1"/>
  <c r="H254" i="7"/>
  <c r="I254" i="7"/>
  <c r="J254" i="7" s="1"/>
  <c r="H2633" i="7"/>
  <c r="I2633" i="7" s="1"/>
  <c r="J2633" i="7" s="1"/>
  <c r="H2623" i="7"/>
  <c r="I2623" i="7" s="1"/>
  <c r="J2623" i="7" s="1"/>
  <c r="H2592" i="7"/>
  <c r="I2592" i="7" s="1"/>
  <c r="J2592" i="7" s="1"/>
  <c r="H2582" i="7"/>
  <c r="I2582" i="7" s="1"/>
  <c r="J2582" i="7" s="1"/>
  <c r="H2551" i="7"/>
  <c r="I2551" i="7" s="1"/>
  <c r="J2551" i="7" s="1"/>
  <c r="H2541" i="7"/>
  <c r="I2541" i="7" s="1"/>
  <c r="J2541" i="7" s="1"/>
  <c r="H2511" i="7"/>
  <c r="I2511" i="7" s="1"/>
  <c r="J2511" i="7" s="1"/>
  <c r="H2501" i="7"/>
  <c r="I2501" i="7" s="1"/>
  <c r="J2501" i="7" s="1"/>
  <c r="H2471" i="7"/>
  <c r="I2471" i="7" s="1"/>
  <c r="J2471" i="7" s="1"/>
  <c r="H2460" i="7"/>
  <c r="I2460" i="7" s="1"/>
  <c r="J2460" i="7" s="1"/>
  <c r="H2430" i="7"/>
  <c r="I2430" i="7" s="1"/>
  <c r="J2430" i="7" s="1"/>
  <c r="H2419" i="7"/>
  <c r="I2419" i="7" s="1"/>
  <c r="J2419" i="7" s="1"/>
  <c r="H2388" i="7"/>
  <c r="I2388" i="7" s="1"/>
  <c r="J2388" i="7" s="1"/>
  <c r="H2378" i="7"/>
  <c r="I2378" i="7" s="1"/>
  <c r="J2378" i="7" s="1"/>
  <c r="H2348" i="7"/>
  <c r="I2348" i="7" s="1"/>
  <c r="J2348" i="7" s="1"/>
  <c r="I2338" i="7"/>
  <c r="J2338" i="7" s="1"/>
  <c r="H2338" i="7"/>
  <c r="I2308" i="7"/>
  <c r="J2308" i="7" s="1"/>
  <c r="H2308" i="7"/>
  <c r="I2298" i="7"/>
  <c r="J2298" i="7" s="1"/>
  <c r="H2298" i="7"/>
  <c r="I2267" i="7"/>
  <c r="J2267" i="7" s="1"/>
  <c r="H2267" i="7"/>
  <c r="I2257" i="7"/>
  <c r="J2257" i="7" s="1"/>
  <c r="H2257" i="7"/>
  <c r="I2227" i="7"/>
  <c r="J2227" i="7" s="1"/>
  <c r="H2227" i="7"/>
  <c r="I2217" i="7"/>
  <c r="J2217" i="7" s="1"/>
  <c r="H2217" i="7"/>
  <c r="I2164" i="7"/>
  <c r="J2164" i="7" s="1"/>
  <c r="H2164" i="7"/>
  <c r="I894" i="7"/>
  <c r="J894" i="7" s="1"/>
  <c r="H894" i="7"/>
  <c r="I874" i="7"/>
  <c r="J874" i="7" s="1"/>
  <c r="H874" i="7"/>
  <c r="I268" i="7"/>
  <c r="J268" i="7" s="1"/>
  <c r="H268" i="7"/>
  <c r="J458" i="7"/>
  <c r="J1963" i="7"/>
  <c r="J1958" i="7"/>
  <c r="J1953" i="7"/>
  <c r="J1948" i="7"/>
  <c r="J1943" i="7"/>
  <c r="J1938" i="7"/>
  <c r="J1933" i="7"/>
  <c r="J1928" i="7"/>
  <c r="J1923" i="7"/>
  <c r="J1918" i="7"/>
  <c r="J1913" i="7"/>
  <c r="J1907" i="7"/>
  <c r="J1903" i="7"/>
  <c r="J1898" i="7"/>
  <c r="J1893" i="7"/>
  <c r="J1888" i="7"/>
  <c r="J1883" i="7"/>
  <c r="J1878" i="7"/>
  <c r="J1873" i="7"/>
  <c r="J1868" i="7"/>
  <c r="J1863" i="7"/>
  <c r="J1858" i="7"/>
  <c r="J1853" i="7"/>
  <c r="J1848" i="7"/>
  <c r="J1843" i="7"/>
  <c r="J1838" i="7"/>
  <c r="J1833" i="7"/>
  <c r="J1828" i="7"/>
  <c r="J1823" i="7"/>
  <c r="J1818" i="7"/>
  <c r="J1813" i="7"/>
  <c r="J1540" i="7"/>
  <c r="J1530" i="7"/>
  <c r="J1520" i="7"/>
  <c r="J1510" i="7"/>
  <c r="J1500" i="7"/>
  <c r="J1490" i="7"/>
  <c r="J1388" i="7"/>
  <c r="J1378" i="7"/>
  <c r="J444" i="7"/>
  <c r="J259" i="7"/>
  <c r="J249" i="7"/>
  <c r="J220" i="7"/>
  <c r="H3212" i="7"/>
  <c r="I3212" i="7"/>
  <c r="J3212" i="7" s="1"/>
  <c r="H3192" i="7"/>
  <c r="I3192" i="7"/>
  <c r="J3192" i="7" s="1"/>
  <c r="H3172" i="7"/>
  <c r="I3172" i="7"/>
  <c r="J3172" i="7" s="1"/>
  <c r="H3152" i="7"/>
  <c r="I3152" i="7"/>
  <c r="J3152" i="7" s="1"/>
  <c r="H3132" i="7"/>
  <c r="I3132" i="7"/>
  <c r="J3132" i="7" s="1"/>
  <c r="H3112" i="7"/>
  <c r="I3112" i="7"/>
  <c r="J3112" i="7" s="1"/>
  <c r="H3087" i="7"/>
  <c r="I3087" i="7"/>
  <c r="J3087" i="7" s="1"/>
  <c r="H3021" i="7"/>
  <c r="I3021" i="7"/>
  <c r="H2889" i="7"/>
  <c r="I2889" i="7" s="1"/>
  <c r="H2886" i="7"/>
  <c r="I2886" i="7" s="1"/>
  <c r="J2886" i="7" s="1"/>
  <c r="H2869" i="7"/>
  <c r="I2869" i="7" s="1"/>
  <c r="H2866" i="7"/>
  <c r="I2866" i="7" s="1"/>
  <c r="J2866" i="7" s="1"/>
  <c r="H2849" i="7"/>
  <c r="I2849" i="7" s="1"/>
  <c r="H2846" i="7"/>
  <c r="I2846" i="7" s="1"/>
  <c r="J2846" i="7" s="1"/>
  <c r="H2829" i="7"/>
  <c r="I2829" i="7" s="1"/>
  <c r="H2826" i="7"/>
  <c r="I2826" i="7" s="1"/>
  <c r="J2826" i="7" s="1"/>
  <c r="H2808" i="7"/>
  <c r="I2808" i="7" s="1"/>
  <c r="H2805" i="7"/>
  <c r="I2805" i="7" s="1"/>
  <c r="J2805" i="7" s="1"/>
  <c r="H2788" i="7"/>
  <c r="I2788" i="7" s="1"/>
  <c r="H2785" i="7"/>
  <c r="I2785" i="7" s="1"/>
  <c r="J2785" i="7" s="1"/>
  <c r="H2768" i="7"/>
  <c r="I2768" i="7" s="1"/>
  <c r="H2765" i="7"/>
  <c r="I2765" i="7" s="1"/>
  <c r="J2765" i="7" s="1"/>
  <c r="H2747" i="7"/>
  <c r="I2747" i="7" s="1"/>
  <c r="H2744" i="7"/>
  <c r="I2744" i="7" s="1"/>
  <c r="J2744" i="7" s="1"/>
  <c r="H2727" i="7"/>
  <c r="I2727" i="7" s="1"/>
  <c r="H2724" i="7"/>
  <c r="I2724" i="7" s="1"/>
  <c r="J2724" i="7" s="1"/>
  <c r="H2707" i="7"/>
  <c r="I2707" i="7" s="1"/>
  <c r="H2692" i="7"/>
  <c r="I2692" i="7" s="1"/>
  <c r="H2689" i="7"/>
  <c r="I2689" i="7" s="1"/>
  <c r="H2672" i="7"/>
  <c r="I2672" i="7" s="1"/>
  <c r="H2669" i="7"/>
  <c r="I2669" i="7" s="1"/>
  <c r="H2652" i="7"/>
  <c r="I2652" i="7" s="1"/>
  <c r="H2969" i="7"/>
  <c r="I2969" i="7" s="1"/>
  <c r="H2953" i="7"/>
  <c r="I2953" i="7" s="1"/>
  <c r="H2937" i="7"/>
  <c r="I2937" i="7" s="1"/>
  <c r="H2921" i="7"/>
  <c r="I2921" i="7" s="1"/>
  <c r="H2905" i="7"/>
  <c r="I2905" i="7" s="1"/>
  <c r="H2641" i="7"/>
  <c r="I2641" i="7" s="1"/>
  <c r="H2638" i="7"/>
  <c r="I2638" i="7" s="1"/>
  <c r="H2621" i="7"/>
  <c r="I2621" i="7" s="1"/>
  <c r="H2618" i="7"/>
  <c r="I2618" i="7" s="1"/>
  <c r="H2600" i="7"/>
  <c r="I2600" i="7" s="1"/>
  <c r="H2597" i="7"/>
  <c r="I2597" i="7" s="1"/>
  <c r="H2580" i="7"/>
  <c r="I2580" i="7" s="1"/>
  <c r="H2577" i="7"/>
  <c r="I2577" i="7" s="1"/>
  <c r="H2559" i="7"/>
  <c r="I2559" i="7" s="1"/>
  <c r="H2556" i="7"/>
  <c r="I2556" i="7" s="1"/>
  <c r="H2539" i="7"/>
  <c r="I2539" i="7" s="1"/>
  <c r="H2536" i="7"/>
  <c r="I2536" i="7" s="1"/>
  <c r="H2519" i="7"/>
  <c r="I2519" i="7" s="1"/>
  <c r="H2516" i="7"/>
  <c r="I2516" i="7" s="1"/>
  <c r="H2499" i="7"/>
  <c r="I2499" i="7" s="1"/>
  <c r="H2496" i="7"/>
  <c r="I2496" i="7" s="1"/>
  <c r="H2479" i="7"/>
  <c r="I2479" i="7" s="1"/>
  <c r="H2476" i="7"/>
  <c r="I2476" i="7" s="1"/>
  <c r="H2458" i="7"/>
  <c r="I2458" i="7" s="1"/>
  <c r="H2455" i="7"/>
  <c r="I2455" i="7" s="1"/>
  <c r="H2438" i="7"/>
  <c r="I2438" i="7" s="1"/>
  <c r="H2435" i="7"/>
  <c r="I2435" i="7" s="1"/>
  <c r="H2417" i="7"/>
  <c r="I2417" i="7" s="1"/>
  <c r="H2414" i="7"/>
  <c r="I2414" i="7" s="1"/>
  <c r="H2396" i="7"/>
  <c r="I2396" i="7" s="1"/>
  <c r="H2393" i="7"/>
  <c r="I2393" i="7" s="1"/>
  <c r="H2376" i="7"/>
  <c r="I2376" i="7" s="1"/>
  <c r="H2373" i="7"/>
  <c r="I2373" i="7" s="1"/>
  <c r="H2356" i="7"/>
  <c r="I2356" i="7" s="1"/>
  <c r="H2353" i="7"/>
  <c r="I2353" i="7" s="1"/>
  <c r="H2336" i="7"/>
  <c r="I2336" i="7" s="1"/>
  <c r="H2333" i="7"/>
  <c r="I2333" i="7" s="1"/>
  <c r="H2316" i="7"/>
  <c r="I2316" i="7" s="1"/>
  <c r="H2313" i="7"/>
  <c r="I2313" i="7" s="1"/>
  <c r="J2313" i="7" s="1"/>
  <c r="H2296" i="7"/>
  <c r="I2296" i="7" s="1"/>
  <c r="H2293" i="7"/>
  <c r="I2293" i="7" s="1"/>
  <c r="J2293" i="7" s="1"/>
  <c r="H2275" i="7"/>
  <c r="I2275" i="7" s="1"/>
  <c r="H2272" i="7"/>
  <c r="I2272" i="7" s="1"/>
  <c r="J2272" i="7" s="1"/>
  <c r="H2255" i="7"/>
  <c r="I2255" i="7" s="1"/>
  <c r="H2252" i="7"/>
  <c r="I2252" i="7" s="1"/>
  <c r="J2252" i="7" s="1"/>
  <c r="H2235" i="7"/>
  <c r="I2235" i="7" s="1"/>
  <c r="H2232" i="7"/>
  <c r="I2232" i="7" s="1"/>
  <c r="J2232" i="7" s="1"/>
  <c r="H2215" i="7"/>
  <c r="I2215" i="7" s="1"/>
  <c r="H2212" i="7"/>
  <c r="I2212" i="7" s="1"/>
  <c r="J2212" i="7" s="1"/>
  <c r="H2203" i="7"/>
  <c r="I2203" i="7" s="1"/>
  <c r="J2203" i="7" s="1"/>
  <c r="H2187" i="7"/>
  <c r="I2187" i="7" s="1"/>
  <c r="J2187" i="7" s="1"/>
  <c r="H2162" i="7"/>
  <c r="I2162" i="7" s="1"/>
  <c r="H2159" i="7"/>
  <c r="I2159" i="7" s="1"/>
  <c r="J2159" i="7" s="1"/>
  <c r="H2142" i="7"/>
  <c r="I2142" i="7" s="1"/>
  <c r="H2139" i="7"/>
  <c r="I2139" i="7" s="1"/>
  <c r="J2139" i="7" s="1"/>
  <c r="J3047" i="7"/>
  <c r="I2134" i="7"/>
  <c r="J2134" i="7" s="1"/>
  <c r="H2134" i="7"/>
  <c r="I2127" i="7"/>
  <c r="H2127" i="7"/>
  <c r="I2124" i="7"/>
  <c r="J2124" i="7" s="1"/>
  <c r="H2124" i="7"/>
  <c r="I2117" i="7"/>
  <c r="H2117" i="7"/>
  <c r="I2114" i="7"/>
  <c r="J2114" i="7" s="1"/>
  <c r="H2114" i="7"/>
  <c r="I2107" i="7"/>
  <c r="H2107" i="7"/>
  <c r="I2047" i="7"/>
  <c r="H2047" i="7"/>
  <c r="I2044" i="7"/>
  <c r="J2044" i="7" s="1"/>
  <c r="H2044" i="7"/>
  <c r="I1666" i="7"/>
  <c r="H1666" i="7"/>
  <c r="I1659" i="7"/>
  <c r="H1659" i="7"/>
  <c r="H1651" i="7"/>
  <c r="I1651" i="7" s="1"/>
  <c r="J1651" i="7" s="1"/>
  <c r="I1646" i="7"/>
  <c r="H1646" i="7"/>
  <c r="I1640" i="7"/>
  <c r="H1640" i="7"/>
  <c r="H1632" i="7"/>
  <c r="I1632" i="7" s="1"/>
  <c r="J1632" i="7" s="1"/>
  <c r="I1627" i="7"/>
  <c r="H1627" i="7"/>
  <c r="I1620" i="7"/>
  <c r="H1620" i="7"/>
  <c r="H1612" i="7"/>
  <c r="I1612" i="7" s="1"/>
  <c r="J1612" i="7" s="1"/>
  <c r="I1545" i="7"/>
  <c r="H1545" i="7"/>
  <c r="I1525" i="7"/>
  <c r="H1525" i="7"/>
  <c r="I1505" i="7"/>
  <c r="H1505" i="7"/>
  <c r="I1485" i="7"/>
  <c r="H1485" i="7"/>
  <c r="I1373" i="7"/>
  <c r="H1373" i="7"/>
  <c r="J3051" i="7"/>
  <c r="H2961" i="7"/>
  <c r="I2961" i="7" s="1"/>
  <c r="H2945" i="7"/>
  <c r="I2945" i="7" s="1"/>
  <c r="H2929" i="7"/>
  <c r="I2929" i="7" s="1"/>
  <c r="H2913" i="7"/>
  <c r="I2913" i="7" s="1"/>
  <c r="H2129" i="7"/>
  <c r="I2129" i="7" s="1"/>
  <c r="J2129" i="7" s="1"/>
  <c r="H2119" i="7"/>
  <c r="I2119" i="7" s="1"/>
  <c r="J2119" i="7" s="1"/>
  <c r="H2109" i="7"/>
  <c r="I2109" i="7" s="1"/>
  <c r="J2109" i="7" s="1"/>
  <c r="H2049" i="7"/>
  <c r="I2049" i="7" s="1"/>
  <c r="J2049" i="7" s="1"/>
  <c r="J1535" i="7"/>
  <c r="J1515" i="7"/>
  <c r="J1495" i="7"/>
  <c r="J1383" i="7"/>
  <c r="J1348" i="7"/>
  <c r="I1271" i="7"/>
  <c r="J1271" i="7" s="1"/>
  <c r="H1271" i="7"/>
  <c r="H414" i="7"/>
  <c r="I414" i="7" s="1"/>
  <c r="J414" i="7" s="1"/>
  <c r="H399" i="7"/>
  <c r="I399" i="7" s="1"/>
  <c r="J399" i="7" s="1"/>
  <c r="H347" i="7"/>
  <c r="I347" i="7" s="1"/>
  <c r="J347" i="7" s="1"/>
  <c r="H315" i="7"/>
  <c r="I315" i="7" s="1"/>
  <c r="J315" i="7" s="1"/>
  <c r="J2191" i="7"/>
  <c r="J2175" i="7"/>
  <c r="J1479" i="7"/>
  <c r="J1474" i="7"/>
  <c r="J1469" i="7"/>
  <c r="J1464" i="7"/>
  <c r="J1459" i="7"/>
  <c r="J1454" i="7"/>
  <c r="J1448" i="7"/>
  <c r="J1443" i="7"/>
  <c r="J1438" i="7"/>
  <c r="J1433" i="7"/>
  <c r="J1428" i="7"/>
  <c r="J1423" i="7"/>
  <c r="J1418" i="7"/>
  <c r="J1413" i="7"/>
  <c r="J1408" i="7"/>
  <c r="J1403" i="7"/>
  <c r="J1398" i="7"/>
  <c r="J1393" i="7"/>
  <c r="J1368" i="7"/>
  <c r="J1363" i="7"/>
  <c r="J1358" i="7"/>
  <c r="J1260" i="7"/>
  <c r="J1255" i="7"/>
  <c r="J1250" i="7"/>
  <c r="J1245" i="7"/>
  <c r="J1240" i="7"/>
  <c r="J1235" i="7"/>
  <c r="J1230" i="7"/>
  <c r="J1224" i="7"/>
  <c r="J1219" i="7"/>
  <c r="J1214" i="7"/>
  <c r="J1209" i="7"/>
  <c r="J1204" i="7"/>
  <c r="J1198" i="7"/>
  <c r="J1193" i="7"/>
  <c r="J1188" i="7"/>
  <c r="J1183" i="7"/>
  <c r="J1178" i="7"/>
  <c r="J1172" i="7"/>
  <c r="J1167" i="7"/>
  <c r="J1162" i="7"/>
  <c r="J1157" i="7"/>
  <c r="J1152" i="7"/>
  <c r="J1147" i="7"/>
  <c r="J1142" i="7"/>
  <c r="J1137" i="7"/>
  <c r="J1131" i="7"/>
  <c r="J1126" i="7"/>
  <c r="J1121" i="7"/>
  <c r="J1116" i="7"/>
  <c r="J1111" i="7"/>
  <c r="J1106" i="7"/>
  <c r="J1101" i="7"/>
  <c r="J1096" i="7"/>
  <c r="J1091" i="7"/>
  <c r="J1086" i="7"/>
  <c r="J1081" i="7"/>
  <c r="J1076" i="7"/>
  <c r="J1071" i="7"/>
  <c r="J1066" i="7"/>
  <c r="J1061" i="7"/>
  <c r="J1056" i="7"/>
  <c r="J1051" i="7"/>
  <c r="J1046" i="7"/>
  <c r="J1041" i="7"/>
  <c r="J1036" i="7"/>
  <c r="J1031" i="7"/>
  <c r="J1026" i="7"/>
  <c r="J1021" i="7"/>
  <c r="J1016" i="7"/>
  <c r="J1011" i="7"/>
  <c r="J1006" i="7"/>
  <c r="J1001" i="7"/>
  <c r="J996" i="7"/>
  <c r="J991" i="7"/>
  <c r="H864" i="7"/>
  <c r="I864" i="7" s="1"/>
  <c r="J864" i="7" s="1"/>
  <c r="H854" i="7"/>
  <c r="I854" i="7"/>
  <c r="J854" i="7" s="1"/>
  <c r="H844" i="7"/>
  <c r="I844" i="7"/>
  <c r="J844" i="7" s="1"/>
  <c r="H834" i="7"/>
  <c r="I834" i="7"/>
  <c r="J834" i="7" s="1"/>
  <c r="H823" i="7"/>
  <c r="I823" i="7"/>
  <c r="J823" i="7" s="1"/>
  <c r="H813" i="7"/>
  <c r="I813" i="7"/>
  <c r="J813" i="7" s="1"/>
  <c r="H803" i="7"/>
  <c r="I803" i="7"/>
  <c r="J803" i="7" s="1"/>
  <c r="H793" i="7"/>
  <c r="I793" i="7"/>
  <c r="J793" i="7" s="1"/>
  <c r="H783" i="7"/>
  <c r="I783" i="7"/>
  <c r="J783" i="7" s="1"/>
  <c r="H773" i="7"/>
  <c r="I773" i="7"/>
  <c r="J773" i="7" s="1"/>
  <c r="H763" i="7"/>
  <c r="I763" i="7"/>
  <c r="J763" i="7" s="1"/>
  <c r="H753" i="7"/>
  <c r="I753" i="7"/>
  <c r="J753" i="7" s="1"/>
  <c r="H743" i="7"/>
  <c r="I743" i="7"/>
  <c r="J743" i="7" s="1"/>
  <c r="H733" i="7"/>
  <c r="I733" i="7"/>
  <c r="J733" i="7" s="1"/>
  <c r="H723" i="7"/>
  <c r="I723" i="7"/>
  <c r="J723" i="7" s="1"/>
  <c r="H713" i="7"/>
  <c r="I713" i="7"/>
  <c r="J713" i="7" s="1"/>
  <c r="H703" i="7"/>
  <c r="I703" i="7"/>
  <c r="J703" i="7" s="1"/>
  <c r="H693" i="7"/>
  <c r="I693" i="7"/>
  <c r="J693" i="7" s="1"/>
  <c r="H683" i="7"/>
  <c r="I683" i="7"/>
  <c r="J683" i="7" s="1"/>
  <c r="H673" i="7"/>
  <c r="I673" i="7"/>
  <c r="J673" i="7" s="1"/>
  <c r="H663" i="7"/>
  <c r="I663" i="7"/>
  <c r="J663" i="7" s="1"/>
  <c r="H653" i="7"/>
  <c r="I653" i="7"/>
  <c r="J653" i="7" s="1"/>
  <c r="H643" i="7"/>
  <c r="I643" i="7"/>
  <c r="J643" i="7" s="1"/>
  <c r="H633" i="7"/>
  <c r="I633" i="7"/>
  <c r="J633" i="7" s="1"/>
  <c r="H623" i="7"/>
  <c r="I623" i="7"/>
  <c r="J623" i="7" s="1"/>
  <c r="H613" i="7"/>
  <c r="I613" i="7"/>
  <c r="J613" i="7" s="1"/>
  <c r="H593" i="7"/>
  <c r="I593" i="7"/>
  <c r="J593" i="7" s="1"/>
  <c r="H583" i="7"/>
  <c r="I583" i="7"/>
  <c r="J583" i="7" s="1"/>
  <c r="H573" i="7"/>
  <c r="I573" i="7"/>
  <c r="J573" i="7" s="1"/>
  <c r="H563" i="7"/>
  <c r="I563" i="7"/>
  <c r="J563" i="7" s="1"/>
  <c r="H434" i="7"/>
  <c r="I434" i="7"/>
  <c r="J434" i="7" s="1"/>
  <c r="J404" i="7"/>
  <c r="J394" i="7"/>
  <c r="J375" i="7"/>
  <c r="J339" i="7"/>
  <c r="J334" i="7"/>
  <c r="J324" i="7"/>
  <c r="J277" i="7"/>
  <c r="H239" i="7"/>
  <c r="I239" i="7" s="1"/>
  <c r="J239" i="7" s="1"/>
  <c r="H229" i="7"/>
  <c r="I229" i="7" s="1"/>
  <c r="J229" i="7" s="1"/>
  <c r="H209" i="7"/>
  <c r="I209" i="7" s="1"/>
  <c r="J209" i="7" s="1"/>
  <c r="H199" i="7"/>
  <c r="I199" i="7" s="1"/>
  <c r="J199" i="7" s="1"/>
  <c r="H189" i="7"/>
  <c r="I189" i="7" s="1"/>
  <c r="J189" i="7" s="1"/>
  <c r="H179" i="7"/>
  <c r="I179" i="7" s="1"/>
  <c r="J179" i="7" s="1"/>
  <c r="H169" i="7"/>
  <c r="I169" i="7" s="1"/>
  <c r="J169" i="7" s="1"/>
  <c r="H159" i="7"/>
  <c r="I159" i="7" s="1"/>
  <c r="J159" i="7" s="1"/>
  <c r="H149" i="7"/>
  <c r="I149" i="7" s="1"/>
  <c r="J149" i="7" s="1"/>
  <c r="H139" i="7"/>
  <c r="I139" i="7" s="1"/>
  <c r="J139" i="7" s="1"/>
  <c r="H129" i="7"/>
  <c r="I129" i="7" s="1"/>
  <c r="J129" i="7" s="1"/>
  <c r="H119" i="7"/>
  <c r="I119" i="7" s="1"/>
  <c r="J119" i="7" s="1"/>
  <c r="H109" i="7"/>
  <c r="I109" i="7" s="1"/>
  <c r="J109" i="7" s="1"/>
  <c r="H99" i="7"/>
  <c r="I99" i="7" s="1"/>
  <c r="J99" i="7" s="1"/>
  <c r="H89" i="7"/>
  <c r="I89" i="7" s="1"/>
  <c r="J89" i="7" s="1"/>
  <c r="J2104" i="7"/>
  <c r="J2099" i="7"/>
  <c r="J2094" i="7"/>
  <c r="J2089" i="7"/>
  <c r="J2084" i="7"/>
  <c r="J2079" i="7"/>
  <c r="J2074" i="7"/>
  <c r="J2069" i="7"/>
  <c r="J2064" i="7"/>
  <c r="J2059" i="7"/>
  <c r="J2054" i="7"/>
  <c r="J869" i="7"/>
  <c r="J539" i="7"/>
  <c r="J534" i="7"/>
  <c r="J528" i="7"/>
  <c r="J523" i="7"/>
  <c r="J518" i="7"/>
  <c r="J513" i="7"/>
  <c r="J508" i="7"/>
  <c r="J502" i="7"/>
  <c r="J497" i="7"/>
  <c r="J492" i="7"/>
  <c r="J487" i="7"/>
  <c r="J482" i="7"/>
  <c r="J477" i="7"/>
  <c r="J472" i="7"/>
  <c r="J467" i="7"/>
  <c r="J462" i="7"/>
  <c r="J439" i="7"/>
  <c r="J419" i="7"/>
  <c r="J362" i="7"/>
  <c r="J357" i="7"/>
  <c r="J352" i="7"/>
  <c r="J281" i="7"/>
  <c r="J273" i="7"/>
  <c r="J225" i="7"/>
  <c r="J79" i="7"/>
  <c r="J74" i="7"/>
  <c r="J69" i="7"/>
  <c r="J64" i="7"/>
  <c r="J59" i="7"/>
  <c r="J54" i="7"/>
  <c r="J49" i="7"/>
  <c r="J44" i="7"/>
  <c r="J39" i="7"/>
  <c r="J34" i="7"/>
  <c r="J29" i="7"/>
  <c r="J24" i="7"/>
  <c r="J19" i="7"/>
  <c r="J14" i="7"/>
  <c r="J9" i="7"/>
  <c r="H3202" i="7"/>
  <c r="I3202" i="7"/>
  <c r="J3202" i="7" s="1"/>
  <c r="H3182" i="7"/>
  <c r="I3182" i="7"/>
  <c r="J3182" i="7" s="1"/>
  <c r="H3162" i="7"/>
  <c r="I3162" i="7"/>
  <c r="J3162" i="7" s="1"/>
  <c r="H3142" i="7"/>
  <c r="I3142" i="7"/>
  <c r="J3142" i="7" s="1"/>
  <c r="H3122" i="7"/>
  <c r="I3122" i="7"/>
  <c r="J3122" i="7" s="1"/>
  <c r="H3102" i="7"/>
  <c r="I3102" i="7"/>
  <c r="J3102" i="7" s="1"/>
  <c r="H3097" i="7"/>
  <c r="I3097" i="7" s="1"/>
  <c r="J3097" i="7" s="1"/>
  <c r="H3077" i="7"/>
  <c r="I3077" i="7"/>
  <c r="J3077" i="7" s="1"/>
  <c r="H2989" i="7"/>
  <c r="I2989" i="7"/>
  <c r="H2879" i="7"/>
  <c r="I2879" i="7" s="1"/>
  <c r="H2859" i="7"/>
  <c r="I2859" i="7" s="1"/>
  <c r="H2839" i="7"/>
  <c r="I2839" i="7" s="1"/>
  <c r="H2818" i="7"/>
  <c r="I2818" i="7" s="1"/>
  <c r="H2798" i="7"/>
  <c r="I2798" i="7" s="1"/>
  <c r="H2778" i="7"/>
  <c r="I2778" i="7" s="1"/>
  <c r="H2758" i="7"/>
  <c r="I2758" i="7" s="1"/>
  <c r="H2737" i="7"/>
  <c r="I2737" i="7" s="1"/>
  <c r="H2717" i="7"/>
  <c r="I2717" i="7" s="1"/>
  <c r="H2702" i="7"/>
  <c r="I2702" i="7" s="1"/>
  <c r="H2682" i="7"/>
  <c r="I2682" i="7" s="1"/>
  <c r="H2662" i="7"/>
  <c r="I2662" i="7" s="1"/>
  <c r="H2650" i="7"/>
  <c r="I2650" i="7" s="1"/>
  <c r="H2631" i="7"/>
  <c r="I2631" i="7" s="1"/>
  <c r="H2611" i="7"/>
  <c r="I2611" i="7" s="1"/>
  <c r="H2590" i="7"/>
  <c r="I2590" i="7" s="1"/>
  <c r="H2569" i="7"/>
  <c r="I2569" i="7" s="1"/>
  <c r="H2549" i="7"/>
  <c r="I2549" i="7" s="1"/>
  <c r="H2529" i="7"/>
  <c r="I2529" i="7" s="1"/>
  <c r="H2509" i="7"/>
  <c r="I2509" i="7" s="1"/>
  <c r="H2489" i="7"/>
  <c r="I2489" i="7" s="1"/>
  <c r="H2469" i="7"/>
  <c r="I2469" i="7" s="1"/>
  <c r="I2448" i="7"/>
  <c r="H2448" i="7"/>
  <c r="I2427" i="7"/>
  <c r="H2427" i="7"/>
  <c r="I2407" i="7"/>
  <c r="H2407" i="7"/>
  <c r="I2386" i="7"/>
  <c r="H2386" i="7"/>
  <c r="I2366" i="7"/>
  <c r="H2366" i="7"/>
  <c r="I2346" i="7"/>
  <c r="H2346" i="7"/>
  <c r="I2326" i="7"/>
  <c r="H2326" i="7"/>
  <c r="I2306" i="7"/>
  <c r="H2306" i="7"/>
  <c r="I2286" i="7"/>
  <c r="H2286" i="7"/>
  <c r="I2265" i="7"/>
  <c r="H2265" i="7"/>
  <c r="I2245" i="7"/>
  <c r="H2245" i="7"/>
  <c r="I2225" i="7"/>
  <c r="H2225" i="7"/>
  <c r="I2205" i="7"/>
  <c r="H2205" i="7"/>
  <c r="I2189" i="7"/>
  <c r="H2189" i="7"/>
  <c r="I2172" i="7"/>
  <c r="H2172" i="7"/>
  <c r="I2152" i="7"/>
  <c r="H2152" i="7"/>
  <c r="J2199" i="7"/>
  <c r="J1808" i="7"/>
  <c r="H1801" i="7"/>
  <c r="I1801" i="7" s="1"/>
  <c r="H1791" i="7"/>
  <c r="I1791" i="7" s="1"/>
  <c r="H1781" i="7"/>
  <c r="I1781" i="7" s="1"/>
  <c r="H1771" i="7"/>
  <c r="I1771" i="7" s="1"/>
  <c r="H1760" i="7"/>
  <c r="I1760" i="7" s="1"/>
  <c r="H1750" i="7"/>
  <c r="I1750" i="7" s="1"/>
  <c r="H1740" i="7"/>
  <c r="I1740" i="7" s="1"/>
  <c r="H1730" i="7"/>
  <c r="I1730" i="7" s="1"/>
  <c r="H1720" i="7"/>
  <c r="I1720" i="7" s="1"/>
  <c r="H1710" i="7"/>
  <c r="I1710" i="7" s="1"/>
  <c r="H1700" i="7"/>
  <c r="I1700" i="7" s="1"/>
  <c r="H1690" i="7"/>
  <c r="I1690" i="7" s="1"/>
  <c r="I1680" i="7"/>
  <c r="H1680" i="7"/>
  <c r="I1669" i="7"/>
  <c r="H1669" i="7"/>
  <c r="H1661" i="7"/>
  <c r="I1661" i="7" s="1"/>
  <c r="J1661" i="7" s="1"/>
  <c r="H1656" i="7"/>
  <c r="I1656" i="7" s="1"/>
  <c r="J1656" i="7" s="1"/>
  <c r="I1649" i="7"/>
  <c r="H1649" i="7"/>
  <c r="H1641" i="7"/>
  <c r="I1641" i="7" s="1"/>
  <c r="J1641" i="7" s="1"/>
  <c r="H1637" i="7"/>
  <c r="I1637" i="7" s="1"/>
  <c r="J1637" i="7" s="1"/>
  <c r="H1630" i="7"/>
  <c r="I1630" i="7" s="1"/>
  <c r="H1622" i="7"/>
  <c r="I1622" i="7" s="1"/>
  <c r="J1622" i="7" s="1"/>
  <c r="H1617" i="7"/>
  <c r="I1617" i="7" s="1"/>
  <c r="J1617" i="7" s="1"/>
  <c r="H1609" i="7"/>
  <c r="I1609" i="7" s="1"/>
  <c r="H1599" i="7"/>
  <c r="I1599" i="7" s="1"/>
  <c r="H1589" i="7"/>
  <c r="I1589" i="7" s="1"/>
  <c r="H1579" i="7"/>
  <c r="I1579" i="7" s="1"/>
  <c r="H1569" i="7"/>
  <c r="I1569" i="7" s="1"/>
  <c r="H1559" i="7"/>
  <c r="I1559" i="7" s="1"/>
  <c r="H1548" i="7"/>
  <c r="I1548" i="7" s="1"/>
  <c r="H1528" i="7"/>
  <c r="I1528" i="7" s="1"/>
  <c r="H1508" i="7"/>
  <c r="I1508" i="7" s="1"/>
  <c r="H1488" i="7"/>
  <c r="I1488" i="7" s="1"/>
  <c r="H1376" i="7"/>
  <c r="I1376" i="7" s="1"/>
  <c r="H1320" i="7"/>
  <c r="I1320" i="7" s="1"/>
  <c r="H1310" i="7"/>
  <c r="I1310" i="7" s="1"/>
  <c r="H1300" i="7"/>
  <c r="I1300" i="7" s="1"/>
  <c r="H1290" i="7"/>
  <c r="I1290" i="7" s="1"/>
  <c r="H984" i="7"/>
  <c r="I984" i="7" s="1"/>
  <c r="H974" i="7"/>
  <c r="I974" i="7" s="1"/>
  <c r="H964" i="7"/>
  <c r="I964" i="7" s="1"/>
  <c r="H953" i="7"/>
  <c r="I953" i="7" s="1"/>
  <c r="H943" i="7"/>
  <c r="I943" i="7" s="1"/>
  <c r="H933" i="7"/>
  <c r="I933" i="7" s="1"/>
  <c r="H922" i="7"/>
  <c r="I922" i="7" s="1"/>
  <c r="H912" i="7"/>
  <c r="I912" i="7" s="1"/>
  <c r="J3059" i="7"/>
  <c r="J2183" i="7"/>
  <c r="H859" i="7"/>
  <c r="I859" i="7" s="1"/>
  <c r="J859" i="7" s="1"/>
  <c r="H849" i="7"/>
  <c r="I849" i="7" s="1"/>
  <c r="J849" i="7" s="1"/>
  <c r="H839" i="7"/>
  <c r="I839" i="7" s="1"/>
  <c r="J839" i="7" s="1"/>
  <c r="H828" i="7"/>
  <c r="I828" i="7" s="1"/>
  <c r="J828" i="7" s="1"/>
  <c r="H818" i="7"/>
  <c r="I818" i="7" s="1"/>
  <c r="J818" i="7" s="1"/>
  <c r="H808" i="7"/>
  <c r="I808" i="7" s="1"/>
  <c r="J808" i="7" s="1"/>
  <c r="H798" i="7"/>
  <c r="I798" i="7" s="1"/>
  <c r="J798" i="7" s="1"/>
  <c r="H788" i="7"/>
  <c r="I788" i="7"/>
  <c r="J788" i="7" s="1"/>
  <c r="H778" i="7"/>
  <c r="I778" i="7"/>
  <c r="J778" i="7" s="1"/>
  <c r="H768" i="7"/>
  <c r="I768" i="7"/>
  <c r="J768" i="7" s="1"/>
  <c r="H758" i="7"/>
  <c r="I758" i="7"/>
  <c r="J758" i="7" s="1"/>
  <c r="H748" i="7"/>
  <c r="I748" i="7"/>
  <c r="J748" i="7" s="1"/>
  <c r="H738" i="7"/>
  <c r="I738" i="7"/>
  <c r="J738" i="7" s="1"/>
  <c r="H728" i="7"/>
  <c r="I728" i="7"/>
  <c r="J728" i="7" s="1"/>
  <c r="H718" i="7"/>
  <c r="I718" i="7"/>
  <c r="J718" i="7" s="1"/>
  <c r="H708" i="7"/>
  <c r="I708" i="7"/>
  <c r="J708" i="7" s="1"/>
  <c r="H698" i="7"/>
  <c r="I698" i="7"/>
  <c r="J698" i="7" s="1"/>
  <c r="H688" i="7"/>
  <c r="I688" i="7"/>
  <c r="J688" i="7" s="1"/>
  <c r="H678" i="7"/>
  <c r="I678" i="7"/>
  <c r="J678" i="7" s="1"/>
  <c r="H668" i="7"/>
  <c r="I668" i="7"/>
  <c r="J668" i="7" s="1"/>
  <c r="H658" i="7"/>
  <c r="I658" i="7"/>
  <c r="J658" i="7" s="1"/>
  <c r="H648" i="7"/>
  <c r="I648" i="7"/>
  <c r="J648" i="7" s="1"/>
  <c r="H638" i="7"/>
  <c r="I638" i="7"/>
  <c r="J638" i="7" s="1"/>
  <c r="H628" i="7"/>
  <c r="I628" i="7"/>
  <c r="J628" i="7" s="1"/>
  <c r="H618" i="7"/>
  <c r="I618" i="7"/>
  <c r="J618" i="7" s="1"/>
  <c r="H598" i="7"/>
  <c r="I598" i="7"/>
  <c r="J598" i="7" s="1"/>
  <c r="H588" i="7"/>
  <c r="I588" i="7"/>
  <c r="J588" i="7" s="1"/>
  <c r="H578" i="7"/>
  <c r="I578" i="7"/>
  <c r="J578" i="7" s="1"/>
  <c r="H568" i="7"/>
  <c r="I568" i="7"/>
  <c r="J568" i="7" s="1"/>
  <c r="H558" i="7"/>
  <c r="I558" i="7"/>
  <c r="J558" i="7" s="1"/>
  <c r="H429" i="7"/>
  <c r="I429" i="7"/>
  <c r="J429" i="7" s="1"/>
  <c r="H244" i="7"/>
  <c r="I244" i="7"/>
  <c r="J244" i="7" s="1"/>
  <c r="H234" i="7"/>
  <c r="I234" i="7"/>
  <c r="J234" i="7" s="1"/>
  <c r="H214" i="7"/>
  <c r="I214" i="7"/>
  <c r="J214" i="7" s="1"/>
  <c r="H204" i="7"/>
  <c r="I204" i="7"/>
  <c r="J204" i="7" s="1"/>
  <c r="H194" i="7"/>
  <c r="I194" i="7"/>
  <c r="J194" i="7" s="1"/>
  <c r="H184" i="7"/>
  <c r="I184" i="7"/>
  <c r="J184" i="7" s="1"/>
  <c r="H174" i="7"/>
  <c r="I174" i="7"/>
  <c r="J174" i="7" s="1"/>
  <c r="H164" i="7"/>
  <c r="I164" i="7"/>
  <c r="J164" i="7" s="1"/>
  <c r="H154" i="7"/>
  <c r="I154" i="7"/>
  <c r="J154" i="7" s="1"/>
  <c r="H144" i="7"/>
  <c r="I144" i="7"/>
  <c r="J144" i="7" s="1"/>
  <c r="H134" i="7"/>
  <c r="I134" i="7"/>
  <c r="J134" i="7" s="1"/>
  <c r="H124" i="7"/>
  <c r="I124" i="7"/>
  <c r="J124" i="7" s="1"/>
  <c r="H114" i="7"/>
  <c r="I114" i="7"/>
  <c r="J114" i="7" s="1"/>
  <c r="H104" i="7"/>
  <c r="I104" i="7"/>
  <c r="J104" i="7" s="1"/>
  <c r="H94" i="7"/>
  <c r="I94" i="7"/>
  <c r="J94" i="7" s="1"/>
  <c r="H84" i="7"/>
  <c r="I84" i="7"/>
  <c r="J84" i="7" s="1"/>
  <c r="J2333" i="7" l="1"/>
  <c r="J2353" i="7"/>
  <c r="J2373" i="7"/>
  <c r="J2393" i="7"/>
  <c r="J2414" i="7"/>
  <c r="J2435" i="7"/>
  <c r="J2455" i="7"/>
  <c r="J2476" i="7"/>
  <c r="J2496" i="7"/>
  <c r="J2516" i="7"/>
  <c r="J2536" i="7"/>
  <c r="J2556" i="7"/>
  <c r="J2577" i="7"/>
  <c r="J2597" i="7"/>
  <c r="J2618" i="7"/>
  <c r="J2638" i="7"/>
  <c r="J2669" i="7"/>
  <c r="J2689" i="7"/>
  <c r="J1373" i="7"/>
  <c r="J1485" i="7"/>
  <c r="J1505" i="7"/>
  <c r="J1525" i="7"/>
  <c r="J1545" i="7"/>
  <c r="J1627" i="7"/>
  <c r="J1646" i="7"/>
  <c r="J1666" i="7"/>
  <c r="J2149" i="7"/>
  <c r="J2262" i="7"/>
  <c r="J2343" i="7"/>
  <c r="J2424" i="7"/>
  <c r="J2506" i="7"/>
  <c r="J2587" i="7"/>
  <c r="J2679" i="7"/>
  <c r="J2755" i="7"/>
  <c r="J2836" i="7"/>
  <c r="J1747" i="7"/>
  <c r="J1768" i="7"/>
  <c r="J1788" i="7"/>
  <c r="J2704" i="7"/>
  <c r="J2169" i="7"/>
  <c r="J2283" i="7"/>
  <c r="J2363" i="7"/>
  <c r="J2445" i="7"/>
  <c r="J2526" i="7"/>
  <c r="J2608" i="7"/>
  <c r="J2659" i="7"/>
  <c r="J2734" i="7"/>
  <c r="J2815" i="7"/>
  <c r="J909" i="7"/>
  <c r="J930" i="7"/>
  <c r="J950" i="7"/>
  <c r="J971" i="7"/>
  <c r="J1287" i="7"/>
  <c r="J1307" i="7"/>
  <c r="J1556" i="7"/>
  <c r="J1576" i="7"/>
  <c r="J1596" i="7"/>
  <c r="J1677" i="7"/>
  <c r="J1697" i="7"/>
  <c r="J1717" i="7"/>
  <c r="J1737" i="7"/>
  <c r="J1757" i="7"/>
  <c r="J1778" i="7"/>
  <c r="J1798" i="7"/>
  <c r="J2222" i="7"/>
  <c r="J2303" i="7"/>
  <c r="J2383" i="7"/>
  <c r="J2466" i="7"/>
  <c r="J2546" i="7"/>
  <c r="J2628" i="7"/>
  <c r="J2714" i="7"/>
  <c r="J2795" i="7"/>
  <c r="J2876" i="7"/>
  <c r="J2242" i="7"/>
  <c r="J2323" i="7"/>
  <c r="J2404" i="7"/>
  <c r="J2486" i="7"/>
  <c r="J2566" i="7"/>
  <c r="J2649" i="7"/>
  <c r="J2699" i="7"/>
  <c r="J2775" i="7"/>
  <c r="J2856" i="7"/>
  <c r="J919" i="7"/>
  <c r="J940" i="7"/>
  <c r="J961" i="7"/>
  <c r="J981" i="7"/>
  <c r="J1297" i="7"/>
  <c r="J1317" i="7"/>
  <c r="J1566" i="7"/>
  <c r="J1586" i="7"/>
  <c r="J1606" i="7"/>
  <c r="J1687" i="7"/>
  <c r="J1707" i="7"/>
  <c r="J1727" i="7"/>
  <c r="J80" i="6" l="1"/>
  <c r="K80" i="6" s="1"/>
  <c r="J79" i="6"/>
  <c r="K79" i="6" s="1"/>
  <c r="J78" i="6"/>
  <c r="K78" i="6" s="1"/>
  <c r="D78" i="6"/>
  <c r="E78" i="6" s="1"/>
  <c r="A78" i="6"/>
  <c r="A79" i="6" s="1"/>
  <c r="A80" i="6" s="1"/>
  <c r="I77" i="6"/>
  <c r="J77" i="6" s="1"/>
  <c r="K77" i="6" s="1"/>
  <c r="G74" i="6"/>
  <c r="D74" i="6"/>
  <c r="H74" i="6" s="1"/>
  <c r="G73" i="6"/>
  <c r="D73" i="6"/>
  <c r="H73" i="6" s="1"/>
  <c r="G72" i="6"/>
  <c r="D72" i="6"/>
  <c r="H72" i="6" s="1"/>
  <c r="G71" i="6"/>
  <c r="D71" i="6"/>
  <c r="H71" i="6" s="1"/>
  <c r="G70" i="6"/>
  <c r="D70" i="6"/>
  <c r="H70" i="6" s="1"/>
  <c r="G69" i="6"/>
  <c r="D69" i="6"/>
  <c r="H69" i="6" s="1"/>
  <c r="G68" i="6"/>
  <c r="D68" i="6"/>
  <c r="H68" i="6" s="1"/>
  <c r="G67" i="6"/>
  <c r="D67" i="6"/>
  <c r="H67" i="6" s="1"/>
  <c r="G66" i="6"/>
  <c r="D66" i="6"/>
  <c r="H66" i="6" s="1"/>
  <c r="G65" i="6"/>
  <c r="D65" i="6"/>
  <c r="H65" i="6" s="1"/>
  <c r="G64" i="6"/>
  <c r="D64" i="6"/>
  <c r="H64" i="6" s="1"/>
  <c r="G63" i="6"/>
  <c r="D63" i="6"/>
  <c r="H63" i="6" s="1"/>
  <c r="G62" i="6"/>
  <c r="D62" i="6"/>
  <c r="H62" i="6" s="1"/>
  <c r="G61" i="6"/>
  <c r="D61" i="6"/>
  <c r="H61" i="6" s="1"/>
  <c r="G60" i="6"/>
  <c r="D60" i="6"/>
  <c r="H60" i="6" s="1"/>
  <c r="G59" i="6"/>
  <c r="D59" i="6"/>
  <c r="H59" i="6" s="1"/>
  <c r="G58" i="6"/>
  <c r="D58" i="6"/>
  <c r="H58" i="6" s="1"/>
  <c r="A58" i="6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G57" i="6"/>
  <c r="D57" i="6"/>
  <c r="G54" i="6"/>
  <c r="D54" i="6"/>
  <c r="G53" i="6"/>
  <c r="D53" i="6"/>
  <c r="G52" i="6"/>
  <c r="D52" i="6"/>
  <c r="G51" i="6"/>
  <c r="D51" i="6"/>
  <c r="G50" i="6"/>
  <c r="D50" i="6"/>
  <c r="A50" i="6"/>
  <c r="A51" i="6" s="1"/>
  <c r="A52" i="6" s="1"/>
  <c r="A53" i="6" s="1"/>
  <c r="A54" i="6" s="1"/>
  <c r="G49" i="6"/>
  <c r="D49" i="6"/>
  <c r="G48" i="6"/>
  <c r="D48" i="6"/>
  <c r="H48" i="6" s="1"/>
  <c r="G47" i="6"/>
  <c r="D47" i="6"/>
  <c r="H47" i="6" s="1"/>
  <c r="A47" i="6"/>
  <c r="A48" i="6" s="1"/>
  <c r="G46" i="6"/>
  <c r="D46" i="6"/>
  <c r="H46" i="6" s="1"/>
  <c r="G43" i="6"/>
  <c r="D43" i="6"/>
  <c r="G42" i="6"/>
  <c r="D42" i="6"/>
  <c r="G41" i="6"/>
  <c r="D41" i="6"/>
  <c r="G40" i="6"/>
  <c r="D40" i="6"/>
  <c r="G39" i="6"/>
  <c r="D39" i="6"/>
  <c r="H39" i="6" s="1"/>
  <c r="G38" i="6"/>
  <c r="D38" i="6"/>
  <c r="H38" i="6" s="1"/>
  <c r="G37" i="6"/>
  <c r="D37" i="6"/>
  <c r="H37" i="6" s="1"/>
  <c r="G36" i="6"/>
  <c r="D36" i="6"/>
  <c r="H36" i="6" s="1"/>
  <c r="G35" i="6"/>
  <c r="D35" i="6"/>
  <c r="H35" i="6" s="1"/>
  <c r="G34" i="6"/>
  <c r="D34" i="6"/>
  <c r="H34" i="6" s="1"/>
  <c r="G33" i="6"/>
  <c r="D33" i="6"/>
  <c r="H33" i="6" s="1"/>
  <c r="G32" i="6"/>
  <c r="D32" i="6"/>
  <c r="H32" i="6" s="1"/>
  <c r="G31" i="6"/>
  <c r="D31" i="6"/>
  <c r="H31" i="6" s="1"/>
  <c r="G30" i="6"/>
  <c r="D30" i="6"/>
  <c r="H30" i="6" s="1"/>
  <c r="G29" i="6"/>
  <c r="D29" i="6"/>
  <c r="H29" i="6" s="1"/>
  <c r="G28" i="6"/>
  <c r="D28" i="6"/>
  <c r="H28" i="6" s="1"/>
  <c r="G27" i="6"/>
  <c r="D27" i="6"/>
  <c r="H27" i="6" s="1"/>
  <c r="G26" i="6"/>
  <c r="D26" i="6"/>
  <c r="H26" i="6" s="1"/>
  <c r="A26" i="6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G25" i="6"/>
  <c r="D25" i="6"/>
  <c r="H25" i="6" s="1"/>
  <c r="G22" i="6"/>
  <c r="F22" i="6"/>
  <c r="D22" i="6"/>
  <c r="H22" i="6" s="1"/>
  <c r="G21" i="6"/>
  <c r="D21" i="6"/>
  <c r="H21" i="6" s="1"/>
  <c r="G20" i="6"/>
  <c r="D20" i="6"/>
  <c r="H20" i="6" s="1"/>
  <c r="G19" i="6"/>
  <c r="D19" i="6"/>
  <c r="H19" i="6" s="1"/>
  <c r="G18" i="6"/>
  <c r="D18" i="6"/>
  <c r="H18" i="6" s="1"/>
  <c r="G17" i="6"/>
  <c r="D17" i="6"/>
  <c r="H17" i="6" s="1"/>
  <c r="G16" i="6"/>
  <c r="D16" i="6"/>
  <c r="H16" i="6" s="1"/>
  <c r="G15" i="6"/>
  <c r="D15" i="6"/>
  <c r="H15" i="6" s="1"/>
  <c r="G14" i="6"/>
  <c r="D14" i="6"/>
  <c r="H14" i="6" s="1"/>
  <c r="G13" i="6"/>
  <c r="D13" i="6"/>
  <c r="H13" i="6" s="1"/>
  <c r="G12" i="6"/>
  <c r="D12" i="6"/>
  <c r="H12" i="6" s="1"/>
  <c r="G11" i="6"/>
  <c r="D11" i="6"/>
  <c r="H11" i="6" s="1"/>
  <c r="G10" i="6"/>
  <c r="D10" i="6"/>
  <c r="H10" i="6" s="1"/>
  <c r="G9" i="6"/>
  <c r="D9" i="6"/>
  <c r="H9" i="6" s="1"/>
  <c r="G8" i="6"/>
  <c r="D8" i="6"/>
  <c r="H8" i="6" s="1"/>
  <c r="G7" i="6"/>
  <c r="D7" i="6"/>
  <c r="H7" i="6" s="1"/>
  <c r="G6" i="6"/>
  <c r="D6" i="6"/>
  <c r="H6" i="6" s="1"/>
  <c r="G5" i="6"/>
  <c r="D5" i="6"/>
  <c r="H5" i="6" s="1"/>
  <c r="G4" i="6"/>
  <c r="D4" i="6"/>
  <c r="H4" i="6" s="1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G3" i="6"/>
  <c r="D3" i="6"/>
  <c r="H3" i="6" s="1"/>
  <c r="E36" i="6" l="1"/>
  <c r="E12" i="6"/>
  <c r="I12" i="6" s="1"/>
  <c r="I36" i="6"/>
  <c r="J36" i="6" s="1"/>
  <c r="K36" i="6" s="1"/>
  <c r="E38" i="6"/>
  <c r="I38" i="6" s="1"/>
  <c r="J38" i="6" s="1"/>
  <c r="K38" i="6" s="1"/>
  <c r="E74" i="6"/>
  <c r="E4" i="6"/>
  <c r="I4" i="6" s="1"/>
  <c r="E22" i="6"/>
  <c r="E25" i="6"/>
  <c r="I25" i="6" s="1"/>
  <c r="E47" i="6"/>
  <c r="I47" i="6" s="1"/>
  <c r="J47" i="6" s="1"/>
  <c r="K47" i="6" s="1"/>
  <c r="E48" i="6"/>
  <c r="I22" i="6"/>
  <c r="J22" i="6" s="1"/>
  <c r="K22" i="6" s="1"/>
  <c r="E35" i="6"/>
  <c r="I74" i="6"/>
  <c r="J74" i="6" s="1"/>
  <c r="K74" i="6" s="1"/>
  <c r="E5" i="6"/>
  <c r="I5" i="6" s="1"/>
  <c r="E6" i="6"/>
  <c r="I6" i="6" s="1"/>
  <c r="E7" i="6"/>
  <c r="I7" i="6" s="1"/>
  <c r="E8" i="6"/>
  <c r="I8" i="6" s="1"/>
  <c r="E9" i="6"/>
  <c r="I9" i="6" s="1"/>
  <c r="E10" i="6"/>
  <c r="I10" i="6" s="1"/>
  <c r="E11" i="6"/>
  <c r="I11" i="6" s="1"/>
  <c r="E13" i="6"/>
  <c r="I13" i="6" s="1"/>
  <c r="E14" i="6"/>
  <c r="I14" i="6" s="1"/>
  <c r="E15" i="6"/>
  <c r="E16" i="6"/>
  <c r="I16" i="6" s="1"/>
  <c r="E17" i="6"/>
  <c r="I17" i="6" s="1"/>
  <c r="E18" i="6"/>
  <c r="I18" i="6" s="1"/>
  <c r="E19" i="6"/>
  <c r="E20" i="6"/>
  <c r="I20" i="6" s="1"/>
  <c r="E21" i="6"/>
  <c r="I21" i="6" s="1"/>
  <c r="E58" i="6"/>
  <c r="I58" i="6" s="1"/>
  <c r="J58" i="6" s="1"/>
  <c r="K58" i="6" s="1"/>
  <c r="E59" i="6"/>
  <c r="E60" i="6"/>
  <c r="I60" i="6" s="1"/>
  <c r="J60" i="6" s="1"/>
  <c r="K60" i="6" s="1"/>
  <c r="E61" i="6"/>
  <c r="I61" i="6" s="1"/>
  <c r="J61" i="6" s="1"/>
  <c r="K61" i="6" s="1"/>
  <c r="E62" i="6"/>
  <c r="I62" i="6" s="1"/>
  <c r="J62" i="6" s="1"/>
  <c r="K62" i="6" s="1"/>
  <c r="E63" i="6"/>
  <c r="E64" i="6"/>
  <c r="I64" i="6" s="1"/>
  <c r="J64" i="6" s="1"/>
  <c r="K64" i="6" s="1"/>
  <c r="E65" i="6"/>
  <c r="I65" i="6" s="1"/>
  <c r="J65" i="6" s="1"/>
  <c r="K65" i="6" s="1"/>
  <c r="E66" i="6"/>
  <c r="I66" i="6" s="1"/>
  <c r="J66" i="6" s="1"/>
  <c r="K66" i="6" s="1"/>
  <c r="E67" i="6"/>
  <c r="E68" i="6"/>
  <c r="I68" i="6" s="1"/>
  <c r="J68" i="6" s="1"/>
  <c r="K68" i="6" s="1"/>
  <c r="E69" i="6"/>
  <c r="I69" i="6" s="1"/>
  <c r="J69" i="6" s="1"/>
  <c r="K69" i="6" s="1"/>
  <c r="E70" i="6"/>
  <c r="I70" i="6" s="1"/>
  <c r="J70" i="6" s="1"/>
  <c r="K70" i="6" s="1"/>
  <c r="E71" i="6"/>
  <c r="E72" i="6"/>
  <c r="I72" i="6" s="1"/>
  <c r="J72" i="6" s="1"/>
  <c r="K72" i="6" s="1"/>
  <c r="E73" i="6"/>
  <c r="I73" i="6" s="1"/>
  <c r="J73" i="6" s="1"/>
  <c r="K73" i="6" s="1"/>
  <c r="E3" i="6"/>
  <c r="I3" i="6" s="1"/>
  <c r="E26" i="6"/>
  <c r="E27" i="6"/>
  <c r="I27" i="6" s="1"/>
  <c r="E28" i="6"/>
  <c r="I28" i="6" s="1"/>
  <c r="E29" i="6"/>
  <c r="I29" i="6" s="1"/>
  <c r="E30" i="6"/>
  <c r="E31" i="6"/>
  <c r="I31" i="6" s="1"/>
  <c r="E32" i="6"/>
  <c r="I32" i="6" s="1"/>
  <c r="E33" i="6"/>
  <c r="I33" i="6" s="1"/>
  <c r="E34" i="6"/>
  <c r="I34" i="6" s="1"/>
  <c r="I35" i="6"/>
  <c r="J35" i="6" s="1"/>
  <c r="K35" i="6" s="1"/>
  <c r="E37" i="6"/>
  <c r="I37" i="6" s="1"/>
  <c r="E39" i="6"/>
  <c r="I39" i="6" s="1"/>
  <c r="E46" i="6"/>
  <c r="I48" i="6"/>
  <c r="J48" i="6" s="1"/>
  <c r="K48" i="6" s="1"/>
  <c r="E57" i="6"/>
  <c r="H57" i="6"/>
  <c r="I59" i="6"/>
  <c r="J59" i="6" s="1"/>
  <c r="K59" i="6" s="1"/>
  <c r="I63" i="6"/>
  <c r="J63" i="6" s="1"/>
  <c r="K63" i="6" s="1"/>
  <c r="I67" i="6"/>
  <c r="J67" i="6" s="1"/>
  <c r="K67" i="6" s="1"/>
  <c r="I71" i="6"/>
  <c r="J71" i="6" s="1"/>
  <c r="K71" i="6" s="1"/>
  <c r="I15" i="6"/>
  <c r="I19" i="6"/>
  <c r="I26" i="6"/>
  <c r="I30" i="6"/>
  <c r="H40" i="6"/>
  <c r="E40" i="6"/>
  <c r="H41" i="6"/>
  <c r="E41" i="6"/>
  <c r="H42" i="6"/>
  <c r="E42" i="6"/>
  <c r="H43" i="6"/>
  <c r="E43" i="6"/>
  <c r="H50" i="6"/>
  <c r="E50" i="6"/>
  <c r="H51" i="6"/>
  <c r="E51" i="6"/>
  <c r="H52" i="6"/>
  <c r="E52" i="6"/>
  <c r="H53" i="6"/>
  <c r="E53" i="6"/>
  <c r="H54" i="6"/>
  <c r="E54" i="6"/>
  <c r="I46" i="6"/>
  <c r="H49" i="6"/>
  <c r="E49" i="6"/>
  <c r="H159" i="5"/>
  <c r="G159" i="5"/>
  <c r="E159" i="5"/>
  <c r="D159" i="5"/>
  <c r="I159" i="5" s="1"/>
  <c r="J159" i="5" s="1"/>
  <c r="E157" i="5"/>
  <c r="D157" i="5"/>
  <c r="H157" i="5" s="1"/>
  <c r="I157" i="5" s="1"/>
  <c r="E156" i="5"/>
  <c r="D156" i="5"/>
  <c r="H156" i="5" s="1"/>
  <c r="I156" i="5" s="1"/>
  <c r="E155" i="5"/>
  <c r="D155" i="5"/>
  <c r="H155" i="5" s="1"/>
  <c r="I155" i="5" s="1"/>
  <c r="E154" i="5"/>
  <c r="D154" i="5"/>
  <c r="H154" i="5" s="1"/>
  <c r="I154" i="5" s="1"/>
  <c r="E153" i="5"/>
  <c r="D153" i="5"/>
  <c r="H153" i="5" s="1"/>
  <c r="I153" i="5" s="1"/>
  <c r="E152" i="5"/>
  <c r="D152" i="5"/>
  <c r="H152" i="5" s="1"/>
  <c r="I152" i="5" s="1"/>
  <c r="E151" i="5"/>
  <c r="D151" i="5"/>
  <c r="H151" i="5" s="1"/>
  <c r="I151" i="5" s="1"/>
  <c r="G149" i="5"/>
  <c r="D149" i="5"/>
  <c r="H148" i="5"/>
  <c r="G148" i="5"/>
  <c r="E148" i="5"/>
  <c r="D148" i="5"/>
  <c r="G147" i="5"/>
  <c r="D147" i="5"/>
  <c r="H146" i="5"/>
  <c r="G146" i="5"/>
  <c r="E146" i="5"/>
  <c r="D146" i="5"/>
  <c r="G145" i="5"/>
  <c r="D145" i="5"/>
  <c r="H144" i="5"/>
  <c r="G144" i="5"/>
  <c r="E144" i="5"/>
  <c r="D144" i="5"/>
  <c r="G143" i="5"/>
  <c r="D143" i="5"/>
  <c r="H142" i="5"/>
  <c r="G142" i="5"/>
  <c r="E142" i="5"/>
  <c r="D142" i="5"/>
  <c r="G141" i="5"/>
  <c r="D141" i="5"/>
  <c r="H140" i="5"/>
  <c r="G140" i="5"/>
  <c r="E140" i="5"/>
  <c r="D140" i="5"/>
  <c r="G139" i="5"/>
  <c r="D139" i="5"/>
  <c r="H138" i="5"/>
  <c r="G138" i="5"/>
  <c r="E138" i="5"/>
  <c r="D138" i="5"/>
  <c r="G137" i="5"/>
  <c r="D137" i="5"/>
  <c r="H136" i="5"/>
  <c r="G136" i="5"/>
  <c r="E136" i="5"/>
  <c r="D136" i="5"/>
  <c r="G135" i="5"/>
  <c r="D135" i="5"/>
  <c r="H134" i="5"/>
  <c r="G134" i="5"/>
  <c r="E134" i="5"/>
  <c r="D134" i="5"/>
  <c r="G133" i="5"/>
  <c r="D133" i="5"/>
  <c r="H132" i="5"/>
  <c r="G132" i="5"/>
  <c r="E132" i="5"/>
  <c r="D132" i="5"/>
  <c r="G131" i="5"/>
  <c r="D131" i="5"/>
  <c r="H130" i="5"/>
  <c r="G130" i="5"/>
  <c r="E130" i="5"/>
  <c r="D130" i="5"/>
  <c r="G129" i="5"/>
  <c r="D129" i="5"/>
  <c r="H128" i="5"/>
  <c r="G128" i="5"/>
  <c r="E128" i="5"/>
  <c r="D128" i="5"/>
  <c r="G127" i="5"/>
  <c r="D127" i="5"/>
  <c r="H126" i="5"/>
  <c r="G126" i="5"/>
  <c r="E126" i="5"/>
  <c r="D126" i="5"/>
  <c r="G125" i="5"/>
  <c r="D125" i="5"/>
  <c r="H124" i="5"/>
  <c r="G124" i="5"/>
  <c r="E124" i="5"/>
  <c r="D124" i="5"/>
  <c r="G123" i="5"/>
  <c r="D123" i="5"/>
  <c r="E122" i="5"/>
  <c r="D122" i="5"/>
  <c r="E121" i="5"/>
  <c r="D121" i="5"/>
  <c r="H121" i="5" s="1"/>
  <c r="I121" i="5" s="1"/>
  <c r="E120" i="5"/>
  <c r="D120" i="5"/>
  <c r="H120" i="5" s="1"/>
  <c r="I120" i="5" s="1"/>
  <c r="E118" i="5"/>
  <c r="D118" i="5"/>
  <c r="H118" i="5" s="1"/>
  <c r="I118" i="5" s="1"/>
  <c r="E117" i="5"/>
  <c r="D117" i="5"/>
  <c r="H117" i="5" s="1"/>
  <c r="I117" i="5" s="1"/>
  <c r="E116" i="5"/>
  <c r="D116" i="5"/>
  <c r="H116" i="5" s="1"/>
  <c r="I116" i="5" s="1"/>
  <c r="E115" i="5"/>
  <c r="D115" i="5"/>
  <c r="H115" i="5" s="1"/>
  <c r="I115" i="5" s="1"/>
  <c r="G114" i="5"/>
  <c r="D114" i="5"/>
  <c r="H114" i="5" s="1"/>
  <c r="H113" i="5"/>
  <c r="G113" i="5"/>
  <c r="E113" i="5"/>
  <c r="D113" i="5"/>
  <c r="I113" i="5" s="1"/>
  <c r="G112" i="5"/>
  <c r="D112" i="5"/>
  <c r="H112" i="5" s="1"/>
  <c r="H111" i="5"/>
  <c r="G111" i="5"/>
  <c r="E111" i="5"/>
  <c r="D111" i="5"/>
  <c r="I111" i="5" s="1"/>
  <c r="G110" i="5"/>
  <c r="D110" i="5"/>
  <c r="H110" i="5" s="1"/>
  <c r="H109" i="5"/>
  <c r="G109" i="5"/>
  <c r="E109" i="5"/>
  <c r="D109" i="5"/>
  <c r="I109" i="5" s="1"/>
  <c r="G108" i="5"/>
  <c r="D108" i="5"/>
  <c r="H107" i="5"/>
  <c r="G107" i="5"/>
  <c r="E107" i="5"/>
  <c r="D107" i="5"/>
  <c r="G106" i="5"/>
  <c r="D106" i="5"/>
  <c r="H105" i="5"/>
  <c r="G105" i="5"/>
  <c r="E105" i="5"/>
  <c r="D105" i="5"/>
  <c r="I105" i="5" s="1"/>
  <c r="G104" i="5"/>
  <c r="D104" i="5"/>
  <c r="H103" i="5"/>
  <c r="G103" i="5"/>
  <c r="E103" i="5"/>
  <c r="D103" i="5"/>
  <c r="G102" i="5"/>
  <c r="D102" i="5"/>
  <c r="H101" i="5"/>
  <c r="G101" i="5"/>
  <c r="E101" i="5"/>
  <c r="D101" i="5"/>
  <c r="I101" i="5" s="1"/>
  <c r="G100" i="5"/>
  <c r="D100" i="5"/>
  <c r="H99" i="5"/>
  <c r="G99" i="5"/>
  <c r="E99" i="5"/>
  <c r="D99" i="5"/>
  <c r="G98" i="5"/>
  <c r="D98" i="5"/>
  <c r="H97" i="5"/>
  <c r="G97" i="5"/>
  <c r="E97" i="5"/>
  <c r="D97" i="5"/>
  <c r="I97" i="5" s="1"/>
  <c r="G96" i="5"/>
  <c r="D96" i="5"/>
  <c r="H95" i="5"/>
  <c r="G95" i="5"/>
  <c r="E95" i="5"/>
  <c r="D95" i="5"/>
  <c r="G94" i="5"/>
  <c r="D94" i="5"/>
  <c r="H93" i="5"/>
  <c r="G93" i="5"/>
  <c r="E93" i="5"/>
  <c r="D93" i="5"/>
  <c r="I93" i="5" s="1"/>
  <c r="G92" i="5"/>
  <c r="E92" i="5"/>
  <c r="I92" i="5" s="1"/>
  <c r="D92" i="5"/>
  <c r="H92" i="5" s="1"/>
  <c r="G91" i="5"/>
  <c r="D91" i="5"/>
  <c r="H91" i="5" s="1"/>
  <c r="H90" i="5"/>
  <c r="G90" i="5"/>
  <c r="E90" i="5"/>
  <c r="D90" i="5"/>
  <c r="I90" i="5" s="1"/>
  <c r="G89" i="5"/>
  <c r="D89" i="5"/>
  <c r="H89" i="5" s="1"/>
  <c r="H88" i="5"/>
  <c r="G88" i="5"/>
  <c r="E88" i="5"/>
  <c r="D88" i="5"/>
  <c r="I88" i="5" s="1"/>
  <c r="G87" i="5"/>
  <c r="D87" i="5"/>
  <c r="H87" i="5" s="1"/>
  <c r="D86" i="5"/>
  <c r="H85" i="5"/>
  <c r="G85" i="5"/>
  <c r="E85" i="5"/>
  <c r="D85" i="5"/>
  <c r="I85" i="5" s="1"/>
  <c r="G84" i="5"/>
  <c r="D84" i="5"/>
  <c r="H84" i="5" s="1"/>
  <c r="H83" i="5"/>
  <c r="G83" i="5"/>
  <c r="E83" i="5"/>
  <c r="D83" i="5"/>
  <c r="I83" i="5" s="1"/>
  <c r="G82" i="5"/>
  <c r="D82" i="5"/>
  <c r="H82" i="5" s="1"/>
  <c r="H81" i="5"/>
  <c r="G81" i="5"/>
  <c r="E81" i="5"/>
  <c r="D81" i="5"/>
  <c r="I81" i="5" s="1"/>
  <c r="G80" i="5"/>
  <c r="D80" i="5"/>
  <c r="H80" i="5" s="1"/>
  <c r="H79" i="5"/>
  <c r="G79" i="5"/>
  <c r="E79" i="5"/>
  <c r="D79" i="5"/>
  <c r="I79" i="5" s="1"/>
  <c r="G78" i="5"/>
  <c r="D78" i="5"/>
  <c r="H78" i="5" s="1"/>
  <c r="H77" i="5"/>
  <c r="G77" i="5"/>
  <c r="E77" i="5"/>
  <c r="D77" i="5"/>
  <c r="I77" i="5" s="1"/>
  <c r="G76" i="5"/>
  <c r="D76" i="5"/>
  <c r="H76" i="5" s="1"/>
  <c r="H75" i="5"/>
  <c r="G75" i="5"/>
  <c r="E75" i="5"/>
  <c r="D75" i="5"/>
  <c r="I75" i="5" s="1"/>
  <c r="G74" i="5"/>
  <c r="D74" i="5"/>
  <c r="H74" i="5" s="1"/>
  <c r="H73" i="5"/>
  <c r="G73" i="5"/>
  <c r="E73" i="5"/>
  <c r="D73" i="5"/>
  <c r="I73" i="5" s="1"/>
  <c r="G72" i="5"/>
  <c r="D72" i="5"/>
  <c r="H72" i="5" s="1"/>
  <c r="H71" i="5"/>
  <c r="G71" i="5"/>
  <c r="E71" i="5"/>
  <c r="D71" i="5"/>
  <c r="I71" i="5" s="1"/>
  <c r="G70" i="5"/>
  <c r="D70" i="5"/>
  <c r="H70" i="5" s="1"/>
  <c r="H69" i="5"/>
  <c r="G69" i="5"/>
  <c r="E69" i="5"/>
  <c r="D69" i="5"/>
  <c r="I69" i="5" s="1"/>
  <c r="G68" i="5"/>
  <c r="D68" i="5"/>
  <c r="H68" i="5" s="1"/>
  <c r="D67" i="5"/>
  <c r="D66" i="5"/>
  <c r="D65" i="5"/>
  <c r="D64" i="5"/>
  <c r="D63" i="5"/>
  <c r="D62" i="5"/>
  <c r="D61" i="5"/>
  <c r="D60" i="5"/>
  <c r="D59" i="5"/>
  <c r="G57" i="5"/>
  <c r="D57" i="5"/>
  <c r="H57" i="5" s="1"/>
  <c r="G56" i="5"/>
  <c r="D56" i="5"/>
  <c r="H56" i="5" s="1"/>
  <c r="G55" i="5"/>
  <c r="D55" i="5"/>
  <c r="H55" i="5" s="1"/>
  <c r="G54" i="5"/>
  <c r="D54" i="5"/>
  <c r="H54" i="5" s="1"/>
  <c r="G53" i="5"/>
  <c r="D53" i="5"/>
  <c r="H53" i="5" s="1"/>
  <c r="G52" i="5"/>
  <c r="D52" i="5"/>
  <c r="G51" i="5"/>
  <c r="D51" i="5"/>
  <c r="H51" i="5" s="1"/>
  <c r="G50" i="5"/>
  <c r="D50" i="5"/>
  <c r="G49" i="5"/>
  <c r="D49" i="5"/>
  <c r="H49" i="5" s="1"/>
  <c r="G48" i="5"/>
  <c r="D48" i="5"/>
  <c r="G47" i="5"/>
  <c r="D47" i="5"/>
  <c r="H47" i="5" s="1"/>
  <c r="G46" i="5"/>
  <c r="D46" i="5"/>
  <c r="G45" i="5"/>
  <c r="D45" i="5"/>
  <c r="H45" i="5" s="1"/>
  <c r="G44" i="5"/>
  <c r="D44" i="5"/>
  <c r="G43" i="5"/>
  <c r="D43" i="5"/>
  <c r="H43" i="5" s="1"/>
  <c r="G42" i="5"/>
  <c r="D42" i="5"/>
  <c r="G41" i="5"/>
  <c r="D41" i="5"/>
  <c r="H41" i="5" s="1"/>
  <c r="G40" i="5"/>
  <c r="D40" i="5"/>
  <c r="G39" i="5"/>
  <c r="D39" i="5"/>
  <c r="H39" i="5" s="1"/>
  <c r="G38" i="5"/>
  <c r="D38" i="5"/>
  <c r="G37" i="5"/>
  <c r="D37" i="5"/>
  <c r="H37" i="5" s="1"/>
  <c r="G36" i="5"/>
  <c r="D36" i="5"/>
  <c r="G35" i="5"/>
  <c r="D35" i="5"/>
  <c r="H35" i="5" s="1"/>
  <c r="G34" i="5"/>
  <c r="D34" i="5"/>
  <c r="G33" i="5"/>
  <c r="D33" i="5"/>
  <c r="H33" i="5" s="1"/>
  <c r="G32" i="5"/>
  <c r="D32" i="5"/>
  <c r="G31" i="5"/>
  <c r="D31" i="5"/>
  <c r="H31" i="5" s="1"/>
  <c r="G30" i="5"/>
  <c r="D30" i="5"/>
  <c r="H30" i="5" s="1"/>
  <c r="G29" i="5"/>
  <c r="D29" i="5"/>
  <c r="H29" i="5" s="1"/>
  <c r="G28" i="5"/>
  <c r="D28" i="5"/>
  <c r="H28" i="5" s="1"/>
  <c r="G27" i="5"/>
  <c r="D27" i="5"/>
  <c r="H27" i="5" s="1"/>
  <c r="G26" i="5"/>
  <c r="D26" i="5"/>
  <c r="H26" i="5" s="1"/>
  <c r="G25" i="5"/>
  <c r="D25" i="5"/>
  <c r="H25" i="5" s="1"/>
  <c r="G24" i="5"/>
  <c r="D24" i="5"/>
  <c r="H24" i="5" s="1"/>
  <c r="G23" i="5"/>
  <c r="D23" i="5"/>
  <c r="H23" i="5" s="1"/>
  <c r="G22" i="5"/>
  <c r="D22" i="5"/>
  <c r="H22" i="5" s="1"/>
  <c r="G21" i="5"/>
  <c r="D21" i="5"/>
  <c r="H21" i="5" s="1"/>
  <c r="G20" i="5"/>
  <c r="D20" i="5"/>
  <c r="H20" i="5" s="1"/>
  <c r="G19" i="5"/>
  <c r="D19" i="5"/>
  <c r="H19" i="5" s="1"/>
  <c r="G18" i="5"/>
  <c r="D18" i="5"/>
  <c r="H18" i="5" s="1"/>
  <c r="G17" i="5"/>
  <c r="D17" i="5"/>
  <c r="H17" i="5" s="1"/>
  <c r="G16" i="5"/>
  <c r="D16" i="5"/>
  <c r="H16" i="5" s="1"/>
  <c r="G15" i="5"/>
  <c r="D15" i="5"/>
  <c r="H15" i="5" s="1"/>
  <c r="G14" i="5"/>
  <c r="E14" i="5"/>
  <c r="D14" i="5"/>
  <c r="G13" i="5"/>
  <c r="D13" i="5"/>
  <c r="H13" i="5" s="1"/>
  <c r="D12" i="5"/>
  <c r="D11" i="5"/>
  <c r="D10" i="5"/>
  <c r="D9" i="5"/>
  <c r="D8" i="5"/>
  <c r="D7" i="5"/>
  <c r="D6" i="5"/>
  <c r="D5" i="5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H44" i="4"/>
  <c r="E44" i="4"/>
  <c r="I44" i="4" s="1"/>
  <c r="H43" i="4"/>
  <c r="E43" i="4"/>
  <c r="H42" i="4"/>
  <c r="E42" i="4"/>
  <c r="H41" i="4"/>
  <c r="E41" i="4"/>
  <c r="H40" i="4"/>
  <c r="E40" i="4"/>
  <c r="I40" i="4" s="1"/>
  <c r="H39" i="4"/>
  <c r="E39" i="4"/>
  <c r="H38" i="4"/>
  <c r="E38" i="4"/>
  <c r="H37" i="4"/>
  <c r="E37" i="4"/>
  <c r="H36" i="4"/>
  <c r="E36" i="4"/>
  <c r="I36" i="4" s="1"/>
  <c r="H35" i="4"/>
  <c r="E35" i="4"/>
  <c r="H34" i="4"/>
  <c r="E34" i="4"/>
  <c r="H33" i="4"/>
  <c r="E33" i="4"/>
  <c r="H32" i="4"/>
  <c r="E32" i="4"/>
  <c r="I32" i="4" s="1"/>
  <c r="H31" i="4"/>
  <c r="E31" i="4"/>
  <c r="H30" i="4"/>
  <c r="E30" i="4"/>
  <c r="H29" i="4"/>
  <c r="E29" i="4"/>
  <c r="H28" i="4"/>
  <c r="E28" i="4"/>
  <c r="I28" i="4" s="1"/>
  <c r="H27" i="4"/>
  <c r="E27" i="4"/>
  <c r="H26" i="4"/>
  <c r="E26" i="4"/>
  <c r="H25" i="4"/>
  <c r="E25" i="4"/>
  <c r="H24" i="4"/>
  <c r="E24" i="4"/>
  <c r="I24" i="4" s="1"/>
  <c r="H23" i="4"/>
  <c r="E23" i="4"/>
  <c r="H22" i="4"/>
  <c r="E22" i="4"/>
  <c r="H21" i="4"/>
  <c r="E21" i="4"/>
  <c r="H20" i="4"/>
  <c r="E20" i="4"/>
  <c r="I20" i="4" s="1"/>
  <c r="H19" i="4"/>
  <c r="E19" i="4"/>
  <c r="H18" i="4"/>
  <c r="E18" i="4"/>
  <c r="H17" i="4"/>
  <c r="E17" i="4"/>
  <c r="H16" i="4"/>
  <c r="E16" i="4"/>
  <c r="I16" i="4" s="1"/>
  <c r="H15" i="4"/>
  <c r="E15" i="4"/>
  <c r="H14" i="4"/>
  <c r="E14" i="4"/>
  <c r="H13" i="4"/>
  <c r="E13" i="4"/>
  <c r="H12" i="4"/>
  <c r="E12" i="4"/>
  <c r="I12" i="4" s="1"/>
  <c r="H11" i="4"/>
  <c r="E11" i="4"/>
  <c r="H10" i="4"/>
  <c r="E10" i="4"/>
  <c r="I10" i="4" s="1"/>
  <c r="H9" i="4"/>
  <c r="E9" i="4"/>
  <c r="H8" i="4"/>
  <c r="E8" i="4"/>
  <c r="I8" i="4" s="1"/>
  <c r="H7" i="4"/>
  <c r="E7" i="4"/>
  <c r="H6" i="4"/>
  <c r="E6" i="4"/>
  <c r="I6" i="4" s="1"/>
  <c r="E16" i="5" l="1"/>
  <c r="E18" i="5"/>
  <c r="I18" i="5" s="1"/>
  <c r="J18" i="5" s="1"/>
  <c r="K18" i="5" s="1"/>
  <c r="E20" i="5"/>
  <c r="E22" i="5"/>
  <c r="I22" i="5" s="1"/>
  <c r="J22" i="5" s="1"/>
  <c r="K22" i="5" s="1"/>
  <c r="E24" i="5"/>
  <c r="E26" i="5"/>
  <c r="I26" i="5" s="1"/>
  <c r="J26" i="5" s="1"/>
  <c r="K26" i="5" s="1"/>
  <c r="E28" i="5"/>
  <c r="E30" i="5"/>
  <c r="I30" i="5" s="1"/>
  <c r="J30" i="5" s="1"/>
  <c r="K30" i="5" s="1"/>
  <c r="E33" i="5"/>
  <c r="E35" i="5"/>
  <c r="E37" i="5"/>
  <c r="E39" i="5"/>
  <c r="I39" i="5" s="1"/>
  <c r="J39" i="5" s="1"/>
  <c r="K39" i="5" s="1"/>
  <c r="E41" i="5"/>
  <c r="E43" i="5"/>
  <c r="E45" i="5"/>
  <c r="E47" i="5"/>
  <c r="I47" i="5" s="1"/>
  <c r="J47" i="5" s="1"/>
  <c r="K47" i="5" s="1"/>
  <c r="E49" i="5"/>
  <c r="E51" i="5"/>
  <c r="E53" i="5"/>
  <c r="E55" i="5"/>
  <c r="E57" i="5"/>
  <c r="I126" i="5"/>
  <c r="J126" i="5" s="1"/>
  <c r="K126" i="5" s="1"/>
  <c r="I130" i="5"/>
  <c r="I134" i="5"/>
  <c r="J134" i="5" s="1"/>
  <c r="K134" i="5" s="1"/>
  <c r="I136" i="5"/>
  <c r="I138" i="5"/>
  <c r="J138" i="5" s="1"/>
  <c r="K138" i="5" s="1"/>
  <c r="I140" i="5"/>
  <c r="I142" i="5"/>
  <c r="I144" i="5"/>
  <c r="I146" i="5"/>
  <c r="I148" i="5"/>
  <c r="I16" i="5"/>
  <c r="I20" i="5"/>
  <c r="I24" i="5"/>
  <c r="I28" i="5"/>
  <c r="I35" i="5"/>
  <c r="I43" i="5"/>
  <c r="I51" i="5"/>
  <c r="I53" i="5"/>
  <c r="I55" i="5"/>
  <c r="J55" i="5" s="1"/>
  <c r="K55" i="5" s="1"/>
  <c r="I57" i="5"/>
  <c r="H14" i="5"/>
  <c r="I14" i="5" s="1"/>
  <c r="J14" i="5" s="1"/>
  <c r="K14" i="5" s="1"/>
  <c r="I49" i="6"/>
  <c r="I52" i="6"/>
  <c r="J52" i="6" s="1"/>
  <c r="K52" i="6" s="1"/>
  <c r="I54" i="6"/>
  <c r="J54" i="6" s="1"/>
  <c r="K54" i="6" s="1"/>
  <c r="I53" i="6"/>
  <c r="J53" i="6" s="1"/>
  <c r="K53" i="6" s="1"/>
  <c r="I50" i="6"/>
  <c r="I57" i="6"/>
  <c r="J57" i="6" s="1"/>
  <c r="K57" i="6" s="1"/>
  <c r="J37" i="6"/>
  <c r="K37" i="6" s="1"/>
  <c r="J34" i="6"/>
  <c r="K34" i="6" s="1"/>
  <c r="J32" i="6"/>
  <c r="K32" i="6" s="1"/>
  <c r="J39" i="6"/>
  <c r="K39" i="6" s="1"/>
  <c r="J33" i="6"/>
  <c r="K33" i="6" s="1"/>
  <c r="J31" i="6"/>
  <c r="K31" i="6" s="1"/>
  <c r="I51" i="6"/>
  <c r="J51" i="6" s="1"/>
  <c r="K51" i="6" s="1"/>
  <c r="I43" i="6"/>
  <c r="J43" i="6" s="1"/>
  <c r="I42" i="6"/>
  <c r="J42" i="6" s="1"/>
  <c r="K42" i="6" s="1"/>
  <c r="I41" i="6"/>
  <c r="J41" i="6" s="1"/>
  <c r="I40" i="6"/>
  <c r="J40" i="6" s="1"/>
  <c r="K40" i="6" s="1"/>
  <c r="J49" i="6"/>
  <c r="K49" i="6" s="1"/>
  <c r="J50" i="6"/>
  <c r="K50" i="6" s="1"/>
  <c r="J29" i="6"/>
  <c r="K29" i="6" s="1"/>
  <c r="J27" i="6"/>
  <c r="K27" i="6" s="1"/>
  <c r="J25" i="6"/>
  <c r="K25" i="6" s="1"/>
  <c r="J20" i="6"/>
  <c r="K20" i="6" s="1"/>
  <c r="J18" i="6"/>
  <c r="K18" i="6" s="1"/>
  <c r="J16" i="6"/>
  <c r="K16" i="6" s="1"/>
  <c r="J14" i="6"/>
  <c r="K14" i="6" s="1"/>
  <c r="J12" i="6"/>
  <c r="K12" i="6" s="1"/>
  <c r="J10" i="6"/>
  <c r="K10" i="6" s="1"/>
  <c r="J8" i="6"/>
  <c r="K8" i="6" s="1"/>
  <c r="J6" i="6"/>
  <c r="K6" i="6" s="1"/>
  <c r="J4" i="6"/>
  <c r="K4" i="6" s="1"/>
  <c r="J46" i="6"/>
  <c r="K46" i="6" s="1"/>
  <c r="J30" i="6"/>
  <c r="K30" i="6" s="1"/>
  <c r="J28" i="6"/>
  <c r="K28" i="6" s="1"/>
  <c r="J26" i="6"/>
  <c r="K26" i="6" s="1"/>
  <c r="J21" i="6"/>
  <c r="K21" i="6" s="1"/>
  <c r="J19" i="6"/>
  <c r="K19" i="6" s="1"/>
  <c r="J17" i="6"/>
  <c r="K17" i="6" s="1"/>
  <c r="J15" i="6"/>
  <c r="K15" i="6" s="1"/>
  <c r="J13" i="6"/>
  <c r="K13" i="6" s="1"/>
  <c r="J11" i="6"/>
  <c r="K11" i="6" s="1"/>
  <c r="J9" i="6"/>
  <c r="K9" i="6" s="1"/>
  <c r="J7" i="6"/>
  <c r="K7" i="6" s="1"/>
  <c r="J5" i="6"/>
  <c r="K5" i="6" s="1"/>
  <c r="J3" i="6"/>
  <c r="K3" i="6" s="1"/>
  <c r="J16" i="5"/>
  <c r="K16" i="5" s="1"/>
  <c r="J20" i="5"/>
  <c r="K20" i="5" s="1"/>
  <c r="J24" i="5"/>
  <c r="K24" i="5" s="1"/>
  <c r="J28" i="5"/>
  <c r="K28" i="5" s="1"/>
  <c r="H5" i="5"/>
  <c r="H6" i="5"/>
  <c r="H7" i="5"/>
  <c r="H8" i="5"/>
  <c r="H9" i="5"/>
  <c r="H10" i="5"/>
  <c r="H11" i="5"/>
  <c r="H12" i="5"/>
  <c r="H34" i="5"/>
  <c r="E34" i="5"/>
  <c r="J35" i="5"/>
  <c r="K35" i="5" s="1"/>
  <c r="H38" i="5"/>
  <c r="E38" i="5"/>
  <c r="I38" i="5" s="1"/>
  <c r="H42" i="5"/>
  <c r="E42" i="5"/>
  <c r="J43" i="5"/>
  <c r="K43" i="5" s="1"/>
  <c r="H46" i="5"/>
  <c r="E46" i="5"/>
  <c r="I46" i="5" s="1"/>
  <c r="H50" i="5"/>
  <c r="E50" i="5"/>
  <c r="J51" i="5"/>
  <c r="K51" i="5" s="1"/>
  <c r="K69" i="5"/>
  <c r="J69" i="5"/>
  <c r="K71" i="5"/>
  <c r="J71" i="5"/>
  <c r="K73" i="5"/>
  <c r="J73" i="5"/>
  <c r="K75" i="5"/>
  <c r="J75" i="5"/>
  <c r="K77" i="5"/>
  <c r="J77" i="5"/>
  <c r="K79" i="5"/>
  <c r="J79" i="5"/>
  <c r="K81" i="5"/>
  <c r="J81" i="5"/>
  <c r="K83" i="5"/>
  <c r="J83" i="5"/>
  <c r="K85" i="5"/>
  <c r="J85" i="5"/>
  <c r="J92" i="5"/>
  <c r="K92" i="5"/>
  <c r="E5" i="5"/>
  <c r="E6" i="5"/>
  <c r="E7" i="5"/>
  <c r="E8" i="5"/>
  <c r="E9" i="5"/>
  <c r="E10" i="5"/>
  <c r="E11" i="5"/>
  <c r="E12" i="5"/>
  <c r="E13" i="5"/>
  <c r="I13" i="5" s="1"/>
  <c r="E15" i="5"/>
  <c r="I15" i="5" s="1"/>
  <c r="E17" i="5"/>
  <c r="I17" i="5" s="1"/>
  <c r="E19" i="5"/>
  <c r="I19" i="5" s="1"/>
  <c r="E21" i="5"/>
  <c r="I21" i="5" s="1"/>
  <c r="E23" i="5"/>
  <c r="I23" i="5" s="1"/>
  <c r="E25" i="5"/>
  <c r="I25" i="5" s="1"/>
  <c r="E27" i="5"/>
  <c r="I27" i="5" s="1"/>
  <c r="E29" i="5"/>
  <c r="I29" i="5" s="1"/>
  <c r="E31" i="5"/>
  <c r="I31" i="5" s="1"/>
  <c r="H32" i="5"/>
  <c r="E32" i="5"/>
  <c r="I32" i="5" s="1"/>
  <c r="I33" i="5"/>
  <c r="H36" i="5"/>
  <c r="E36" i="5"/>
  <c r="I37" i="5"/>
  <c r="H40" i="5"/>
  <c r="E40" i="5"/>
  <c r="I40" i="5" s="1"/>
  <c r="I41" i="5"/>
  <c r="H44" i="5"/>
  <c r="E44" i="5"/>
  <c r="I45" i="5"/>
  <c r="H48" i="5"/>
  <c r="E48" i="5"/>
  <c r="I48" i="5" s="1"/>
  <c r="I49" i="5"/>
  <c r="H52" i="5"/>
  <c r="E52" i="5"/>
  <c r="K53" i="5"/>
  <c r="J53" i="5"/>
  <c r="K57" i="5"/>
  <c r="J57" i="5"/>
  <c r="J88" i="5"/>
  <c r="K88" i="5" s="1"/>
  <c r="J90" i="5"/>
  <c r="K90" i="5" s="1"/>
  <c r="H59" i="5"/>
  <c r="H60" i="5"/>
  <c r="I60" i="5" s="1"/>
  <c r="H61" i="5"/>
  <c r="I61" i="5" s="1"/>
  <c r="H62" i="5"/>
  <c r="I62" i="5" s="1"/>
  <c r="H63" i="5"/>
  <c r="H64" i="5"/>
  <c r="I64" i="5" s="1"/>
  <c r="H65" i="5"/>
  <c r="I65" i="5" s="1"/>
  <c r="H66" i="5"/>
  <c r="I66" i="5" s="1"/>
  <c r="H67" i="5"/>
  <c r="H86" i="5"/>
  <c r="I86" i="5" s="1"/>
  <c r="J93" i="5"/>
  <c r="K93" i="5" s="1"/>
  <c r="H96" i="5"/>
  <c r="E96" i="5"/>
  <c r="I96" i="5" s="1"/>
  <c r="K97" i="5"/>
  <c r="J97" i="5"/>
  <c r="H100" i="5"/>
  <c r="E100" i="5"/>
  <c r="I100" i="5"/>
  <c r="J101" i="5"/>
  <c r="K101" i="5" s="1"/>
  <c r="H104" i="5"/>
  <c r="E104" i="5"/>
  <c r="I104" i="5" s="1"/>
  <c r="K105" i="5"/>
  <c r="J105" i="5"/>
  <c r="H108" i="5"/>
  <c r="E108" i="5"/>
  <c r="I108" i="5"/>
  <c r="J109" i="5"/>
  <c r="K109" i="5" s="1"/>
  <c r="J111" i="5"/>
  <c r="K111" i="5" s="1"/>
  <c r="J113" i="5"/>
  <c r="K113" i="5" s="1"/>
  <c r="J115" i="5"/>
  <c r="K115" i="5"/>
  <c r="J116" i="5"/>
  <c r="K116" i="5"/>
  <c r="J117" i="5"/>
  <c r="K117" i="5"/>
  <c r="J118" i="5"/>
  <c r="K118" i="5"/>
  <c r="J120" i="5"/>
  <c r="K120" i="5"/>
  <c r="J121" i="5"/>
  <c r="K121" i="5"/>
  <c r="E54" i="5"/>
  <c r="I54" i="5" s="1"/>
  <c r="E56" i="5"/>
  <c r="I56" i="5" s="1"/>
  <c r="E59" i="5"/>
  <c r="I59" i="5" s="1"/>
  <c r="E60" i="5"/>
  <c r="E61" i="5"/>
  <c r="E62" i="5"/>
  <c r="E63" i="5"/>
  <c r="I63" i="5" s="1"/>
  <c r="E64" i="5"/>
  <c r="E65" i="5"/>
  <c r="E66" i="5"/>
  <c r="E67" i="5"/>
  <c r="I67" i="5" s="1"/>
  <c r="E68" i="5"/>
  <c r="I68" i="5" s="1"/>
  <c r="E70" i="5"/>
  <c r="I70" i="5" s="1"/>
  <c r="E72" i="5"/>
  <c r="I72" i="5" s="1"/>
  <c r="E74" i="5"/>
  <c r="I74" i="5" s="1"/>
  <c r="E76" i="5"/>
  <c r="I76" i="5" s="1"/>
  <c r="E78" i="5"/>
  <c r="I78" i="5" s="1"/>
  <c r="E80" i="5"/>
  <c r="I80" i="5" s="1"/>
  <c r="E82" i="5"/>
  <c r="I82" i="5" s="1"/>
  <c r="E84" i="5"/>
  <c r="I84" i="5" s="1"/>
  <c r="E86" i="5"/>
  <c r="E87" i="5"/>
  <c r="I87" i="5" s="1"/>
  <c r="E89" i="5"/>
  <c r="I89" i="5" s="1"/>
  <c r="E91" i="5"/>
  <c r="I91" i="5" s="1"/>
  <c r="H94" i="5"/>
  <c r="E94" i="5"/>
  <c r="I94" i="5" s="1"/>
  <c r="I95" i="5"/>
  <c r="H98" i="5"/>
  <c r="E98" i="5"/>
  <c r="I98" i="5" s="1"/>
  <c r="I99" i="5"/>
  <c r="H102" i="5"/>
  <c r="E102" i="5"/>
  <c r="I102" i="5" s="1"/>
  <c r="I103" i="5"/>
  <c r="H106" i="5"/>
  <c r="E106" i="5"/>
  <c r="I106" i="5" s="1"/>
  <c r="I107" i="5"/>
  <c r="I112" i="5"/>
  <c r="H125" i="5"/>
  <c r="E125" i="5"/>
  <c r="I125" i="5"/>
  <c r="H129" i="5"/>
  <c r="E129" i="5"/>
  <c r="K130" i="5"/>
  <c r="J130" i="5"/>
  <c r="H133" i="5"/>
  <c r="E133" i="5"/>
  <c r="I133" i="5"/>
  <c r="J136" i="5"/>
  <c r="K136" i="5" s="1"/>
  <c r="J140" i="5"/>
  <c r="K140" i="5" s="1"/>
  <c r="J142" i="5"/>
  <c r="K142" i="5" s="1"/>
  <c r="J144" i="5"/>
  <c r="K144" i="5" s="1"/>
  <c r="J146" i="5"/>
  <c r="K146" i="5" s="1"/>
  <c r="J148" i="5"/>
  <c r="K148" i="5"/>
  <c r="J151" i="5"/>
  <c r="K151" i="5" s="1"/>
  <c r="J152" i="5"/>
  <c r="K152" i="5" s="1"/>
  <c r="J153" i="5"/>
  <c r="K153" i="5" s="1"/>
  <c r="J154" i="5"/>
  <c r="K154" i="5" s="1"/>
  <c r="J155" i="5"/>
  <c r="K155" i="5" s="1"/>
  <c r="J156" i="5"/>
  <c r="K156" i="5" s="1"/>
  <c r="J157" i="5"/>
  <c r="K157" i="5" s="1"/>
  <c r="E110" i="5"/>
  <c r="I110" i="5" s="1"/>
  <c r="E112" i="5"/>
  <c r="E114" i="5"/>
  <c r="I114" i="5" s="1"/>
  <c r="H122" i="5"/>
  <c r="I122" i="5" s="1"/>
  <c r="H123" i="5"/>
  <c r="E123" i="5"/>
  <c r="I124" i="5"/>
  <c r="H127" i="5"/>
  <c r="E127" i="5"/>
  <c r="I128" i="5"/>
  <c r="H131" i="5"/>
  <c r="E131" i="5"/>
  <c r="I132" i="5"/>
  <c r="H135" i="5"/>
  <c r="E135" i="5"/>
  <c r="E137" i="5"/>
  <c r="H137" i="5"/>
  <c r="I137" i="5" s="1"/>
  <c r="E139" i="5"/>
  <c r="H139" i="5"/>
  <c r="E141" i="5"/>
  <c r="H141" i="5"/>
  <c r="I141" i="5" s="1"/>
  <c r="E143" i="5"/>
  <c r="H143" i="5"/>
  <c r="E145" i="5"/>
  <c r="H145" i="5"/>
  <c r="I145" i="5" s="1"/>
  <c r="E147" i="5"/>
  <c r="H147" i="5"/>
  <c r="E149" i="5"/>
  <c r="H149" i="5"/>
  <c r="I149" i="5" s="1"/>
  <c r="F7" i="4"/>
  <c r="I7" i="4"/>
  <c r="F9" i="4"/>
  <c r="I9" i="4"/>
  <c r="F12" i="4"/>
  <c r="F14" i="4"/>
  <c r="I14" i="4"/>
  <c r="F16" i="4"/>
  <c r="J16" i="4" s="1"/>
  <c r="F18" i="4"/>
  <c r="I18" i="4"/>
  <c r="F20" i="4"/>
  <c r="J20" i="4" s="1"/>
  <c r="F22" i="4"/>
  <c r="I22" i="4"/>
  <c r="F24" i="4"/>
  <c r="J24" i="4" s="1"/>
  <c r="F26" i="4"/>
  <c r="I26" i="4"/>
  <c r="F28" i="4"/>
  <c r="J28" i="4" s="1"/>
  <c r="F30" i="4"/>
  <c r="I30" i="4"/>
  <c r="F32" i="4"/>
  <c r="J32" i="4" s="1"/>
  <c r="F34" i="4"/>
  <c r="I34" i="4"/>
  <c r="F36" i="4"/>
  <c r="J36" i="4" s="1"/>
  <c r="F38" i="4"/>
  <c r="I38" i="4"/>
  <c r="F40" i="4"/>
  <c r="J40" i="4" s="1"/>
  <c r="F42" i="4"/>
  <c r="I42" i="4"/>
  <c r="F44" i="4"/>
  <c r="J44" i="4" s="1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F46" i="4"/>
  <c r="J46" i="4" s="1"/>
  <c r="F47" i="4"/>
  <c r="J47" i="4" s="1"/>
  <c r="F48" i="4"/>
  <c r="J48" i="4" s="1"/>
  <c r="F49" i="4"/>
  <c r="J49" i="4" s="1"/>
  <c r="F50" i="4"/>
  <c r="J50" i="4" s="1"/>
  <c r="F51" i="4"/>
  <c r="J51" i="4" s="1"/>
  <c r="F52" i="4"/>
  <c r="J52" i="4" s="1"/>
  <c r="F53" i="4"/>
  <c r="J53" i="4" s="1"/>
  <c r="F54" i="4"/>
  <c r="J54" i="4" s="1"/>
  <c r="F55" i="4"/>
  <c r="J55" i="4" s="1"/>
  <c r="F56" i="4"/>
  <c r="J56" i="4" s="1"/>
  <c r="F57" i="4"/>
  <c r="J57" i="4" s="1"/>
  <c r="F58" i="4"/>
  <c r="J58" i="4" s="1"/>
  <c r="F59" i="4"/>
  <c r="J59" i="4" s="1"/>
  <c r="F60" i="4"/>
  <c r="J60" i="4" s="1"/>
  <c r="F61" i="4"/>
  <c r="J61" i="4" s="1"/>
  <c r="I13" i="4"/>
  <c r="F13" i="4"/>
  <c r="I17" i="4"/>
  <c r="F17" i="4"/>
  <c r="I21" i="4"/>
  <c r="F21" i="4"/>
  <c r="I25" i="4"/>
  <c r="F25" i="4"/>
  <c r="I29" i="4"/>
  <c r="F29" i="4"/>
  <c r="I33" i="4"/>
  <c r="F33" i="4"/>
  <c r="I37" i="4"/>
  <c r="F37" i="4"/>
  <c r="I41" i="4"/>
  <c r="F41" i="4"/>
  <c r="F6" i="4"/>
  <c r="J6" i="4" s="1"/>
  <c r="F8" i="4"/>
  <c r="J8" i="4" s="1"/>
  <c r="F10" i="4"/>
  <c r="J10" i="4" s="1"/>
  <c r="I11" i="4"/>
  <c r="F11" i="4"/>
  <c r="J12" i="4"/>
  <c r="I15" i="4"/>
  <c r="F15" i="4"/>
  <c r="I19" i="4"/>
  <c r="F19" i="4"/>
  <c r="I23" i="4"/>
  <c r="F23" i="4"/>
  <c r="I27" i="4"/>
  <c r="F27" i="4"/>
  <c r="I31" i="4"/>
  <c r="F31" i="4"/>
  <c r="I35" i="4"/>
  <c r="F35" i="4"/>
  <c r="I39" i="4"/>
  <c r="F39" i="4"/>
  <c r="I43" i="4"/>
  <c r="F43" i="4"/>
  <c r="F63" i="3"/>
  <c r="I63" i="3" s="1"/>
  <c r="F62" i="3"/>
  <c r="I61" i="3"/>
  <c r="F61" i="3"/>
  <c r="F60" i="3"/>
  <c r="F59" i="3"/>
  <c r="I59" i="3" s="1"/>
  <c r="F58" i="3"/>
  <c r="F57" i="3"/>
  <c r="I57" i="3" s="1"/>
  <c r="F56" i="3"/>
  <c r="F55" i="3"/>
  <c r="I55" i="3" s="1"/>
  <c r="F54" i="3"/>
  <c r="F53" i="3"/>
  <c r="I53" i="3" s="1"/>
  <c r="B53" i="3"/>
  <c r="B54" i="3" s="1"/>
  <c r="B55" i="3" s="1"/>
  <c r="B56" i="3" s="1"/>
  <c r="B57" i="3" s="1"/>
  <c r="B58" i="3" s="1"/>
  <c r="B59" i="3" s="1"/>
  <c r="B60" i="3" s="1"/>
  <c r="F52" i="3"/>
  <c r="N51" i="3"/>
  <c r="O51" i="3" s="1"/>
  <c r="J50" i="3"/>
  <c r="N50" i="3" s="1"/>
  <c r="J49" i="3"/>
  <c r="N49" i="3" s="1"/>
  <c r="J48" i="3"/>
  <c r="N48" i="3" s="1"/>
  <c r="N47" i="3"/>
  <c r="O47" i="3" s="1"/>
  <c r="I46" i="3"/>
  <c r="G46" i="3"/>
  <c r="J46" i="3" s="1"/>
  <c r="N45" i="3"/>
  <c r="O45" i="3" s="1"/>
  <c r="I44" i="3"/>
  <c r="G44" i="3"/>
  <c r="I43" i="3"/>
  <c r="G43" i="3"/>
  <c r="I42" i="3"/>
  <c r="G42" i="3"/>
  <c r="I41" i="3"/>
  <c r="H41" i="3"/>
  <c r="G41" i="3"/>
  <c r="B41" i="3"/>
  <c r="B42" i="3" s="1"/>
  <c r="B43" i="3" s="1"/>
  <c r="B44" i="3" s="1"/>
  <c r="N40" i="3"/>
  <c r="O40" i="3" s="1"/>
  <c r="I39" i="3"/>
  <c r="G39" i="3"/>
  <c r="J39" i="3" s="1"/>
  <c r="I38" i="3"/>
  <c r="G38" i="3"/>
  <c r="J38" i="3" s="1"/>
  <c r="I37" i="3"/>
  <c r="G37" i="3"/>
  <c r="J37" i="3" s="1"/>
  <c r="I36" i="3"/>
  <c r="G36" i="3"/>
  <c r="J36" i="3" s="1"/>
  <c r="I35" i="3"/>
  <c r="G35" i="3"/>
  <c r="J35" i="3" s="1"/>
  <c r="I34" i="3"/>
  <c r="G34" i="3"/>
  <c r="J34" i="3" s="1"/>
  <c r="I33" i="3"/>
  <c r="G33" i="3"/>
  <c r="J33" i="3" s="1"/>
  <c r="I32" i="3"/>
  <c r="G32" i="3"/>
  <c r="J32" i="3" s="1"/>
  <c r="N31" i="3"/>
  <c r="O31" i="3" s="1"/>
  <c r="I30" i="3"/>
  <c r="G30" i="3"/>
  <c r="I29" i="3"/>
  <c r="G29" i="3"/>
  <c r="I28" i="3"/>
  <c r="G28" i="3"/>
  <c r="I27" i="3"/>
  <c r="G27" i="3"/>
  <c r="I26" i="3"/>
  <c r="G26" i="3"/>
  <c r="I25" i="3"/>
  <c r="G25" i="3"/>
  <c r="I24" i="3"/>
  <c r="G24" i="3"/>
  <c r="B24" i="3"/>
  <c r="B25" i="3" s="1"/>
  <c r="B26" i="3" s="1"/>
  <c r="B27" i="3" s="1"/>
  <c r="B28" i="3" s="1"/>
  <c r="B29" i="3" s="1"/>
  <c r="B30" i="3" s="1"/>
  <c r="B32" i="3" s="1"/>
  <c r="B33" i="3" s="1"/>
  <c r="B34" i="3" s="1"/>
  <c r="B35" i="3" s="1"/>
  <c r="B36" i="3" s="1"/>
  <c r="B37" i="3" s="1"/>
  <c r="B38" i="3" s="1"/>
  <c r="B39" i="3" s="1"/>
  <c r="I23" i="3"/>
  <c r="G23" i="3"/>
  <c r="N22" i="3"/>
  <c r="O22" i="3" s="1"/>
  <c r="I21" i="3"/>
  <c r="G21" i="3"/>
  <c r="I20" i="3"/>
  <c r="G20" i="3"/>
  <c r="I19" i="3"/>
  <c r="G19" i="3"/>
  <c r="I18" i="3"/>
  <c r="G18" i="3"/>
  <c r="I17" i="3"/>
  <c r="G17" i="3"/>
  <c r="I16" i="3"/>
  <c r="G16" i="3"/>
  <c r="I15" i="3"/>
  <c r="G15" i="3"/>
  <c r="I14" i="3"/>
  <c r="G14" i="3"/>
  <c r="I13" i="3"/>
  <c r="G13" i="3"/>
  <c r="I12" i="3"/>
  <c r="G12" i="3"/>
  <c r="I11" i="3"/>
  <c r="G11" i="3"/>
  <c r="I10" i="3"/>
  <c r="G10" i="3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I9" i="3"/>
  <c r="G9" i="3"/>
  <c r="L8" i="3"/>
  <c r="J10" i="3" l="1"/>
  <c r="J11" i="3"/>
  <c r="N11" i="3" s="1"/>
  <c r="O11" i="3" s="1"/>
  <c r="J12" i="3"/>
  <c r="J13" i="3"/>
  <c r="N13" i="3" s="1"/>
  <c r="O13" i="3" s="1"/>
  <c r="J14" i="3"/>
  <c r="J15" i="3"/>
  <c r="N15" i="3" s="1"/>
  <c r="O15" i="3" s="1"/>
  <c r="I147" i="5"/>
  <c r="I143" i="5"/>
  <c r="J143" i="5" s="1"/>
  <c r="K143" i="5" s="1"/>
  <c r="I139" i="5"/>
  <c r="I131" i="5"/>
  <c r="J131" i="5" s="1"/>
  <c r="K131" i="5" s="1"/>
  <c r="I123" i="5"/>
  <c r="I11" i="5"/>
  <c r="I7" i="5"/>
  <c r="I50" i="5"/>
  <c r="J50" i="5" s="1"/>
  <c r="K50" i="5" s="1"/>
  <c r="I42" i="5"/>
  <c r="I34" i="5"/>
  <c r="J34" i="5" s="1"/>
  <c r="K34" i="5" s="1"/>
  <c r="I12" i="5"/>
  <c r="I10" i="5"/>
  <c r="J10" i="5" s="1"/>
  <c r="K10" i="5" s="1"/>
  <c r="I8" i="5"/>
  <c r="I6" i="5"/>
  <c r="J6" i="5" s="1"/>
  <c r="K6" i="5" s="1"/>
  <c r="I135" i="5"/>
  <c r="I127" i="5"/>
  <c r="I129" i="5"/>
  <c r="I52" i="5"/>
  <c r="I44" i="5"/>
  <c r="I36" i="5"/>
  <c r="I9" i="5"/>
  <c r="I5" i="5"/>
  <c r="J5" i="5" s="1"/>
  <c r="K5" i="5" s="1"/>
  <c r="K41" i="6"/>
  <c r="K43" i="6"/>
  <c r="J149" i="5"/>
  <c r="K149" i="5" s="1"/>
  <c r="J145" i="5"/>
  <c r="K145" i="5" s="1"/>
  <c r="J141" i="5"/>
  <c r="K141" i="5" s="1"/>
  <c r="J137" i="5"/>
  <c r="K137" i="5" s="1"/>
  <c r="J135" i="5"/>
  <c r="K135" i="5" s="1"/>
  <c r="J127" i="5"/>
  <c r="J114" i="5"/>
  <c r="K114" i="5"/>
  <c r="J110" i="5"/>
  <c r="K110" i="5"/>
  <c r="J129" i="5"/>
  <c r="K129" i="5" s="1"/>
  <c r="J106" i="5"/>
  <c r="K106" i="5"/>
  <c r="J98" i="5"/>
  <c r="K98" i="5"/>
  <c r="J89" i="5"/>
  <c r="K89" i="5"/>
  <c r="J82" i="5"/>
  <c r="K82" i="5"/>
  <c r="J78" i="5"/>
  <c r="K78" i="5"/>
  <c r="J74" i="5"/>
  <c r="K74" i="5"/>
  <c r="J70" i="5"/>
  <c r="K70" i="5"/>
  <c r="J67" i="5"/>
  <c r="K67" i="5" s="1"/>
  <c r="J63" i="5"/>
  <c r="K63" i="5" s="1"/>
  <c r="J59" i="5"/>
  <c r="K59" i="5" s="1"/>
  <c r="J54" i="5"/>
  <c r="K54" i="5"/>
  <c r="J86" i="5"/>
  <c r="K86" i="5" s="1"/>
  <c r="J66" i="5"/>
  <c r="K66" i="5" s="1"/>
  <c r="J64" i="5"/>
  <c r="K64" i="5" s="1"/>
  <c r="J62" i="5"/>
  <c r="K62" i="5" s="1"/>
  <c r="J60" i="5"/>
  <c r="K60" i="5" s="1"/>
  <c r="J52" i="5"/>
  <c r="J44" i="5"/>
  <c r="K44" i="5" s="1"/>
  <c r="J36" i="5"/>
  <c r="J29" i="5"/>
  <c r="K29" i="5" s="1"/>
  <c r="J25" i="5"/>
  <c r="K25" i="5" s="1"/>
  <c r="J21" i="5"/>
  <c r="K21" i="5" s="1"/>
  <c r="J17" i="5"/>
  <c r="K17" i="5" s="1"/>
  <c r="J13" i="5"/>
  <c r="K13" i="5" s="1"/>
  <c r="J11" i="5"/>
  <c r="K11" i="5" s="1"/>
  <c r="J7" i="5"/>
  <c r="K7" i="5" s="1"/>
  <c r="J9" i="5"/>
  <c r="K9" i="5" s="1"/>
  <c r="J147" i="5"/>
  <c r="K147" i="5" s="1"/>
  <c r="J139" i="5"/>
  <c r="K139" i="5" s="1"/>
  <c r="J123" i="5"/>
  <c r="K123" i="5"/>
  <c r="J122" i="5"/>
  <c r="K122" i="5" s="1"/>
  <c r="J102" i="5"/>
  <c r="K102" i="5"/>
  <c r="J94" i="5"/>
  <c r="K94" i="5"/>
  <c r="J91" i="5"/>
  <c r="K91" i="5"/>
  <c r="J87" i="5"/>
  <c r="K87" i="5"/>
  <c r="J84" i="5"/>
  <c r="K84" i="5"/>
  <c r="J80" i="5"/>
  <c r="K80" i="5"/>
  <c r="J76" i="5"/>
  <c r="K76" i="5"/>
  <c r="J72" i="5"/>
  <c r="K72" i="5"/>
  <c r="J68" i="5"/>
  <c r="K68" i="5"/>
  <c r="J56" i="5"/>
  <c r="K56" i="5" s="1"/>
  <c r="J104" i="5"/>
  <c r="K104" i="5"/>
  <c r="J96" i="5"/>
  <c r="K96" i="5"/>
  <c r="J65" i="5"/>
  <c r="K65" i="5" s="1"/>
  <c r="J61" i="5"/>
  <c r="K61" i="5" s="1"/>
  <c r="J48" i="5"/>
  <c r="K48" i="5" s="1"/>
  <c r="J40" i="5"/>
  <c r="K40" i="5" s="1"/>
  <c r="J32" i="5"/>
  <c r="K32" i="5" s="1"/>
  <c r="J31" i="5"/>
  <c r="K31" i="5" s="1"/>
  <c r="J27" i="5"/>
  <c r="K27" i="5" s="1"/>
  <c r="J23" i="5"/>
  <c r="K23" i="5" s="1"/>
  <c r="J19" i="5"/>
  <c r="K19" i="5" s="1"/>
  <c r="J15" i="5"/>
  <c r="K15" i="5" s="1"/>
  <c r="J42" i="5"/>
  <c r="K42" i="5" s="1"/>
  <c r="J12" i="5"/>
  <c r="K12" i="5" s="1"/>
  <c r="J8" i="5"/>
  <c r="K8" i="5" s="1"/>
  <c r="J132" i="5"/>
  <c r="K132" i="5" s="1"/>
  <c r="J128" i="5"/>
  <c r="K128" i="5" s="1"/>
  <c r="J124" i="5"/>
  <c r="K124" i="5" s="1"/>
  <c r="J133" i="5"/>
  <c r="K133" i="5"/>
  <c r="J125" i="5"/>
  <c r="K125" i="5"/>
  <c r="J112" i="5"/>
  <c r="K112" i="5"/>
  <c r="J107" i="5"/>
  <c r="K107" i="5" s="1"/>
  <c r="J103" i="5"/>
  <c r="K103" i="5" s="1"/>
  <c r="J99" i="5"/>
  <c r="K99" i="5" s="1"/>
  <c r="J95" i="5"/>
  <c r="K95" i="5" s="1"/>
  <c r="J108" i="5"/>
  <c r="K108" i="5"/>
  <c r="J100" i="5"/>
  <c r="K100" i="5"/>
  <c r="J49" i="5"/>
  <c r="K49" i="5" s="1"/>
  <c r="J45" i="5"/>
  <c r="K45" i="5" s="1"/>
  <c r="J41" i="5"/>
  <c r="K41" i="5" s="1"/>
  <c r="J37" i="5"/>
  <c r="K37" i="5" s="1"/>
  <c r="J33" i="5"/>
  <c r="K33" i="5" s="1"/>
  <c r="J46" i="5"/>
  <c r="K46" i="5" s="1"/>
  <c r="J38" i="5"/>
  <c r="K38" i="5" s="1"/>
  <c r="J42" i="4"/>
  <c r="K42" i="4" s="1"/>
  <c r="L42" i="4" s="1"/>
  <c r="J38" i="4"/>
  <c r="K38" i="4" s="1"/>
  <c r="L38" i="4" s="1"/>
  <c r="J34" i="4"/>
  <c r="J30" i="4"/>
  <c r="K30" i="4" s="1"/>
  <c r="L30" i="4" s="1"/>
  <c r="J26" i="4"/>
  <c r="K26" i="4" s="1"/>
  <c r="L26" i="4" s="1"/>
  <c r="J22" i="4"/>
  <c r="K22" i="4" s="1"/>
  <c r="L22" i="4" s="1"/>
  <c r="J18" i="4"/>
  <c r="K18" i="4" s="1"/>
  <c r="L18" i="4" s="1"/>
  <c r="J14" i="4"/>
  <c r="K14" i="4" s="1"/>
  <c r="L14" i="4" s="1"/>
  <c r="J9" i="4"/>
  <c r="K9" i="4" s="1"/>
  <c r="L9" i="4" s="1"/>
  <c r="J39" i="4"/>
  <c r="K39" i="4" s="1"/>
  <c r="L39" i="4" s="1"/>
  <c r="J23" i="4"/>
  <c r="K23" i="4" s="1"/>
  <c r="L23" i="4" s="1"/>
  <c r="J31" i="4"/>
  <c r="K31" i="4" s="1"/>
  <c r="L31" i="4" s="1"/>
  <c r="J15" i="4"/>
  <c r="K15" i="4" s="1"/>
  <c r="L15" i="4" s="1"/>
  <c r="J41" i="4"/>
  <c r="J37" i="4"/>
  <c r="K37" i="4" s="1"/>
  <c r="L37" i="4" s="1"/>
  <c r="J33" i="4"/>
  <c r="K33" i="4" s="1"/>
  <c r="L33" i="4" s="1"/>
  <c r="J29" i="4"/>
  <c r="K29" i="4" s="1"/>
  <c r="L29" i="4" s="1"/>
  <c r="J25" i="4"/>
  <c r="K25" i="4" s="1"/>
  <c r="L25" i="4" s="1"/>
  <c r="J21" i="4"/>
  <c r="K21" i="4" s="1"/>
  <c r="L21" i="4" s="1"/>
  <c r="J17" i="4"/>
  <c r="K17" i="4" s="1"/>
  <c r="L17" i="4" s="1"/>
  <c r="J13" i="4"/>
  <c r="K13" i="4" s="1"/>
  <c r="L13" i="4" s="1"/>
  <c r="J7" i="4"/>
  <c r="K7" i="4" s="1"/>
  <c r="L7" i="4" s="1"/>
  <c r="K34" i="4"/>
  <c r="L34" i="4" s="1"/>
  <c r="J43" i="4"/>
  <c r="K43" i="4" s="1"/>
  <c r="L43" i="4" s="1"/>
  <c r="J35" i="4"/>
  <c r="J27" i="4"/>
  <c r="K27" i="4" s="1"/>
  <c r="L27" i="4" s="1"/>
  <c r="J19" i="4"/>
  <c r="K19" i="4" s="1"/>
  <c r="J11" i="4"/>
  <c r="K11" i="4" s="1"/>
  <c r="L11" i="4" s="1"/>
  <c r="K61" i="4"/>
  <c r="L61" i="4" s="1"/>
  <c r="K57" i="4"/>
  <c r="L57" i="4" s="1"/>
  <c r="K53" i="4"/>
  <c r="L53" i="4" s="1"/>
  <c r="K49" i="4"/>
  <c r="L49" i="4" s="1"/>
  <c r="K60" i="4"/>
  <c r="L60" i="4" s="1"/>
  <c r="K58" i="4"/>
  <c r="L58" i="4" s="1"/>
  <c r="K56" i="4"/>
  <c r="L56" i="4" s="1"/>
  <c r="K54" i="4"/>
  <c r="L54" i="4" s="1"/>
  <c r="K52" i="4"/>
  <c r="L52" i="4" s="1"/>
  <c r="K50" i="4"/>
  <c r="L50" i="4" s="1"/>
  <c r="K48" i="4"/>
  <c r="L48" i="4" s="1"/>
  <c r="K46" i="4"/>
  <c r="L46" i="4" s="1"/>
  <c r="K59" i="4"/>
  <c r="L59" i="4" s="1"/>
  <c r="K55" i="4"/>
  <c r="L55" i="4" s="1"/>
  <c r="K51" i="4"/>
  <c r="L51" i="4" s="1"/>
  <c r="K47" i="4"/>
  <c r="L47" i="4" s="1"/>
  <c r="K35" i="4"/>
  <c r="K10" i="4"/>
  <c r="L10" i="4" s="1"/>
  <c r="K6" i="4"/>
  <c r="L6" i="4" s="1"/>
  <c r="K41" i="4"/>
  <c r="L41" i="4" s="1"/>
  <c r="K44" i="4"/>
  <c r="L44" i="4" s="1"/>
  <c r="K40" i="4"/>
  <c r="L40" i="4" s="1"/>
  <c r="K36" i="4"/>
  <c r="L36" i="4" s="1"/>
  <c r="K32" i="4"/>
  <c r="L32" i="4" s="1"/>
  <c r="K28" i="4"/>
  <c r="L28" i="4" s="1"/>
  <c r="K24" i="4"/>
  <c r="L24" i="4" s="1"/>
  <c r="K20" i="4"/>
  <c r="L20" i="4" s="1"/>
  <c r="K16" i="4"/>
  <c r="L16" i="4" s="1"/>
  <c r="K12" i="4"/>
  <c r="L12" i="4" s="1"/>
  <c r="K8" i="4"/>
  <c r="L8" i="4" s="1"/>
  <c r="J9" i="3"/>
  <c r="N9" i="3" s="1"/>
  <c r="O9" i="3" s="1"/>
  <c r="J24" i="3"/>
  <c r="J25" i="3"/>
  <c r="J26" i="3"/>
  <c r="J27" i="3"/>
  <c r="J28" i="3"/>
  <c r="J29" i="3"/>
  <c r="J30" i="3"/>
  <c r="G57" i="3"/>
  <c r="J57" i="3" s="1"/>
  <c r="N57" i="3" s="1"/>
  <c r="O57" i="3" s="1"/>
  <c r="G53" i="3"/>
  <c r="J16" i="3"/>
  <c r="N16" i="3" s="1"/>
  <c r="O16" i="3" s="1"/>
  <c r="J17" i="3"/>
  <c r="J18" i="3"/>
  <c r="J19" i="3"/>
  <c r="J20" i="3"/>
  <c r="N20" i="3" s="1"/>
  <c r="J21" i="3"/>
  <c r="J23" i="3"/>
  <c r="N23" i="3" s="1"/>
  <c r="J41" i="3"/>
  <c r="O49" i="3"/>
  <c r="J53" i="3"/>
  <c r="G55" i="3"/>
  <c r="J55" i="3" s="1"/>
  <c r="G59" i="3"/>
  <c r="J59" i="3" s="1"/>
  <c r="N24" i="3"/>
  <c r="O24" i="3" s="1"/>
  <c r="N26" i="3"/>
  <c r="O26" i="3" s="1"/>
  <c r="N28" i="3"/>
  <c r="O28" i="3" s="1"/>
  <c r="N30" i="3"/>
  <c r="O30" i="3" s="1"/>
  <c r="N32" i="3"/>
  <c r="O32" i="3" s="1"/>
  <c r="N33" i="3"/>
  <c r="O33" i="3" s="1"/>
  <c r="N34" i="3"/>
  <c r="O34" i="3" s="1"/>
  <c r="N35" i="3"/>
  <c r="O35" i="3" s="1"/>
  <c r="N36" i="3"/>
  <c r="O36" i="3" s="1"/>
  <c r="N37" i="3"/>
  <c r="O37" i="3" s="1"/>
  <c r="N38" i="3"/>
  <c r="O38" i="3" s="1"/>
  <c r="N39" i="3"/>
  <c r="O39" i="3" s="1"/>
  <c r="N46" i="3"/>
  <c r="O46" i="3" s="1"/>
  <c r="N10" i="3"/>
  <c r="O10" i="3" s="1"/>
  <c r="N12" i="3"/>
  <c r="O12" i="3" s="1"/>
  <c r="N14" i="3"/>
  <c r="O14" i="3" s="1"/>
  <c r="N17" i="3"/>
  <c r="O17" i="3" s="1"/>
  <c r="L18" i="3"/>
  <c r="N19" i="3"/>
  <c r="O19" i="3" s="1"/>
  <c r="N21" i="3"/>
  <c r="O21" i="3" s="1"/>
  <c r="N53" i="3"/>
  <c r="O53" i="3" s="1"/>
  <c r="L23" i="3"/>
  <c r="G52" i="3"/>
  <c r="G54" i="3"/>
  <c r="G56" i="3"/>
  <c r="G58" i="3"/>
  <c r="G60" i="3"/>
  <c r="G62" i="3"/>
  <c r="N41" i="3"/>
  <c r="O41" i="3" s="1"/>
  <c r="J42" i="3"/>
  <c r="J43" i="3"/>
  <c r="J44" i="3"/>
  <c r="O48" i="3"/>
  <c r="O50" i="3"/>
  <c r="I52" i="3"/>
  <c r="I54" i="3"/>
  <c r="I56" i="3"/>
  <c r="I58" i="3"/>
  <c r="I60" i="3"/>
  <c r="G61" i="3"/>
  <c r="J61" i="3" s="1"/>
  <c r="I62" i="3"/>
  <c r="G63" i="3"/>
  <c r="J63" i="3" s="1"/>
  <c r="O29" i="3" l="1"/>
  <c r="O25" i="3"/>
  <c r="O20" i="3"/>
  <c r="N18" i="3"/>
  <c r="O18" i="3" s="1"/>
  <c r="N29" i="3"/>
  <c r="N27" i="3"/>
  <c r="O27" i="3" s="1"/>
  <c r="N25" i="3"/>
  <c r="O23" i="3"/>
  <c r="L20" i="3"/>
  <c r="K36" i="5"/>
  <c r="K52" i="5"/>
  <c r="K127" i="5"/>
  <c r="L19" i="4"/>
  <c r="L35" i="4"/>
  <c r="N59" i="3"/>
  <c r="O59" i="3" s="1"/>
  <c r="N55" i="3"/>
  <c r="O55" i="3" s="1"/>
  <c r="J58" i="3"/>
  <c r="N58" i="3" s="1"/>
  <c r="O58" i="3" s="1"/>
  <c r="J62" i="3"/>
  <c r="N62" i="3" s="1"/>
  <c r="O62" i="3" s="1"/>
  <c r="J54" i="3"/>
  <c r="J60" i="3"/>
  <c r="N60" i="3" s="1"/>
  <c r="O60" i="3" s="1"/>
  <c r="J56" i="3"/>
  <c r="N56" i="3" s="1"/>
  <c r="O56" i="3" s="1"/>
  <c r="J52" i="3"/>
  <c r="N63" i="3"/>
  <c r="O63" i="3" s="1"/>
  <c r="N52" i="3"/>
  <c r="O52" i="3" s="1"/>
  <c r="N54" i="3"/>
  <c r="O54" i="3" s="1"/>
  <c r="N61" i="3"/>
  <c r="O61" i="3" s="1"/>
  <c r="N44" i="3"/>
  <c r="O44" i="3" s="1"/>
  <c r="N42" i="3"/>
  <c r="O42" i="3" s="1"/>
  <c r="N43" i="3"/>
  <c r="O43" i="3" s="1"/>
  <c r="H225" i="1" l="1"/>
  <c r="H226" i="1"/>
  <c r="H227" i="1"/>
  <c r="H228" i="1"/>
  <c r="H229" i="1"/>
  <c r="H230" i="1"/>
  <c r="H231" i="1"/>
  <c r="H216" i="1"/>
  <c r="H217" i="1"/>
  <c r="G216" i="1"/>
  <c r="G217" i="1"/>
  <c r="E226" i="1"/>
  <c r="E227" i="1"/>
  <c r="E228" i="1"/>
  <c r="E229" i="1"/>
  <c r="E230" i="1"/>
  <c r="E231" i="1"/>
  <c r="E225" i="1"/>
  <c r="D224" i="1"/>
  <c r="D223" i="1"/>
  <c r="E223" i="1" s="1"/>
  <c r="D222" i="1"/>
  <c r="D221" i="1"/>
  <c r="D220" i="1"/>
  <c r="D219" i="1"/>
  <c r="E219" i="1" s="1"/>
  <c r="D218" i="1"/>
  <c r="D215" i="1"/>
  <c r="D214" i="1"/>
  <c r="D213" i="1"/>
  <c r="D212" i="1"/>
  <c r="D211" i="1"/>
  <c r="D210" i="1"/>
  <c r="D209" i="1"/>
  <c r="E209" i="1" s="1"/>
  <c r="D208" i="1"/>
  <c r="D207" i="1"/>
  <c r="D206" i="1"/>
  <c r="D205" i="1"/>
  <c r="D204" i="1"/>
  <c r="D203" i="1"/>
  <c r="D202" i="1"/>
  <c r="D201" i="1"/>
  <c r="D200" i="1"/>
  <c r="D199" i="1"/>
  <c r="D198" i="1"/>
  <c r="D197" i="1"/>
  <c r="E197" i="1" s="1"/>
  <c r="D196" i="1"/>
  <c r="D195" i="1"/>
  <c r="D194" i="1"/>
  <c r="D193" i="1"/>
  <c r="D192" i="1"/>
  <c r="D191" i="1"/>
  <c r="E191" i="1" s="1"/>
  <c r="D190" i="1"/>
  <c r="E216" i="1"/>
  <c r="E217" i="1"/>
  <c r="D189" i="1"/>
  <c r="D188" i="1"/>
  <c r="D187" i="1"/>
  <c r="E187" i="1" s="1"/>
  <c r="D186" i="1"/>
  <c r="D185" i="1"/>
  <c r="D184" i="1"/>
  <c r="D183" i="1"/>
  <c r="E183" i="1" s="1"/>
  <c r="D182" i="1"/>
  <c r="D181" i="1"/>
  <c r="D180" i="1"/>
  <c r="D179" i="1"/>
  <c r="D178" i="1"/>
  <c r="D177" i="1"/>
  <c r="E177" i="1" s="1"/>
  <c r="D176" i="1"/>
  <c r="D175" i="1"/>
  <c r="E175" i="1" s="1"/>
  <c r="D174" i="1"/>
  <c r="D173" i="1"/>
  <c r="D172" i="1"/>
  <c r="D171" i="1"/>
  <c r="D170" i="1"/>
  <c r="E170" i="1" s="1"/>
  <c r="D169" i="1"/>
  <c r="D168" i="1"/>
  <c r="D167" i="1"/>
  <c r="D166" i="1"/>
  <c r="E171" i="1"/>
  <c r="E17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5" i="1" s="1"/>
  <c r="I216" i="1" l="1"/>
  <c r="J216" i="1" s="1"/>
  <c r="H26" i="1"/>
  <c r="E38" i="1"/>
  <c r="E44" i="1"/>
  <c r="H50" i="1"/>
  <c r="E56" i="1"/>
  <c r="E62" i="1"/>
  <c r="E68" i="1"/>
  <c r="H74" i="1"/>
  <c r="E80" i="1"/>
  <c r="E86" i="1"/>
  <c r="E92" i="1"/>
  <c r="H98" i="1"/>
  <c r="E104" i="1"/>
  <c r="E167" i="1"/>
  <c r="G173" i="1"/>
  <c r="E179" i="1"/>
  <c r="E185" i="1"/>
  <c r="E195" i="1"/>
  <c r="E207" i="1"/>
  <c r="E213" i="1"/>
  <c r="E221" i="1"/>
  <c r="H79" i="1"/>
  <c r="H103" i="1"/>
  <c r="E14" i="1"/>
  <c r="H39" i="1"/>
  <c r="H51" i="1"/>
  <c r="H63" i="1"/>
  <c r="H75" i="1"/>
  <c r="H87" i="1"/>
  <c r="H99" i="1"/>
  <c r="H129" i="1"/>
  <c r="E172" i="1"/>
  <c r="E168" i="1"/>
  <c r="E174" i="1"/>
  <c r="H91" i="1"/>
  <c r="I231" i="1"/>
  <c r="E20" i="1"/>
  <c r="E16" i="1"/>
  <c r="H34" i="1"/>
  <c r="E40" i="1"/>
  <c r="E46" i="1"/>
  <c r="E52" i="1"/>
  <c r="H58" i="1"/>
  <c r="E64" i="1"/>
  <c r="E70" i="1"/>
  <c r="E76" i="1"/>
  <c r="H82" i="1"/>
  <c r="E88" i="1"/>
  <c r="E94" i="1"/>
  <c r="E100" i="1"/>
  <c r="H106" i="1"/>
  <c r="H181" i="1"/>
  <c r="E203" i="1"/>
  <c r="H215" i="1"/>
  <c r="H55" i="1"/>
  <c r="H67" i="1"/>
  <c r="E22" i="1"/>
  <c r="H5" i="1"/>
  <c r="H35" i="1"/>
  <c r="H47" i="1"/>
  <c r="H59" i="1"/>
  <c r="H71" i="1"/>
  <c r="H83" i="1"/>
  <c r="H95" i="1"/>
  <c r="H107" i="1"/>
  <c r="H113" i="1"/>
  <c r="H161" i="1"/>
  <c r="H43" i="1"/>
  <c r="H145" i="1"/>
  <c r="H8" i="1"/>
  <c r="E32" i="1"/>
  <c r="G10" i="1"/>
  <c r="E28" i="1"/>
  <c r="H6" i="1"/>
  <c r="E12" i="1"/>
  <c r="H18" i="1"/>
  <c r="G24" i="1"/>
  <c r="E30" i="1"/>
  <c r="E36" i="1"/>
  <c r="H42" i="1"/>
  <c r="E48" i="1"/>
  <c r="E54" i="1"/>
  <c r="E60" i="1"/>
  <c r="H66" i="1"/>
  <c r="E72" i="1"/>
  <c r="E78" i="1"/>
  <c r="E84" i="1"/>
  <c r="H90" i="1"/>
  <c r="E96" i="1"/>
  <c r="E102" i="1"/>
  <c r="E108" i="1"/>
  <c r="E169" i="1"/>
  <c r="E201" i="1"/>
  <c r="H199" i="1"/>
  <c r="E205" i="1"/>
  <c r="E211" i="1"/>
  <c r="I225" i="1"/>
  <c r="I226" i="1"/>
  <c r="I230" i="1"/>
  <c r="E6" i="1"/>
  <c r="I229" i="1"/>
  <c r="E8" i="1"/>
  <c r="E173" i="1"/>
  <c r="I228" i="1"/>
  <c r="I227" i="1"/>
  <c r="E106" i="1"/>
  <c r="E98" i="1"/>
  <c r="E90" i="1"/>
  <c r="E82" i="1"/>
  <c r="E74" i="1"/>
  <c r="E66" i="1"/>
  <c r="E58" i="1"/>
  <c r="E50" i="1"/>
  <c r="E42" i="1"/>
  <c r="E34" i="1"/>
  <c r="E26" i="1"/>
  <c r="E18" i="1"/>
  <c r="E215" i="1"/>
  <c r="E199" i="1"/>
  <c r="G32" i="1"/>
  <c r="G16" i="1"/>
  <c r="G215" i="1"/>
  <c r="E24" i="1"/>
  <c r="G6" i="1"/>
  <c r="G199" i="1"/>
  <c r="G7" i="1"/>
  <c r="E9" i="1"/>
  <c r="G9" i="1"/>
  <c r="E11" i="1"/>
  <c r="G11" i="1"/>
  <c r="H13" i="1"/>
  <c r="G13" i="1"/>
  <c r="H15" i="1"/>
  <c r="G15" i="1"/>
  <c r="H17" i="1"/>
  <c r="G17" i="1"/>
  <c r="H19" i="1"/>
  <c r="G19" i="1"/>
  <c r="H21" i="1"/>
  <c r="G21" i="1"/>
  <c r="H23" i="1"/>
  <c r="G23" i="1"/>
  <c r="H25" i="1"/>
  <c r="G25" i="1"/>
  <c r="H27" i="1"/>
  <c r="G27" i="1"/>
  <c r="H29" i="1"/>
  <c r="G29" i="1"/>
  <c r="H31" i="1"/>
  <c r="G31" i="1"/>
  <c r="H33" i="1"/>
  <c r="G33" i="1"/>
  <c r="H37" i="1"/>
  <c r="H41" i="1"/>
  <c r="H45" i="1"/>
  <c r="H49" i="1"/>
  <c r="H53" i="1"/>
  <c r="H57" i="1"/>
  <c r="H61" i="1"/>
  <c r="H65" i="1"/>
  <c r="H69" i="1"/>
  <c r="H73" i="1"/>
  <c r="H77" i="1"/>
  <c r="H81" i="1"/>
  <c r="H85" i="1"/>
  <c r="H89" i="1"/>
  <c r="H93" i="1"/>
  <c r="H97" i="1"/>
  <c r="H101" i="1"/>
  <c r="H105" i="1"/>
  <c r="H109" i="1"/>
  <c r="H111" i="1"/>
  <c r="H115" i="1"/>
  <c r="H117" i="1"/>
  <c r="H119" i="1"/>
  <c r="H123" i="1"/>
  <c r="H125" i="1"/>
  <c r="H127" i="1"/>
  <c r="H131" i="1"/>
  <c r="H135" i="1"/>
  <c r="H139" i="1"/>
  <c r="H143" i="1"/>
  <c r="H147" i="1"/>
  <c r="H151" i="1"/>
  <c r="H155" i="1"/>
  <c r="H159" i="1"/>
  <c r="H163" i="1"/>
  <c r="E165" i="1"/>
  <c r="E163" i="1"/>
  <c r="E161" i="1"/>
  <c r="E159" i="1"/>
  <c r="E157" i="1"/>
  <c r="E155" i="1"/>
  <c r="E153" i="1"/>
  <c r="E151" i="1"/>
  <c r="E149" i="1"/>
  <c r="E147" i="1"/>
  <c r="E145" i="1"/>
  <c r="E143" i="1"/>
  <c r="E141" i="1"/>
  <c r="E139" i="1"/>
  <c r="E137" i="1"/>
  <c r="E135" i="1"/>
  <c r="E133" i="1"/>
  <c r="E131" i="1"/>
  <c r="E127" i="1"/>
  <c r="E123" i="1"/>
  <c r="E119" i="1"/>
  <c r="E115" i="1"/>
  <c r="I115" i="1" s="1"/>
  <c r="E111" i="1"/>
  <c r="H166" i="1"/>
  <c r="G166" i="1"/>
  <c r="E166" i="1"/>
  <c r="H168" i="1"/>
  <c r="G168" i="1"/>
  <c r="H170" i="1"/>
  <c r="G170" i="1"/>
  <c r="H172" i="1"/>
  <c r="G172" i="1"/>
  <c r="H174" i="1"/>
  <c r="H176" i="1"/>
  <c r="G176" i="1"/>
  <c r="E178" i="1"/>
  <c r="H178" i="1"/>
  <c r="G178" i="1"/>
  <c r="H180" i="1"/>
  <c r="G180" i="1"/>
  <c r="E180" i="1"/>
  <c r="H182" i="1"/>
  <c r="G182" i="1"/>
  <c r="H184" i="1"/>
  <c r="G184" i="1"/>
  <c r="H186" i="1"/>
  <c r="H188" i="1"/>
  <c r="G188" i="1"/>
  <c r="H9" i="1"/>
  <c r="G109" i="1"/>
  <c r="G105" i="1"/>
  <c r="G101" i="1"/>
  <c r="G97" i="1"/>
  <c r="G93" i="1"/>
  <c r="G89" i="1"/>
  <c r="G85" i="1"/>
  <c r="G81" i="1"/>
  <c r="G77" i="1"/>
  <c r="G73" i="1"/>
  <c r="G69" i="1"/>
  <c r="G65" i="1"/>
  <c r="G61" i="1"/>
  <c r="G57" i="1"/>
  <c r="G53" i="1"/>
  <c r="G49" i="1"/>
  <c r="G45" i="1"/>
  <c r="G41" i="1"/>
  <c r="G37" i="1"/>
  <c r="H165" i="1"/>
  <c r="H157" i="1"/>
  <c r="H149" i="1"/>
  <c r="H141" i="1"/>
  <c r="H133" i="1"/>
  <c r="H121" i="1"/>
  <c r="G174" i="1"/>
  <c r="E7" i="1"/>
  <c r="E10" i="1"/>
  <c r="H10" i="1"/>
  <c r="G12" i="1"/>
  <c r="G14" i="1"/>
  <c r="H16" i="1"/>
  <c r="G18" i="1"/>
  <c r="H20" i="1"/>
  <c r="G22" i="1"/>
  <c r="H24" i="1"/>
  <c r="G26" i="1"/>
  <c r="H28" i="1"/>
  <c r="G30" i="1"/>
  <c r="H32" i="1"/>
  <c r="G34" i="1"/>
  <c r="H36" i="1"/>
  <c r="G36" i="1"/>
  <c r="G38" i="1"/>
  <c r="H40" i="1"/>
  <c r="G40" i="1"/>
  <c r="G42" i="1"/>
  <c r="H44" i="1"/>
  <c r="G44" i="1"/>
  <c r="G46" i="1"/>
  <c r="H48" i="1"/>
  <c r="G48" i="1"/>
  <c r="G50" i="1"/>
  <c r="H52" i="1"/>
  <c r="G52" i="1"/>
  <c r="G54" i="1"/>
  <c r="H56" i="1"/>
  <c r="G56" i="1"/>
  <c r="G58" i="1"/>
  <c r="H60" i="1"/>
  <c r="G60" i="1"/>
  <c r="G62" i="1"/>
  <c r="H64" i="1"/>
  <c r="G64" i="1"/>
  <c r="G66" i="1"/>
  <c r="H68" i="1"/>
  <c r="G68" i="1"/>
  <c r="G70" i="1"/>
  <c r="H72" i="1"/>
  <c r="G72" i="1"/>
  <c r="G74" i="1"/>
  <c r="H76" i="1"/>
  <c r="G76" i="1"/>
  <c r="G78" i="1"/>
  <c r="H80" i="1"/>
  <c r="G80" i="1"/>
  <c r="G82" i="1"/>
  <c r="H84" i="1"/>
  <c r="G84" i="1"/>
  <c r="G86" i="1"/>
  <c r="H88" i="1"/>
  <c r="G88" i="1"/>
  <c r="G90" i="1"/>
  <c r="H92" i="1"/>
  <c r="G92" i="1"/>
  <c r="G94" i="1"/>
  <c r="H96" i="1"/>
  <c r="G96" i="1"/>
  <c r="G98" i="1"/>
  <c r="H100" i="1"/>
  <c r="G100" i="1"/>
  <c r="G102" i="1"/>
  <c r="H104" i="1"/>
  <c r="G104" i="1"/>
  <c r="G106" i="1"/>
  <c r="H108" i="1"/>
  <c r="G108" i="1"/>
  <c r="E109" i="1"/>
  <c r="E107" i="1"/>
  <c r="E105" i="1"/>
  <c r="E103" i="1"/>
  <c r="E101" i="1"/>
  <c r="E99" i="1"/>
  <c r="E97" i="1"/>
  <c r="E95" i="1"/>
  <c r="E93" i="1"/>
  <c r="E91" i="1"/>
  <c r="E89" i="1"/>
  <c r="E87" i="1"/>
  <c r="E85" i="1"/>
  <c r="E83" i="1"/>
  <c r="E81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H110" i="1"/>
  <c r="H112" i="1"/>
  <c r="E112" i="1"/>
  <c r="H114" i="1"/>
  <c r="E114" i="1"/>
  <c r="H116" i="1"/>
  <c r="E116" i="1"/>
  <c r="H118" i="1"/>
  <c r="E118" i="1"/>
  <c r="H120" i="1"/>
  <c r="E120" i="1"/>
  <c r="H122" i="1"/>
  <c r="E122" i="1"/>
  <c r="H124" i="1"/>
  <c r="E124" i="1"/>
  <c r="H126" i="1"/>
  <c r="E126" i="1"/>
  <c r="H128" i="1"/>
  <c r="E128" i="1"/>
  <c r="H130" i="1"/>
  <c r="E130" i="1"/>
  <c r="H132" i="1"/>
  <c r="H134" i="1"/>
  <c r="H136" i="1"/>
  <c r="H138" i="1"/>
  <c r="H140" i="1"/>
  <c r="H142" i="1"/>
  <c r="H144" i="1"/>
  <c r="H146" i="1"/>
  <c r="H148" i="1"/>
  <c r="H150" i="1"/>
  <c r="H152" i="1"/>
  <c r="H154" i="1"/>
  <c r="H156" i="1"/>
  <c r="H158" i="1"/>
  <c r="H160" i="1"/>
  <c r="H162" i="1"/>
  <c r="H164" i="1"/>
  <c r="E110" i="1"/>
  <c r="E164" i="1"/>
  <c r="E162" i="1"/>
  <c r="E160" i="1"/>
  <c r="I160" i="1" s="1"/>
  <c r="E158" i="1"/>
  <c r="E156" i="1"/>
  <c r="E154" i="1"/>
  <c r="I154" i="1" s="1"/>
  <c r="E152" i="1"/>
  <c r="E150" i="1"/>
  <c r="E148" i="1"/>
  <c r="I148" i="1" s="1"/>
  <c r="E146" i="1"/>
  <c r="E144" i="1"/>
  <c r="E142" i="1"/>
  <c r="I142" i="1" s="1"/>
  <c r="E140" i="1"/>
  <c r="E138" i="1"/>
  <c r="E136" i="1"/>
  <c r="I136" i="1" s="1"/>
  <c r="E134" i="1"/>
  <c r="E132" i="1"/>
  <c r="E129" i="1"/>
  <c r="E125" i="1"/>
  <c r="E121" i="1"/>
  <c r="E117" i="1"/>
  <c r="E113" i="1"/>
  <c r="I113" i="1" s="1"/>
  <c r="E188" i="1"/>
  <c r="E186" i="1"/>
  <c r="E184" i="1"/>
  <c r="E182" i="1"/>
  <c r="I217" i="1"/>
  <c r="J217" i="1" s="1"/>
  <c r="E190" i="1"/>
  <c r="H190" i="1"/>
  <c r="G190" i="1"/>
  <c r="H192" i="1"/>
  <c r="G192" i="1"/>
  <c r="E192" i="1"/>
  <c r="E194" i="1"/>
  <c r="H194" i="1"/>
  <c r="G194" i="1"/>
  <c r="E196" i="1"/>
  <c r="H196" i="1"/>
  <c r="G196" i="1"/>
  <c r="H198" i="1"/>
  <c r="G198" i="1"/>
  <c r="E198" i="1"/>
  <c r="H200" i="1"/>
  <c r="G200" i="1"/>
  <c r="E200" i="1"/>
  <c r="H202" i="1"/>
  <c r="G202" i="1"/>
  <c r="E202" i="1"/>
  <c r="H204" i="1"/>
  <c r="G204" i="1"/>
  <c r="E204" i="1"/>
  <c r="H206" i="1"/>
  <c r="G206" i="1"/>
  <c r="E206" i="1"/>
  <c r="H208" i="1"/>
  <c r="G208" i="1"/>
  <c r="E208" i="1"/>
  <c r="H210" i="1"/>
  <c r="G210" i="1"/>
  <c r="E210" i="1"/>
  <c r="H212" i="1"/>
  <c r="G212" i="1"/>
  <c r="E212" i="1"/>
  <c r="H214" i="1"/>
  <c r="G214" i="1"/>
  <c r="E214" i="1"/>
  <c r="H218" i="1"/>
  <c r="G218" i="1"/>
  <c r="E218" i="1"/>
  <c r="H220" i="1"/>
  <c r="G220" i="1"/>
  <c r="E220" i="1"/>
  <c r="H222" i="1"/>
  <c r="G222" i="1"/>
  <c r="E222" i="1"/>
  <c r="E224" i="1"/>
  <c r="H224" i="1"/>
  <c r="G224" i="1"/>
  <c r="G5" i="1"/>
  <c r="G8" i="1"/>
  <c r="H11" i="1"/>
  <c r="H7" i="1"/>
  <c r="G107" i="1"/>
  <c r="G103" i="1"/>
  <c r="G99" i="1"/>
  <c r="G95" i="1"/>
  <c r="G91" i="1"/>
  <c r="G87" i="1"/>
  <c r="G83" i="1"/>
  <c r="G79" i="1"/>
  <c r="G75" i="1"/>
  <c r="G71" i="1"/>
  <c r="G67" i="1"/>
  <c r="G63" i="1"/>
  <c r="G59" i="1"/>
  <c r="G55" i="1"/>
  <c r="G51" i="1"/>
  <c r="G47" i="1"/>
  <c r="G43" i="1"/>
  <c r="G39" i="1"/>
  <c r="G35" i="1"/>
  <c r="G28" i="1"/>
  <c r="G20" i="1"/>
  <c r="H12" i="1"/>
  <c r="H102" i="1"/>
  <c r="H94" i="1"/>
  <c r="H86" i="1"/>
  <c r="H78" i="1"/>
  <c r="H70" i="1"/>
  <c r="H62" i="1"/>
  <c r="H54" i="1"/>
  <c r="H46" i="1"/>
  <c r="H38" i="1"/>
  <c r="H30" i="1"/>
  <c r="H22" i="1"/>
  <c r="H14" i="1"/>
  <c r="H153" i="1"/>
  <c r="H137" i="1"/>
  <c r="G186" i="1"/>
  <c r="G167" i="1"/>
  <c r="H167" i="1"/>
  <c r="G169" i="1"/>
  <c r="H169" i="1"/>
  <c r="G171" i="1"/>
  <c r="H171" i="1"/>
  <c r="G175" i="1"/>
  <c r="H175" i="1"/>
  <c r="G177" i="1"/>
  <c r="H177" i="1"/>
  <c r="G179" i="1"/>
  <c r="H179" i="1"/>
  <c r="E181" i="1"/>
  <c r="G181" i="1"/>
  <c r="H183" i="1"/>
  <c r="G183" i="1"/>
  <c r="G185" i="1"/>
  <c r="H185" i="1"/>
  <c r="H187" i="1"/>
  <c r="G187" i="1"/>
  <c r="E189" i="1"/>
  <c r="G189" i="1"/>
  <c r="E193" i="1"/>
  <c r="H193" i="1"/>
  <c r="G193" i="1"/>
  <c r="H195" i="1"/>
  <c r="G195" i="1"/>
  <c r="H197" i="1"/>
  <c r="G197" i="1"/>
  <c r="H201" i="1"/>
  <c r="G201" i="1"/>
  <c r="H203" i="1"/>
  <c r="G203" i="1"/>
  <c r="H205" i="1"/>
  <c r="G205" i="1"/>
  <c r="H209" i="1"/>
  <c r="G209" i="1"/>
  <c r="H211" i="1"/>
  <c r="G211" i="1"/>
  <c r="H213" i="1"/>
  <c r="G213" i="1"/>
  <c r="H219" i="1"/>
  <c r="G219" i="1"/>
  <c r="H221" i="1"/>
  <c r="G221" i="1"/>
  <c r="H223" i="1"/>
  <c r="G223" i="1"/>
  <c r="H189" i="1"/>
  <c r="H173" i="1"/>
  <c r="G207" i="1"/>
  <c r="G191" i="1"/>
  <c r="H207" i="1"/>
  <c r="H191" i="1"/>
  <c r="I6" i="1" l="1"/>
  <c r="J6" i="1" s="1"/>
  <c r="I138" i="1"/>
  <c r="J138" i="1" s="1"/>
  <c r="I150" i="1"/>
  <c r="J150" i="1" s="1"/>
  <c r="I15" i="1"/>
  <c r="I63" i="1"/>
  <c r="J63" i="1" s="1"/>
  <c r="I199" i="1"/>
  <c r="J199" i="1" s="1"/>
  <c r="I79" i="1"/>
  <c r="J79" i="1" s="1"/>
  <c r="I95" i="1"/>
  <c r="J95" i="1" s="1"/>
  <c r="I117" i="1"/>
  <c r="J117" i="1" s="1"/>
  <c r="I13" i="1"/>
  <c r="J13" i="1" s="1"/>
  <c r="I25" i="1"/>
  <c r="J25" i="1" s="1"/>
  <c r="I49" i="1"/>
  <c r="J49" i="1" s="1"/>
  <c r="I47" i="1"/>
  <c r="J47" i="1" s="1"/>
  <c r="I127" i="1"/>
  <c r="J127" i="1" s="1"/>
  <c r="I215" i="1"/>
  <c r="J215" i="1" s="1"/>
  <c r="I125" i="1"/>
  <c r="J125" i="1" s="1"/>
  <c r="I224" i="1"/>
  <c r="J224" i="1" s="1"/>
  <c r="I206" i="1"/>
  <c r="J206" i="1" s="1"/>
  <c r="I131" i="1"/>
  <c r="J131" i="1" s="1"/>
  <c r="I161" i="1"/>
  <c r="J161" i="1" s="1"/>
  <c r="I184" i="1"/>
  <c r="J184" i="1" s="1"/>
  <c r="I17" i="1"/>
  <c r="J17" i="1" s="1"/>
  <c r="I29" i="1"/>
  <c r="J29" i="1" s="1"/>
  <c r="I41" i="1"/>
  <c r="J41" i="1" s="1"/>
  <c r="I65" i="1"/>
  <c r="J65" i="1" s="1"/>
  <c r="I21" i="1"/>
  <c r="I111" i="1"/>
  <c r="J111" i="1" s="1"/>
  <c r="I133" i="1"/>
  <c r="I145" i="1"/>
  <c r="J145" i="1" s="1"/>
  <c r="I208" i="1"/>
  <c r="J208" i="1" s="1"/>
  <c r="I192" i="1"/>
  <c r="J192" i="1" s="1"/>
  <c r="I37" i="1"/>
  <c r="J37" i="1" s="1"/>
  <c r="I61" i="1"/>
  <c r="J61" i="1" s="1"/>
  <c r="I73" i="1"/>
  <c r="I85" i="1"/>
  <c r="J85" i="1" s="1"/>
  <c r="I97" i="1"/>
  <c r="J97" i="1" s="1"/>
  <c r="I109" i="1"/>
  <c r="J109" i="1" s="1"/>
  <c r="I147" i="1"/>
  <c r="I144" i="1"/>
  <c r="I156" i="1"/>
  <c r="I33" i="1"/>
  <c r="I69" i="1"/>
  <c r="I81" i="1"/>
  <c r="I93" i="1"/>
  <c r="I105" i="1"/>
  <c r="I104" i="1"/>
  <c r="I80" i="1"/>
  <c r="I72" i="1"/>
  <c r="I48" i="1"/>
  <c r="I40" i="1"/>
  <c r="I155" i="1"/>
  <c r="J15" i="1"/>
  <c r="I20" i="1"/>
  <c r="I210" i="1"/>
  <c r="I132" i="1"/>
  <c r="I175" i="1"/>
  <c r="I167" i="1"/>
  <c r="I55" i="1"/>
  <c r="I103" i="1"/>
  <c r="I5" i="1"/>
  <c r="I212" i="1"/>
  <c r="I45" i="1"/>
  <c r="I202" i="1"/>
  <c r="I86" i="1"/>
  <c r="I57" i="1"/>
  <c r="I191" i="1"/>
  <c r="I197" i="1"/>
  <c r="I39" i="1"/>
  <c r="I87" i="1"/>
  <c r="I214" i="1"/>
  <c r="I194" i="1"/>
  <c r="J113" i="1"/>
  <c r="I18" i="1"/>
  <c r="I31" i="1"/>
  <c r="J226" i="1"/>
  <c r="J136" i="1"/>
  <c r="J148" i="1"/>
  <c r="J160" i="1"/>
  <c r="I102" i="1"/>
  <c r="I70" i="1"/>
  <c r="I16" i="1"/>
  <c r="I174" i="1"/>
  <c r="I168" i="1"/>
  <c r="J115" i="1"/>
  <c r="J229" i="1"/>
  <c r="J231" i="1"/>
  <c r="I196" i="1"/>
  <c r="I162" i="1"/>
  <c r="I27" i="1"/>
  <c r="I100" i="1"/>
  <c r="I92" i="1"/>
  <c r="I68" i="1"/>
  <c r="I60" i="1"/>
  <c r="I36" i="1"/>
  <c r="I26" i="1"/>
  <c r="J225" i="1"/>
  <c r="I183" i="1"/>
  <c r="I204" i="1"/>
  <c r="I53" i="1"/>
  <c r="I77" i="1"/>
  <c r="I101" i="1"/>
  <c r="I24" i="1"/>
  <c r="J227" i="1"/>
  <c r="J230" i="1"/>
  <c r="I211" i="1"/>
  <c r="I173" i="1"/>
  <c r="I71" i="1"/>
  <c r="I129" i="1"/>
  <c r="J142" i="1"/>
  <c r="J154" i="1"/>
  <c r="I106" i="1"/>
  <c r="I98" i="1"/>
  <c r="I82" i="1"/>
  <c r="I74" i="1"/>
  <c r="I66" i="1"/>
  <c r="I58" i="1"/>
  <c r="I50" i="1"/>
  <c r="I34" i="1"/>
  <c r="I165" i="1"/>
  <c r="J228" i="1"/>
  <c r="I193" i="1"/>
  <c r="I8" i="1"/>
  <c r="I218" i="1"/>
  <c r="I200" i="1"/>
  <c r="I188" i="1"/>
  <c r="I32" i="1"/>
  <c r="I153" i="1"/>
  <c r="I222" i="1"/>
  <c r="I213" i="1"/>
  <c r="I171" i="1"/>
  <c r="I78" i="1"/>
  <c r="I28" i="1"/>
  <c r="I134" i="1"/>
  <c r="I146" i="1"/>
  <c r="I158" i="1"/>
  <c r="I35" i="1"/>
  <c r="I83" i="1"/>
  <c r="I170" i="1"/>
  <c r="I143" i="1"/>
  <c r="I38" i="1"/>
  <c r="I46" i="1"/>
  <c r="I94" i="1"/>
  <c r="I51" i="1"/>
  <c r="I99" i="1"/>
  <c r="I180" i="1"/>
  <c r="I135" i="1"/>
  <c r="I159" i="1"/>
  <c r="I195" i="1"/>
  <c r="I177" i="1"/>
  <c r="I54" i="1"/>
  <c r="I140" i="1"/>
  <c r="I152" i="1"/>
  <c r="I164" i="1"/>
  <c r="I89" i="1"/>
  <c r="I119" i="1"/>
  <c r="I149" i="1"/>
  <c r="I11" i="1"/>
  <c r="I209" i="1"/>
  <c r="I187" i="1"/>
  <c r="I181" i="1"/>
  <c r="I62" i="1"/>
  <c r="I186" i="1"/>
  <c r="I110" i="1"/>
  <c r="I19" i="1"/>
  <c r="I67" i="1"/>
  <c r="I90" i="1"/>
  <c r="I42" i="1"/>
  <c r="I10" i="1"/>
  <c r="I172" i="1"/>
  <c r="I123" i="1"/>
  <c r="I139" i="1"/>
  <c r="I151" i="1"/>
  <c r="I163" i="1"/>
  <c r="I223" i="1"/>
  <c r="I221" i="1"/>
  <c r="I219" i="1"/>
  <c r="I30" i="1"/>
  <c r="I22" i="1"/>
  <c r="I14" i="1"/>
  <c r="I7" i="1"/>
  <c r="I178" i="1"/>
  <c r="I207" i="1"/>
  <c r="I205" i="1"/>
  <c r="I203" i="1"/>
  <c r="I201" i="1"/>
  <c r="I189" i="1"/>
  <c r="I185" i="1"/>
  <c r="I179" i="1"/>
  <c r="I169" i="1"/>
  <c r="I220" i="1"/>
  <c r="I198" i="1"/>
  <c r="I190" i="1"/>
  <c r="I130" i="1"/>
  <c r="I128" i="1"/>
  <c r="I126" i="1"/>
  <c r="I124" i="1"/>
  <c r="I122" i="1"/>
  <c r="I120" i="1"/>
  <c r="I118" i="1"/>
  <c r="I116" i="1"/>
  <c r="I114" i="1"/>
  <c r="I112" i="1"/>
  <c r="I43" i="1"/>
  <c r="I59" i="1"/>
  <c r="I75" i="1"/>
  <c r="I91" i="1"/>
  <c r="I107" i="1"/>
  <c r="I108" i="1"/>
  <c r="I96" i="1"/>
  <c r="I88" i="1"/>
  <c r="I84" i="1"/>
  <c r="I76" i="1"/>
  <c r="I64" i="1"/>
  <c r="I56" i="1"/>
  <c r="I52" i="1"/>
  <c r="I44" i="1"/>
  <c r="I12" i="1"/>
  <c r="I121" i="1"/>
  <c r="I182" i="1"/>
  <c r="I176" i="1"/>
  <c r="I166" i="1"/>
  <c r="I137" i="1"/>
  <c r="I141" i="1"/>
  <c r="I157" i="1"/>
  <c r="I23" i="1"/>
  <c r="I9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J73" i="1" l="1"/>
  <c r="J133" i="1"/>
  <c r="J147" i="1"/>
  <c r="J21" i="1"/>
  <c r="J44" i="1"/>
  <c r="J190" i="1"/>
  <c r="J10" i="1"/>
  <c r="J99" i="1"/>
  <c r="J50" i="1"/>
  <c r="J92" i="1"/>
  <c r="J102" i="1"/>
  <c r="J191" i="1"/>
  <c r="J86" i="1"/>
  <c r="J210" i="1"/>
  <c r="J72" i="1"/>
  <c r="J104" i="1"/>
  <c r="J81" i="1"/>
  <c r="J166" i="1"/>
  <c r="J201" i="1"/>
  <c r="J42" i="1"/>
  <c r="J62" i="1"/>
  <c r="J119" i="1"/>
  <c r="J177" i="1"/>
  <c r="J51" i="1"/>
  <c r="J83" i="1"/>
  <c r="J78" i="1"/>
  <c r="J188" i="1"/>
  <c r="J106" i="1"/>
  <c r="J71" i="1"/>
  <c r="J183" i="1"/>
  <c r="J168" i="1"/>
  <c r="J70" i="1"/>
  <c r="J197" i="1"/>
  <c r="J5" i="1"/>
  <c r="J55" i="1"/>
  <c r="J155" i="1"/>
  <c r="J137" i="1"/>
  <c r="J59" i="1"/>
  <c r="J7" i="1"/>
  <c r="J149" i="1"/>
  <c r="J28" i="1"/>
  <c r="J26" i="1"/>
  <c r="J16" i="1"/>
  <c r="J57" i="1"/>
  <c r="J96" i="1"/>
  <c r="J14" i="1"/>
  <c r="J9" i="1"/>
  <c r="J176" i="1"/>
  <c r="J56" i="1"/>
  <c r="J108" i="1"/>
  <c r="J112" i="1"/>
  <c r="J124" i="1"/>
  <c r="J220" i="1"/>
  <c r="J203" i="1"/>
  <c r="J22" i="1"/>
  <c r="J151" i="1"/>
  <c r="J90" i="1"/>
  <c r="J181" i="1"/>
  <c r="J89" i="1"/>
  <c r="J195" i="1"/>
  <c r="J94" i="1"/>
  <c r="J35" i="1"/>
  <c r="J171" i="1"/>
  <c r="J200" i="1"/>
  <c r="J58" i="1"/>
  <c r="J82" i="1"/>
  <c r="J101" i="1"/>
  <c r="J36" i="1"/>
  <c r="J68" i="1"/>
  <c r="J100" i="1"/>
  <c r="J162" i="1"/>
  <c r="J39" i="1"/>
  <c r="J167" i="1"/>
  <c r="J20" i="1"/>
  <c r="J48" i="1"/>
  <c r="J80" i="1"/>
  <c r="J105" i="1"/>
  <c r="J69" i="1"/>
  <c r="J144" i="1"/>
  <c r="J122" i="1"/>
  <c r="J107" i="1"/>
  <c r="J30" i="1"/>
  <c r="J164" i="1"/>
  <c r="J158" i="1"/>
  <c r="J218" i="1"/>
  <c r="J34" i="1"/>
  <c r="J173" i="1"/>
  <c r="J24" i="1"/>
  <c r="J77" i="1"/>
  <c r="J204" i="1"/>
  <c r="J31" i="1"/>
  <c r="J18" i="1"/>
  <c r="J194" i="1"/>
  <c r="J88" i="1"/>
  <c r="J189" i="1"/>
  <c r="J186" i="1"/>
  <c r="J170" i="1"/>
  <c r="J60" i="1"/>
  <c r="J40" i="1"/>
  <c r="J43" i="1"/>
  <c r="J163" i="1"/>
  <c r="J64" i="1"/>
  <c r="J126" i="1"/>
  <c r="J169" i="1"/>
  <c r="J139" i="1"/>
  <c r="J187" i="1"/>
  <c r="J159" i="1"/>
  <c r="J213" i="1"/>
  <c r="J157" i="1"/>
  <c r="J76" i="1"/>
  <c r="J128" i="1"/>
  <c r="J207" i="1"/>
  <c r="J123" i="1"/>
  <c r="J19" i="1"/>
  <c r="J152" i="1"/>
  <c r="J135" i="1"/>
  <c r="J38" i="1"/>
  <c r="J146" i="1"/>
  <c r="J222" i="1"/>
  <c r="J8" i="1"/>
  <c r="J66" i="1"/>
  <c r="J129" i="1"/>
  <c r="J27" i="1"/>
  <c r="J174" i="1"/>
  <c r="J202" i="1"/>
  <c r="J212" i="1"/>
  <c r="J103" i="1"/>
  <c r="J175" i="1"/>
  <c r="J132" i="1"/>
  <c r="J93" i="1"/>
  <c r="J33" i="1"/>
  <c r="J120" i="1"/>
  <c r="J223" i="1"/>
  <c r="J54" i="1"/>
  <c r="J32" i="1"/>
  <c r="J74" i="1"/>
  <c r="J53" i="1"/>
  <c r="J156" i="1"/>
  <c r="J52" i="1"/>
  <c r="J198" i="1"/>
  <c r="J23" i="1"/>
  <c r="J182" i="1"/>
  <c r="J114" i="1"/>
  <c r="J205" i="1"/>
  <c r="J67" i="1"/>
  <c r="J46" i="1"/>
  <c r="J121" i="1"/>
  <c r="J91" i="1"/>
  <c r="J116" i="1"/>
  <c r="J179" i="1"/>
  <c r="J219" i="1"/>
  <c r="J209" i="1"/>
  <c r="J141" i="1"/>
  <c r="J12" i="1"/>
  <c r="J84" i="1"/>
  <c r="J75" i="1"/>
  <c r="J118" i="1"/>
  <c r="J130" i="1"/>
  <c r="J185" i="1"/>
  <c r="J178" i="1"/>
  <c r="J221" i="1"/>
  <c r="J172" i="1"/>
  <c r="J110" i="1"/>
  <c r="J11" i="1"/>
  <c r="J140" i="1"/>
  <c r="J180" i="1"/>
  <c r="J143" i="1"/>
  <c r="J134" i="1"/>
  <c r="J153" i="1"/>
  <c r="J193" i="1"/>
  <c r="J165" i="1"/>
  <c r="J98" i="1"/>
  <c r="J211" i="1"/>
  <c r="J196" i="1"/>
  <c r="J214" i="1"/>
  <c r="J87" i="1"/>
  <c r="J45" i="1"/>
</calcChain>
</file>

<file path=xl/sharedStrings.xml><?xml version="1.0" encoding="utf-8"?>
<sst xmlns="http://schemas.openxmlformats.org/spreadsheetml/2006/main" count="4259" uniqueCount="1798">
  <si>
    <t>№ п/п</t>
  </si>
  <si>
    <t>Хірургічний пакет з альфа-амілазою</t>
  </si>
  <si>
    <t>Хірургічний пакет з  електролітами</t>
  </si>
  <si>
    <t>Визначення ревмопроб</t>
  </si>
  <si>
    <t>Визначення ниркових проб</t>
  </si>
  <si>
    <t>Визначення  печінкових проб</t>
  </si>
  <si>
    <t>Визначення  тімолової проби</t>
  </si>
  <si>
    <t>Визначення  КК (креатинкінази)</t>
  </si>
  <si>
    <t>Визначення сечової кислоти</t>
  </si>
  <si>
    <t>Визначення магнію</t>
  </si>
  <si>
    <t>Рентгенографія ОГК аналогова</t>
  </si>
  <si>
    <t>Оглядова рентгенографія живота</t>
  </si>
  <si>
    <t>Оглядова урографія</t>
  </si>
  <si>
    <t>В/в урографія, антеградна урографія, мікційна уретрографія, ретроградна урографія                                                 з вагою тіла 60кг</t>
  </si>
  <si>
    <t>В/в урографія, антеградна урографія, мікційна уретрографія, ретроградна урографія                                                      з вагою тіла 80кг</t>
  </si>
  <si>
    <t>В/в урографія, антеградна урографія, мікційна уретрографія, ретроградна урографія                                             з вагою тіла 100кг</t>
  </si>
  <si>
    <t>В/в урографія, антеградна урографія, мікційна уретрографія, ретроградна урографія                                                  з вагою тіла 120кг і більше</t>
  </si>
  <si>
    <t>Рентгенографія кісток тазу</t>
  </si>
  <si>
    <t>Рентгенографія хребта 2 проекції</t>
  </si>
  <si>
    <t xml:space="preserve"> Рентгенографія кінцівок 2 проекції</t>
  </si>
  <si>
    <t>Рентгенографія черепа 2 проекції</t>
  </si>
  <si>
    <t xml:space="preserve"> Рентгенографія стопи і кисті</t>
  </si>
  <si>
    <t>Рентгенографія колінного суглоба 2 проекції</t>
  </si>
  <si>
    <t>Цистографія без контрасту, уретрографія, цисторафія з тугим наповненням</t>
  </si>
  <si>
    <t>Рентгенгографія дрібних  суглобів  1 проекція</t>
  </si>
  <si>
    <t>Рентгенографія скроневих кісток</t>
  </si>
  <si>
    <t>Рентгенографія ДПН</t>
  </si>
  <si>
    <t>КТ натив ОЧП</t>
  </si>
  <si>
    <t>Рентгеноскопія ОГК</t>
  </si>
  <si>
    <t xml:space="preserve">Рентгеноскопія шлунку </t>
  </si>
  <si>
    <t>Ретроградна холангіографія як супровід хірургічного втручання</t>
  </si>
  <si>
    <t>Фістулографія</t>
  </si>
  <si>
    <t>Іригоскопія</t>
  </si>
  <si>
    <t>УЗД органів черевної порожнини</t>
  </si>
  <si>
    <t>УЗД нирок</t>
  </si>
  <si>
    <t>УЗД сечового міхура</t>
  </si>
  <si>
    <t>Ехокардіоскопія</t>
  </si>
  <si>
    <t>Електрокардіографія</t>
  </si>
  <si>
    <t>Електрокардіографія (без розшифровки)</t>
  </si>
  <si>
    <t>Електорокардіо-графія по Слопаку і Небу</t>
  </si>
  <si>
    <t>УЗД щитовидної залози</t>
  </si>
  <si>
    <t>УЗД органів малого тазу</t>
  </si>
  <si>
    <t>УЗД органів калитки</t>
  </si>
  <si>
    <t>УЗД молочних  залоз</t>
  </si>
  <si>
    <t>УЗД ока</t>
  </si>
  <si>
    <t>УЗД лімфовузлів</t>
  </si>
  <si>
    <t>УЗД плевральних порожнин</t>
  </si>
  <si>
    <t>УЗД слинних залоз</t>
  </si>
  <si>
    <t>УЗД простати</t>
  </si>
  <si>
    <t>Дуплексне сканування артерій верхніх/нижніх кінцівок</t>
  </si>
  <si>
    <t>Дуплексне сканування вен верхніх/нижніх кінцівок (доопераційне підготування)</t>
  </si>
  <si>
    <t>Дуплексне сканування вен верхніх/нижніх кінцівок</t>
  </si>
  <si>
    <t>Доплерографія судин голови  та шиї</t>
  </si>
  <si>
    <t>Трансвагінальне / трансректальне  УЗД</t>
  </si>
  <si>
    <t>Біопсія вузлів щитовидної залози</t>
  </si>
  <si>
    <t>Пункція внутрішніх органів</t>
  </si>
  <si>
    <t xml:space="preserve">УВЧ терапія </t>
  </si>
  <si>
    <t>Інгаляції</t>
  </si>
  <si>
    <t>ОКУФ</t>
  </si>
  <si>
    <t>Дарсонвалізація</t>
  </si>
  <si>
    <t>Магнітотерапія (Алімп)</t>
  </si>
  <si>
    <t>Комбінована  електротерапія Soleo Sono</t>
  </si>
  <si>
    <t>Біоптрон (пайлер-світло)-10</t>
  </si>
  <si>
    <t>Біоптрон (пайлер-світло)- 15</t>
  </si>
  <si>
    <t>Електросон</t>
  </si>
  <si>
    <t>УФО загальне</t>
  </si>
  <si>
    <t>Солюкс -10</t>
  </si>
  <si>
    <t>Солюкс -20</t>
  </si>
  <si>
    <t>Магнітотерапія (Dimap)</t>
  </si>
  <si>
    <t xml:space="preserve">Ампліпульс </t>
  </si>
  <si>
    <t>Медикаментозний електрофорез без вартості ліків-20</t>
  </si>
  <si>
    <t>Медикаментозний електрофорез без вартості ліків-30</t>
  </si>
  <si>
    <t>Гальванізація</t>
  </si>
  <si>
    <t>Ультразвук -8</t>
  </si>
  <si>
    <t>Ультразвук -15</t>
  </si>
  <si>
    <t>Фонофорез -8</t>
  </si>
  <si>
    <t>Фонофорез - 15</t>
  </si>
  <si>
    <t xml:space="preserve">Озокеритопарафінолікування </t>
  </si>
  <si>
    <t>Масаж -20</t>
  </si>
  <si>
    <t>Масаж - 30</t>
  </si>
  <si>
    <t>ЛФК- 20</t>
  </si>
  <si>
    <t>ЛФК-30</t>
  </si>
  <si>
    <t>Кінезіотерапія- 20</t>
  </si>
  <si>
    <t>Кінезіотерапія- 40</t>
  </si>
  <si>
    <t>TRA – computer (витяжіння хребта)- 10</t>
  </si>
  <si>
    <t>TRA – computer (витяжіння хребта)- 15</t>
  </si>
  <si>
    <t>TRA – computer (витяжіння хребта)-20</t>
  </si>
  <si>
    <t>Ударно-хвильова терапія                 (1 поле)</t>
  </si>
  <si>
    <t>Ударно-хвильова терапія                 (2 поля)</t>
  </si>
  <si>
    <t xml:space="preserve">Консультація лікаря-фізіотерапевта із заведенням Ф-041-0, ф-044-0 </t>
  </si>
  <si>
    <t xml:space="preserve"> Фіксація ПІР</t>
  </si>
  <si>
    <t>Консультація  лікаря-невропатолога</t>
  </si>
  <si>
    <t>Консультація лікаря- терапевта</t>
  </si>
  <si>
    <t>Консультація лікаря-кардіолога</t>
  </si>
  <si>
    <t>Консультація  лікаря-уролога</t>
  </si>
  <si>
    <t>Консультація лікаря-отоларинголога</t>
  </si>
  <si>
    <t>Консультація  лікаря-хірурга</t>
  </si>
  <si>
    <t>Консультація  лікаря-офтальмолога</t>
  </si>
  <si>
    <t>Езофагогастро-дуоденоскопія       2 дози</t>
  </si>
  <si>
    <t xml:space="preserve">ЕГДС+ біосія </t>
  </si>
  <si>
    <t>ФКС+біопсія(фіброколоноскопія)</t>
  </si>
  <si>
    <t>Колоноскопія</t>
  </si>
  <si>
    <t>Бронхоскопія</t>
  </si>
  <si>
    <t>ЕРХПГ</t>
  </si>
  <si>
    <t>Гемоглобін</t>
  </si>
  <si>
    <t>Еритроцити</t>
  </si>
  <si>
    <t>Лейкоцити</t>
  </si>
  <si>
    <t>Глікогемоглобін на експрес аналізаторі</t>
  </si>
  <si>
    <t>Тромбоцити</t>
  </si>
  <si>
    <t>Ретикулоцити</t>
  </si>
  <si>
    <t>Глюкоза крові</t>
  </si>
  <si>
    <t>Визначення альбуміну</t>
  </si>
  <si>
    <t>Визначення імуноглобуліну Е</t>
  </si>
  <si>
    <t>Визначення фагоцитозу</t>
  </si>
  <si>
    <t>Дослідження агрегатограми</t>
  </si>
  <si>
    <t>Мазок гінекологічний</t>
  </si>
  <si>
    <t>Мазок уретральний</t>
  </si>
  <si>
    <t>Секрет простати</t>
  </si>
  <si>
    <t>Стернальна пункція</t>
  </si>
  <si>
    <t>Цитологія випітної рідини (плевральна, асцитична)</t>
  </si>
  <si>
    <t>Цитологія сечі на атипові клітини</t>
  </si>
  <si>
    <t>Визначення С-реактивного білка</t>
  </si>
  <si>
    <t>Визначення ревмофактору</t>
  </si>
  <si>
    <t>Визначення антистрептолізину «О»</t>
  </si>
  <si>
    <t>Визначення серомукоїду</t>
  </si>
  <si>
    <t>Час згортання/тривалість кровотечі</t>
  </si>
  <si>
    <t>Аналіз сечі за Нечипоренком</t>
  </si>
  <si>
    <t>Імунограма</t>
  </si>
  <si>
    <t>Загальний аналіз крові</t>
  </si>
  <si>
    <t>Хірургічний пакет операційний</t>
  </si>
  <si>
    <t>Назва послуги</t>
  </si>
  <si>
    <t>Собівартість</t>
  </si>
  <si>
    <t>Основна з/п</t>
  </si>
  <si>
    <t>Нарахування на з/п</t>
  </si>
  <si>
    <t>Вартість медикаментів</t>
  </si>
  <si>
    <t>Тривалість часу на послугу(хв)</t>
  </si>
  <si>
    <t>Загальний  аналіз крові на аналізаторі</t>
  </si>
  <si>
    <t>Загальний аналіз сечі</t>
  </si>
  <si>
    <t>Бронхоскопія з ускладненням</t>
  </si>
  <si>
    <t>Аналіз  сечі на ацетон</t>
  </si>
  <si>
    <t>Аналіз сечі на жовчеві пігменти</t>
  </si>
  <si>
    <t>Аналіз  сечі на амілазу</t>
  </si>
  <si>
    <t>Аналіз сечі на добову втрату білка</t>
  </si>
  <si>
    <t>Аналіз сечі на добову втрату глюкози</t>
  </si>
  <si>
    <t>Визначення групи крові</t>
  </si>
  <si>
    <t>Визначення  резусу крові</t>
  </si>
  <si>
    <t>Визначення  загального білка крові</t>
  </si>
  <si>
    <t>Визначення  білкових фракцій</t>
  </si>
  <si>
    <t>Визначення сечовини крові</t>
  </si>
  <si>
    <t>Визначення  креатиніну крові</t>
  </si>
  <si>
    <t>Визначення  сечовини сечі</t>
  </si>
  <si>
    <t>Визначення  креатиніну сечі</t>
  </si>
  <si>
    <t>Визначення загального білірубіну</t>
  </si>
  <si>
    <t>Визначення прямого білірубіну</t>
  </si>
  <si>
    <t>Визначення  амілази крові/сечі</t>
  </si>
  <si>
    <t>Визначення лужної фосфатази</t>
  </si>
  <si>
    <t xml:space="preserve">Визначення  фосфору </t>
  </si>
  <si>
    <t>Визначення  кальцію</t>
  </si>
  <si>
    <t>Визначення  заліза</t>
  </si>
  <si>
    <t xml:space="preserve">Визначення загального  холестерину </t>
  </si>
  <si>
    <t>Визначення тригліцеридів</t>
  </si>
  <si>
    <t>Визначення  газів крові</t>
  </si>
  <si>
    <t>Визначення  Д-димеру на аналізаторі</t>
  </si>
  <si>
    <t>Визначення тропоніну на аналізаторі</t>
  </si>
  <si>
    <t>Визначення протромбінового часу/індексу</t>
  </si>
  <si>
    <t>Визначення антитромбіну ІІІ</t>
  </si>
  <si>
    <t>Визначення протеїну С</t>
  </si>
  <si>
    <t>Визначення V-PC тесту</t>
  </si>
  <si>
    <t>Визначення Х-а фактора</t>
  </si>
  <si>
    <t>Визначення фібриногену</t>
  </si>
  <si>
    <t>Визначення гематокриту</t>
  </si>
  <si>
    <t>Визначення копрограми</t>
  </si>
  <si>
    <t>Визначення скритої крові в калі</t>
  </si>
  <si>
    <t>Визначення скритої крові в калі (робочі реактиви)</t>
  </si>
  <si>
    <t>Гепатит В (тест)</t>
  </si>
  <si>
    <t>Гепатит С (тест)</t>
  </si>
  <si>
    <t>Аналіз сечі за Земницьким</t>
  </si>
  <si>
    <t>КТ головного мозку  -С</t>
  </si>
  <si>
    <t>КТ головного мозку  +С</t>
  </si>
  <si>
    <t>КТ органів черевної порожнини з в/в контрасту  з вагою тіла 60кг</t>
  </si>
  <si>
    <t>КТ органів черевної порожнини з в/в контрасту  з вагою тіла 80кг</t>
  </si>
  <si>
    <t>КТ органів черевної порожнини з в/в контрасту  з вагою тіла 100кг</t>
  </si>
  <si>
    <t>КТ органів черевної порожнини з в/в контрасту  з вагою тіла 120кг і більше</t>
  </si>
  <si>
    <t>КТ-ангіографія з вагою тіла 60кг</t>
  </si>
  <si>
    <t>КТ-ангіографія з вагою тіла 80кг</t>
  </si>
  <si>
    <t>КТ-ангіографія з вагою тіла 100кг</t>
  </si>
  <si>
    <t>КТ-ангіографія з вагою тіла 120кг</t>
  </si>
  <si>
    <t>КТ органів грудної порожнини з в/в контрастуванням з вагою тіла 60кг</t>
  </si>
  <si>
    <t>КТ органів грудної порожнини з в/в контрастуванням з вагою тіла 80кг</t>
  </si>
  <si>
    <t>КТ органів грудної порожнини з в/в контрастуванням з вагою тіла 100кг</t>
  </si>
  <si>
    <t>КТ органів грудної порожнини з в/в контрастуванням з вагою тіла 120кг і більше</t>
  </si>
  <si>
    <t>КТ ОГК натив</t>
  </si>
  <si>
    <t>КТ нирок, сечоводів, сечового міхура із в/в контрасту з вагою тіла 60кг</t>
  </si>
  <si>
    <t>КТ нирок, сечоводів, сечового міхурара із в/в контрасту з вагою тіла 80кг</t>
  </si>
  <si>
    <t>КТ нирок, сечоводів, сечового міхура із в/в контрасту з вагою тіла 120кг</t>
  </si>
  <si>
    <t>КТ нирок (або ОЧП, ОМТ)  натив</t>
  </si>
  <si>
    <t>КТ тазу, кульшових суглобів  натив</t>
  </si>
  <si>
    <t>КТ стоп, кистей  натив</t>
  </si>
  <si>
    <t>КТ плечових суглобів  натив</t>
  </si>
  <si>
    <t>КТ трубчастих кісток  натив</t>
  </si>
  <si>
    <t>КТсерця (Са-індекс)</t>
  </si>
  <si>
    <t>КТ коронарографія   з в/в контрастуванням  з вагою тіла 60кг</t>
  </si>
  <si>
    <t>КТ коронарографія   з в/в контрастуванням  з вагою тіла 100кг</t>
  </si>
  <si>
    <t>КТ коронарографія   з в/в контрастуванням  з вагою тіла 120кг</t>
  </si>
  <si>
    <t>УЗД м'яких тканин</t>
  </si>
  <si>
    <t>КТнирок, сечоводів, сечового міхура із в/в контрасту з вагою тіла 100кг</t>
  </si>
  <si>
    <t>КТ поперекового відділу хребта натив</t>
  </si>
  <si>
    <t>КТ  шийного-відділу  натив</t>
  </si>
  <si>
    <t>КТ грудного відділу хребта  натив</t>
  </si>
  <si>
    <t>КТ коронарографія   з в/в контрастуванням  з вагою тіла 80кг</t>
  </si>
  <si>
    <t>КТ додаткових пазух носа, скроневих кісток  натив</t>
  </si>
  <si>
    <t>Швидкість осідання еритроцитів</t>
  </si>
  <si>
    <t>Визначення МНВ (Міжнародне нормалізоване відношення)</t>
  </si>
  <si>
    <t>Визначення АЧТЧ (Активований частковий тромбіновий час)</t>
  </si>
  <si>
    <t>Визначення Тромбінового часу</t>
  </si>
  <si>
    <t>Реакція мікропреципітації</t>
  </si>
  <si>
    <t>Визначення Розчинних фібринмономерних комплексів</t>
  </si>
  <si>
    <t>Визначення Субпопуляцій Т-лімфоцитів, Б-лімфоцитів, НК-кілерів</t>
  </si>
  <si>
    <t>Лейкоцитарна формула</t>
  </si>
  <si>
    <t>Визначення калію ,натрію, хлору</t>
  </si>
  <si>
    <t>Визначення аланінамінотрансферази</t>
  </si>
  <si>
    <t>Визначення аспартатамінотрансферази</t>
  </si>
  <si>
    <t>Визначення гама-глутамілтрансферази</t>
  </si>
  <si>
    <t>Визначення лактатдегідрогенази</t>
  </si>
  <si>
    <t>Визначення холестерину ліпопротеїдів високої щільності</t>
  </si>
  <si>
    <t xml:space="preserve">Вихначення холестерину ліпопротеїдів низької щільності </t>
  </si>
  <si>
    <t>Визначення бактеріоскопії-мокроти</t>
  </si>
  <si>
    <t>Визначення  яєць глистів</t>
  </si>
  <si>
    <t>Визначення Імуноглобулінів А, М, G</t>
  </si>
  <si>
    <t>Визначення wеркулюючих імунних комплексів</t>
  </si>
  <si>
    <t>Визначення yаявності вірусного або бакреріального ураження</t>
  </si>
  <si>
    <t>Хірургічний пакет операційний  з Алт/Аст</t>
  </si>
  <si>
    <t>Коагулограма  (протромбіновий   індекс, МНВ, фібриноген, гематокрит)</t>
  </si>
  <si>
    <t>Визначення ліпідограми (загальний холестерин ,тригліцериди ,ЛПВЩ, ЛПНЩ, коефіцієнт атерогенності)</t>
  </si>
  <si>
    <t>Тариф</t>
  </si>
  <si>
    <t xml:space="preserve">Калькуляція вартості медичних послуг </t>
  </si>
  <si>
    <t>КНП Центральна міська клінічна лікарня</t>
  </si>
  <si>
    <t xml:space="preserve">Директор КНП ЦМКЛ </t>
  </si>
  <si>
    <t>Тарас Масляк</t>
  </si>
  <si>
    <t>Амор- тизація</t>
  </si>
  <si>
    <t xml:space="preserve">Калькуляція  вартості  медичних  послуг </t>
  </si>
  <si>
    <t>Міська  клінічна  лікарня  №1  на  2020р.</t>
  </si>
  <si>
    <t>Тривалість часу на послугу, хв.</t>
  </si>
  <si>
    <t>Основна зарплата</t>
  </si>
  <si>
    <t>Вартість медикаментів та розхідних матеріалів</t>
  </si>
  <si>
    <t>Сума зносу медичного обладнання</t>
  </si>
  <si>
    <t>Собівартість послуги</t>
  </si>
  <si>
    <t>Вартість послуги, грн.</t>
  </si>
  <si>
    <t>1.</t>
  </si>
  <si>
    <t>Забір капілярної крові</t>
  </si>
  <si>
    <t>лаборант</t>
  </si>
  <si>
    <t>2.</t>
  </si>
  <si>
    <t xml:space="preserve">Загальний аналіз крові: </t>
  </si>
  <si>
    <t>Визначення концентрації гемоглобіну в крові</t>
  </si>
  <si>
    <t>Визначення еритроцитів в крові</t>
  </si>
  <si>
    <t>Визначення лейкоцитів в крові</t>
  </si>
  <si>
    <t>Визначення швидкості осідання еритроцитів в крові</t>
  </si>
  <si>
    <t>Лейкограма</t>
  </si>
  <si>
    <t>лікар</t>
  </si>
  <si>
    <t>Підрахунок тромбоцитів крові</t>
  </si>
  <si>
    <t>Підрахунок ретикулоцитів крові</t>
  </si>
  <si>
    <t>Проведення гемоглобін-контролю в розчині гемоглобіну</t>
  </si>
  <si>
    <t>3.</t>
  </si>
  <si>
    <t xml:space="preserve">Загальний аналіз сечі: </t>
  </si>
  <si>
    <t>Визначення фізичних властивостей сечі</t>
  </si>
  <si>
    <t>Визначення білку в сечі (якісно)</t>
  </si>
  <si>
    <t>Визначення білку в сечі (кількісно)</t>
  </si>
  <si>
    <t>Глюкоза сечі</t>
  </si>
  <si>
    <t>Кетонові тіла в сечі</t>
  </si>
  <si>
    <t>Жовчні пігменти в сечі</t>
  </si>
  <si>
    <t>Мікроскопія осаду сечі</t>
  </si>
  <si>
    <t>Кислотність сечі</t>
  </si>
  <si>
    <t>4.</t>
  </si>
  <si>
    <t>Копрологічні дослідження</t>
  </si>
  <si>
    <t>Копрограма</t>
  </si>
  <si>
    <t>Кал на приховану кров</t>
  </si>
  <si>
    <t>Кал на яйця глистів</t>
  </si>
  <si>
    <t>5.</t>
  </si>
  <si>
    <t>Дослідження ліквору (загальний аналіз)</t>
  </si>
  <si>
    <t>6.</t>
  </si>
  <si>
    <t>Дослідження рідин серозної порожнини</t>
  </si>
  <si>
    <t>7.</t>
  </si>
  <si>
    <t>Дослідження мазків на флору</t>
  </si>
  <si>
    <t>8.</t>
  </si>
  <si>
    <t>Цитодіагностика Hb pilori</t>
  </si>
  <si>
    <t>9.</t>
  </si>
  <si>
    <t>Дослідження крові на малярію</t>
  </si>
  <si>
    <t>10.</t>
  </si>
  <si>
    <t>Реакція мікропрецепітації в сироватці крові</t>
  </si>
  <si>
    <t>11.</t>
  </si>
  <si>
    <t>Група крові</t>
  </si>
  <si>
    <t>біолог</t>
  </si>
  <si>
    <t>Резус фактор крові</t>
  </si>
  <si>
    <t>12.</t>
  </si>
  <si>
    <t>Коагулограма</t>
  </si>
  <si>
    <t>Протромбіновий час, індекс</t>
  </si>
  <si>
    <t>Фібриноген</t>
  </si>
  <si>
    <t>Міжнародне нормалізоване відношення</t>
  </si>
  <si>
    <t>Гематокрит</t>
  </si>
  <si>
    <t>АЧТЧ тест</t>
  </si>
  <si>
    <t>13.</t>
  </si>
  <si>
    <t>Біохімічні дослідження (великий пакет) в т.ч.:</t>
  </si>
  <si>
    <t>Глюкоза крові (венозна кров)</t>
  </si>
  <si>
    <t>Білірубін (фракції)в сироватці крові</t>
  </si>
  <si>
    <t>Загальний білок в сироватці крові</t>
  </si>
  <si>
    <t>Тимолова проба в сироватці крові</t>
  </si>
  <si>
    <t>Сечовина (ручний) в сироватці крові</t>
  </si>
  <si>
    <t>Сечовина (аналізатор) в сироватці крові</t>
  </si>
  <si>
    <t>Креатинін (ручний) в сироватці крові</t>
  </si>
  <si>
    <t>Креатинін (аналізатор) в сироватці крові</t>
  </si>
  <si>
    <t>Альфа-амілаза (крові,сечі)в біологічних рідинах</t>
  </si>
  <si>
    <t>Аспартат-амінотрансфераза в сироватці крові (ручний)</t>
  </si>
  <si>
    <t>Аспартат-амінотрансфераза в сироватці крові (аналізатор)</t>
  </si>
  <si>
    <t>Аланін-амінотрансфераза в сироватці крові (ручний)</t>
  </si>
  <si>
    <t>Аланін-амінотрансфераза в сироватці крові (аналізатор)</t>
  </si>
  <si>
    <t>Електроліти (K,Na,Cl) в сироватці крові</t>
  </si>
  <si>
    <t>Кальцій в сироватці крові</t>
  </si>
  <si>
    <t>Залізо в сироватці крові</t>
  </si>
  <si>
    <t>С-реактивний білок в сироватці крові</t>
  </si>
  <si>
    <t>Ревматоїдний фактор в сироватці крові</t>
  </si>
  <si>
    <t>Біохімічні дослідження (малий пакет) в т.ч.:</t>
  </si>
  <si>
    <t>По окремих біохімічних дослідженнях:</t>
  </si>
  <si>
    <t>Глюкоза крові (капілярна кров)</t>
  </si>
  <si>
    <t>14.</t>
  </si>
  <si>
    <t>Швидкий тест для визначення антитіл до ВІЛ</t>
  </si>
  <si>
    <t>15.</t>
  </si>
  <si>
    <t>Контроль якості біохімічних досліджень в контрольній сироватці</t>
  </si>
  <si>
    <t>біолог (щоденно)</t>
  </si>
  <si>
    <t>лаборант (щоденно)</t>
  </si>
  <si>
    <t>16.</t>
  </si>
  <si>
    <t>Контроль якості коагулограми в контрольній плазмі</t>
  </si>
  <si>
    <t>17.</t>
  </si>
  <si>
    <t>Глікований гемоглобін в сироватці крові</t>
  </si>
  <si>
    <t>18.</t>
  </si>
  <si>
    <t>19.</t>
  </si>
  <si>
    <t>Функціональна діагностика</t>
  </si>
  <si>
    <t>ЕКГ (з описом)</t>
  </si>
  <si>
    <t>медсестра</t>
  </si>
  <si>
    <t>ЕКГ з навантажувальними пробами (з описом)</t>
  </si>
  <si>
    <r>
      <rPr>
        <b/>
        <sz val="14"/>
        <rFont val="Times New Roman"/>
        <family val="1"/>
        <charset val="204"/>
      </rPr>
      <t xml:space="preserve">Вимірювання артеріального тиску
</t>
    </r>
    <r>
      <rPr>
        <b/>
        <sz val="12"/>
        <rFont val="Arial Cyr"/>
        <family val="1"/>
        <charset val="1"/>
      </rPr>
      <t/>
    </r>
  </si>
  <si>
    <t>Спірометрія (з описом)</t>
  </si>
  <si>
    <t>Спіропроба+спірометрія</t>
  </si>
  <si>
    <t xml:space="preserve">РЕГ </t>
  </si>
  <si>
    <t>РВГ ( нижніх кінцівок, верхніх кінцівок)</t>
  </si>
  <si>
    <t>РВГ + проби</t>
  </si>
  <si>
    <t>Ендоскопічна діагностика</t>
  </si>
  <si>
    <t>Гастроскопія діагностична</t>
  </si>
  <si>
    <t>Колоноскопія діагностична</t>
  </si>
  <si>
    <t>Взяття біопсій</t>
  </si>
  <si>
    <t>Визначення Н.pylori</t>
  </si>
  <si>
    <t>РН-метрія</t>
  </si>
  <si>
    <t>Хромоскопія</t>
  </si>
  <si>
    <t>Введення лікарських препаратів</t>
  </si>
  <si>
    <t>Зупинка кровотечі</t>
  </si>
  <si>
    <t>Поліпектомія</t>
  </si>
  <si>
    <t>Видалення сторонніх тіл</t>
  </si>
  <si>
    <t>Відеозаписування</t>
  </si>
  <si>
    <t>Супровід анестслужби</t>
  </si>
  <si>
    <t>Рентген-діагностика</t>
  </si>
  <si>
    <t>Рентгенографія черепа 1 проекція</t>
  </si>
  <si>
    <t>Лаборант</t>
  </si>
  <si>
    <t>Рентгенографія кісток носа</t>
  </si>
  <si>
    <t>Рентгенографія шийного відділу хребта 1 проекція</t>
  </si>
  <si>
    <t>Рентгенографія шийного відділу хребта 2 проекції</t>
  </si>
  <si>
    <t>Рентгенографія суглобів 1 проекція</t>
  </si>
  <si>
    <t>Рентгенографія суглобів 2 проекції</t>
  </si>
  <si>
    <t>Рентгенографія сегмента кінцівки (плеча, передпліччя, стегна, гомілки) 1 проекція</t>
  </si>
  <si>
    <t>Рентгенографія сегмента кінцівки (плеча, передпліччя, стегна, гомілки) 2 проекція</t>
  </si>
  <si>
    <t>Рентгенографія поперекового чи грудного віддлу хребта 1 проекція</t>
  </si>
  <si>
    <t>Рентгенографія поперекового чи грудного віддлу хребта 2 проекції</t>
  </si>
  <si>
    <t>Рентгенографія кісток тазу 1 проекція</t>
  </si>
  <si>
    <t>Рентгенографія ОГК 1 проекція</t>
  </si>
  <si>
    <t>Рентгенографія ОГК 2 проекції</t>
  </si>
  <si>
    <t>Рентгенографія ОЧП 1 проекція</t>
  </si>
  <si>
    <t>Екскреторна урографія</t>
  </si>
  <si>
    <t>Лікар-хірург</t>
  </si>
  <si>
    <t>Рентгенографія дистальних відділів кінцівок ( кисть, стопа) 1 проекція</t>
  </si>
  <si>
    <t>Рентгенографія дистальних відділів кінцівок ( кисть, стопа) 2 проекції</t>
  </si>
  <si>
    <t>20.</t>
  </si>
  <si>
    <t>Рентгенографія фаланг ( кисть, стопа) 1 проекція</t>
  </si>
  <si>
    <t>21.</t>
  </si>
  <si>
    <t>Рентгенографія фаланг ( кисть, стопа) 2 проекції</t>
  </si>
  <si>
    <t>22.</t>
  </si>
  <si>
    <t>23.</t>
  </si>
  <si>
    <t>Рентгеноскопія шлунка</t>
  </si>
  <si>
    <t>молодша медична сестра</t>
  </si>
  <si>
    <t>24.</t>
  </si>
  <si>
    <t>25.</t>
  </si>
  <si>
    <t>Ретроградна холангіографія</t>
  </si>
  <si>
    <t>Лікар-ендоскопіст</t>
  </si>
  <si>
    <t>26.</t>
  </si>
  <si>
    <t>27.</t>
  </si>
  <si>
    <t>Рентгенографія куприка 1 проекція</t>
  </si>
  <si>
    <t>28.</t>
  </si>
  <si>
    <t>Рентгенографія куприка 2 проекції</t>
  </si>
  <si>
    <t>Ультразвукова діагностика</t>
  </si>
  <si>
    <t>Трансабдомінальні ультразвукові дослідження органів гепатобіліарної системи </t>
  </si>
  <si>
    <t>1.1</t>
  </si>
  <si>
    <t>Комплексно: печінка + жовчний міхур + жовчні протоки + підшлункова залоза + селезінка </t>
  </si>
  <si>
    <t>1.2</t>
  </si>
  <si>
    <t>По окремих органах: </t>
  </si>
  <si>
    <t>- печінка + жовчний міхур + жовчні протоки </t>
  </si>
  <si>
    <t>- печінка </t>
  </si>
  <si>
    <t>- жовчний міхур + жовчні протоки </t>
  </si>
  <si>
    <t>- підшлункова залоза </t>
  </si>
  <si>
    <t>- селезінка + судини портальної системи </t>
  </si>
  <si>
    <t>Трансабдомінальні дослідження сечостатевої системи </t>
  </si>
  <si>
    <t>2.1</t>
  </si>
  <si>
    <t>Для чоловіків: </t>
  </si>
  <si>
    <t>2.1.1</t>
  </si>
  <si>
    <t>Комплексно: нирки + надниркові залози + сечовий міхур з визначенням залишкової сечі + передміхурова залоза </t>
  </si>
  <si>
    <t>2.1.2</t>
  </si>
  <si>
    <t>- нирки + надниркові залози </t>
  </si>
  <si>
    <t>- сечовий міхур з визначенням залишкової сечі </t>
  </si>
  <si>
    <t>- передміхурова залоза </t>
  </si>
  <si>
    <t>- яєчки </t>
  </si>
  <si>
    <t>2.2</t>
  </si>
  <si>
    <t>Для жінок: </t>
  </si>
  <si>
    <t>2.2.1</t>
  </si>
  <si>
    <t>Комплексно: </t>
  </si>
  <si>
    <t>- нирки + надниркові залози + сечовий міхур з визначенням залишкової сечі + матка + яєчники </t>
  </si>
  <si>
    <t>2.2.2</t>
  </si>
  <si>
    <t>- матка + яєчники </t>
  </si>
  <si>
    <t>Ультразвукові дослідження з використанням внутрішньопорожнинних датчиків </t>
  </si>
  <si>
    <t>3.1</t>
  </si>
  <si>
    <t>Інтраректальні дослідження передміхурової залози </t>
  </si>
  <si>
    <t>3.2</t>
  </si>
  <si>
    <t>Інтраректальні дослідження стінок прямої кишки </t>
  </si>
  <si>
    <t>3.3</t>
  </si>
  <si>
    <t>Інтраректальні дослідження жіночих статевих органів </t>
  </si>
  <si>
    <t>3.4</t>
  </si>
  <si>
    <t>Інтравагінальні дослідження жіночих статевих органів </t>
  </si>
  <si>
    <t>Ультразвукові дослідження поверхневих структур, м'яких тканин, кісток та суглобів </t>
  </si>
  <si>
    <t>4.1</t>
  </si>
  <si>
    <t>Щитовидна залоза </t>
  </si>
  <si>
    <t>4.2</t>
  </si>
  <si>
    <t>Молочні залози (з двох сторін) </t>
  </si>
  <si>
    <t>4.3</t>
  </si>
  <si>
    <t>Слинні залози </t>
  </si>
  <si>
    <t>4.4</t>
  </si>
  <si>
    <t>Лімфатичні вузли </t>
  </si>
  <si>
    <t>4.5</t>
  </si>
  <si>
    <t>М'які тканини </t>
  </si>
  <si>
    <t>4.6</t>
  </si>
  <si>
    <t>Кістки та суглоби (в залежності від складності) </t>
  </si>
  <si>
    <t>Ультразвукові дослідження судин </t>
  </si>
  <si>
    <t>5.1</t>
  </si>
  <si>
    <t>Периферичні судини </t>
  </si>
  <si>
    <t>5.2</t>
  </si>
  <si>
    <t>Допплерометрія судин із спектральним аналізом у постійному режимі </t>
  </si>
  <si>
    <t>5.3</t>
  </si>
  <si>
    <t>Дослідження судин з кольоровим допплерівським картуванням </t>
  </si>
  <si>
    <t>Ультразвукові дослідження органів грудної клітини </t>
  </si>
  <si>
    <t>6.1</t>
  </si>
  <si>
    <t>Плевральна порожнина </t>
  </si>
  <si>
    <t>6.2</t>
  </si>
  <si>
    <t>Ехокардіографія </t>
  </si>
  <si>
    <t>6.3</t>
  </si>
  <si>
    <t>Ехокардіографія з кольоровим картуванням </t>
  </si>
  <si>
    <t>6.4</t>
  </si>
  <si>
    <t>Ехокардіографія з допплерівським аналізом </t>
  </si>
  <si>
    <t>Черезшкірна діагностична пункція поверхневих структур та м'яких тканин </t>
  </si>
  <si>
    <t>7.1</t>
  </si>
  <si>
    <t>Черезшкірна діагностична пункція внутрішніх органів </t>
  </si>
  <si>
    <t>7.2</t>
  </si>
  <si>
    <t>Лікувально-діагностичні пункції поверхневих структур та м'яких тканин </t>
  </si>
  <si>
    <t>7.3</t>
  </si>
  <si>
    <t>Лікувально-діагностичні пункції органів, черевної або плевральної порожнин, зачеревного простору, порожнини малого таза </t>
  </si>
  <si>
    <t>Фізіотерапевтична діагностика</t>
  </si>
  <si>
    <t>Розробка верхніх і нижніх кінцівок</t>
  </si>
  <si>
    <t>інструктор ЛФК</t>
  </si>
  <si>
    <t>Лікувальна фізкультура</t>
  </si>
  <si>
    <t>Заняття на дошці Євмінова</t>
  </si>
  <si>
    <t>Загальний масаж</t>
  </si>
  <si>
    <t>Масаж спини</t>
  </si>
  <si>
    <t>Масаж рук, ніг</t>
  </si>
  <si>
    <t>Масаж обличчя</t>
  </si>
  <si>
    <t>Масаж шийно-комірцевої ділянки</t>
  </si>
  <si>
    <t>Масаж кисті рук, стопи</t>
  </si>
  <si>
    <t>Лімфодренажний масаж</t>
  </si>
  <si>
    <t>Масаж голови</t>
  </si>
  <si>
    <t>Електрофорез</t>
  </si>
  <si>
    <t>Небулайзерна терапія</t>
  </si>
  <si>
    <t>Лікування поляризованим світлом - лампа Біоптрон</t>
  </si>
  <si>
    <t>Лазеротерапія</t>
  </si>
  <si>
    <t>Магнітотерапія</t>
  </si>
  <si>
    <t>Діодинамотерапія</t>
  </si>
  <si>
    <t>Ампліпульстерапія</t>
  </si>
  <si>
    <t>Ультразвукова терапія</t>
  </si>
  <si>
    <t>Тубус-Уфо</t>
  </si>
  <si>
    <t>УВЧ терапія</t>
  </si>
  <si>
    <t>Парафіново-Озокеритові апліка</t>
  </si>
  <si>
    <t>Консультації та огляд лікарів-консультантів</t>
  </si>
  <si>
    <t>Огляд лікаря - терапевта</t>
  </si>
  <si>
    <t>Консілярний огляд</t>
  </si>
  <si>
    <t>Консультація та огляд лікаря - невропатолога</t>
  </si>
  <si>
    <t>Профілактичний огляд лікарем хірургом</t>
  </si>
  <si>
    <t>Огляд прямої кишки</t>
  </si>
  <si>
    <t xml:space="preserve">Консультація та огляд лікаря травматолога (рекомендації + довідка консультативна) </t>
  </si>
  <si>
    <t>Профілактичний огляд лікаря уролога ( огляд статевих органів, огляд простати, мазок урогенітальний при потребі)</t>
  </si>
  <si>
    <t>Масаж простати</t>
  </si>
  <si>
    <t>Консультація та огляд лікаря онколога-хірурга (рекомендації + довідка консультативна)</t>
  </si>
  <si>
    <t>Профілактичний огляд гінекологом (збір анамнезу, огляд на кріслі, дзеркало, мазок CVU, цитологія, огляд молочних залоз, аксілярних лімфовузлів, PR)</t>
  </si>
  <si>
    <t>8.1</t>
  </si>
  <si>
    <t>Огляд молочних залоз і лімфовузлів ( при потребі мазок — відбиток з молочних залоз)</t>
  </si>
  <si>
    <t>Консультація та рекомендації лікаря ендокринолога ( при потребі консультативна довідка )</t>
  </si>
  <si>
    <t>9.1</t>
  </si>
  <si>
    <t>Огляд і пальпація щитовидної залози та надключичних лімфовузлів</t>
  </si>
  <si>
    <t>Первинний огляд лікаря - кардіолога, консультація та рекомендації + консультативна довідка</t>
  </si>
  <si>
    <t>Консультація лікаря рентгенолога</t>
  </si>
  <si>
    <t>Консультація лікаря фізіотерапевта</t>
  </si>
  <si>
    <t>Окремі послуги</t>
  </si>
  <si>
    <t>Проходження інтернатури</t>
  </si>
  <si>
    <t>Голова комісії з припинення МКЛ№1</t>
  </si>
  <si>
    <t>Василик Т.П.</t>
  </si>
  <si>
    <t>Головний бухгалтер</t>
  </si>
  <si>
    <t>Мельник О.Я.</t>
  </si>
  <si>
    <t>Економіст</t>
  </si>
  <si>
    <t>Андріїшин Г.С.</t>
  </si>
  <si>
    <t>Директор</t>
  </si>
  <si>
    <t>О.Я.Бойчук</t>
  </si>
  <si>
    <t>"____"  ____________________20____ р.</t>
  </si>
  <si>
    <t>Перелік платних медичних послуг</t>
  </si>
  <si>
    <t>2020 рік</t>
  </si>
  <si>
    <t>КНП Міська дитяча клінічна лікарня</t>
  </si>
  <si>
    <t>Тривалість часу на послугу</t>
  </si>
  <si>
    <t>Нарахування на зарплату</t>
  </si>
  <si>
    <t>Вартість розхідних матеріалів</t>
  </si>
  <si>
    <t>Коефіцієнт накладних витрат</t>
  </si>
  <si>
    <t>Рентабельність</t>
  </si>
  <si>
    <t>Вартість</t>
  </si>
  <si>
    <t>ТАРИФ</t>
  </si>
  <si>
    <t>Лабораторія</t>
  </si>
  <si>
    <t>Аналіз крові з формулою</t>
  </si>
  <si>
    <t>35хв</t>
  </si>
  <si>
    <t>18 хв</t>
  </si>
  <si>
    <t>Аналіз крові на цукор</t>
  </si>
  <si>
    <t>7 хв.</t>
  </si>
  <si>
    <t>Загальний аналіз крові (скорочений)</t>
  </si>
  <si>
    <t>12 хв</t>
  </si>
  <si>
    <t>20хв</t>
  </si>
  <si>
    <t>22 хв</t>
  </si>
  <si>
    <t>Аналіз калу на я/г</t>
  </si>
  <si>
    <t>Аналіз крові на білірубін</t>
  </si>
  <si>
    <t>10 хв</t>
  </si>
  <si>
    <t>АЛТ</t>
  </si>
  <si>
    <t>15 хв</t>
  </si>
  <si>
    <t>Аналіз крові на вміст креатиніну</t>
  </si>
  <si>
    <t>Аналіз крові навизначення білкових фракцій</t>
  </si>
  <si>
    <t>20 хв</t>
  </si>
  <si>
    <t xml:space="preserve">Натрій </t>
  </si>
  <si>
    <t>Залізо</t>
  </si>
  <si>
    <t>16 хв</t>
  </si>
  <si>
    <t>Послуги кабінету УЗД</t>
  </si>
  <si>
    <t>30 хв</t>
  </si>
  <si>
    <t>УЗД серця</t>
  </si>
  <si>
    <t>Нейросонографія</t>
  </si>
  <si>
    <t>УЗД молочної залози</t>
  </si>
  <si>
    <t>УЗД малого тазу</t>
  </si>
  <si>
    <t>УЗД суглобів</t>
  </si>
  <si>
    <t>Послуги кабінету ЕКГ</t>
  </si>
  <si>
    <t>ЕКГ з навантаженням</t>
  </si>
  <si>
    <t>20 хв.</t>
  </si>
  <si>
    <t>Спірографія з фарм.тест і фіз. навантаженням</t>
  </si>
  <si>
    <t>Рео-обстеження з фарм.тест</t>
  </si>
  <si>
    <t>Кардіоінтервалографія</t>
  </si>
  <si>
    <t>Ехо-ЕГ</t>
  </si>
  <si>
    <t xml:space="preserve">ЕКГ </t>
  </si>
  <si>
    <t xml:space="preserve">Спірографія </t>
  </si>
  <si>
    <t>Рео-обстеження</t>
  </si>
  <si>
    <t>Рентгенологічні послуги</t>
  </si>
  <si>
    <t xml:space="preserve">Рентгенографія ОГК (оглядова) в одній проекції </t>
  </si>
  <si>
    <t>35 хв</t>
  </si>
  <si>
    <t xml:space="preserve">Урографія внутрішньовенна </t>
  </si>
  <si>
    <t>60 хв</t>
  </si>
  <si>
    <t xml:space="preserve">Рентгенографія черевної порожнини (оглядова) </t>
  </si>
  <si>
    <t xml:space="preserve">Рентгенографія ребер із аутокомпресією під час дихання </t>
  </si>
  <si>
    <t>Басейн</t>
  </si>
  <si>
    <t>Плавання в басейні</t>
  </si>
  <si>
    <t>30хв</t>
  </si>
  <si>
    <t>Кабінет МАСАЖУ</t>
  </si>
  <si>
    <t>Масаж грудної клітки</t>
  </si>
  <si>
    <t>25хв</t>
  </si>
  <si>
    <t>Масаж комірцевої зони</t>
  </si>
  <si>
    <t>15хв</t>
  </si>
  <si>
    <t>Масаж живіт</t>
  </si>
  <si>
    <t>Консультації спеціалістів</t>
  </si>
  <si>
    <t>Консультація  гастроентеролога</t>
  </si>
  <si>
    <t>Консультація  кардіолога</t>
  </si>
  <si>
    <t>Консультація імунолога</t>
  </si>
  <si>
    <t>23 хв</t>
  </si>
  <si>
    <t>Консультація  невролога</t>
  </si>
  <si>
    <t>Консультація  ендокринолога</t>
  </si>
  <si>
    <t>Консультація  логопеда</t>
  </si>
  <si>
    <t>Консультація  психолога</t>
  </si>
  <si>
    <t>Консультація  офтальмолога</t>
  </si>
  <si>
    <t>Консультація  отоларинголога</t>
  </si>
  <si>
    <t>Консультація  педіатра</t>
  </si>
  <si>
    <t>Консультація  нефролога</t>
  </si>
  <si>
    <t>Консультація  ортопеда</t>
  </si>
  <si>
    <t>Директор                                                  О.Я.Бойчук</t>
  </si>
  <si>
    <t>Головний бухгалтер                                     Н.Г. Белей</t>
  </si>
  <si>
    <t>№</t>
  </si>
  <si>
    <t>Тривалість часу на  посллугу (хв.)</t>
  </si>
  <si>
    <t>Заробітна плата</t>
  </si>
  <si>
    <t>Нарахування на заробітну плату.</t>
  </si>
  <si>
    <t>Медикаменти</t>
  </si>
  <si>
    <t>Амортизація</t>
  </si>
  <si>
    <t>Первинний огляд, повторний огляд</t>
  </si>
  <si>
    <t>Огляд поржнини рота</t>
  </si>
  <si>
    <t>Зняття м'якого нальоту з усіх  зубів</t>
  </si>
  <si>
    <t>Зняття з зубного каменю, нальоту інструментальним способом з усіх зубів</t>
  </si>
  <si>
    <t>Зняття з зубного каменю, нальоту за допомогою УЗапарату з усіх зубів</t>
  </si>
  <si>
    <t>Лікування 1 зуба при глибокому  карієсі (без накладання пломби)</t>
  </si>
  <si>
    <t>Препарування каріозної порожнини, розкриття рогу пульпової камери</t>
  </si>
  <si>
    <t xml:space="preserve">Накладання девіталізуючої пасти та пов'язки </t>
  </si>
  <si>
    <t xml:space="preserve">Екстирпація пульпи з 1 каналу </t>
  </si>
  <si>
    <t>Пломбування одного каналу  пастою , що полімеризується (цемент)</t>
  </si>
  <si>
    <t>Пломбування одного каналу пастою "Ендокорт" , що полімеризується та гутаперчевими  штифтами</t>
  </si>
  <si>
    <t>Пломбування одного каналу пастою "Ендофіл" , що полімеризується та гутаперчевими  штифтами</t>
  </si>
  <si>
    <t xml:space="preserve">Пломбування одного каналу пастою "АН+", що полімеризується та гутаперчевим штифтом  </t>
  </si>
  <si>
    <t xml:space="preserve">Пломбування одного каналу пастою "Adseal", що полімеризується та гутаперчевим штифтом  </t>
  </si>
  <si>
    <t xml:space="preserve"> Інструментальна та медикаментозна обробка одного каналу </t>
  </si>
  <si>
    <t>Механічне та хімічне розширення облітерованого каналу(ендомотор)</t>
  </si>
  <si>
    <t>Розпломбування каналу , запломбованого пастою, що полімеризується , або цементом</t>
  </si>
  <si>
    <t xml:space="preserve">Накладання лікувальної пов'язки при лікуванні карієсу та його ускладненні </t>
  </si>
  <si>
    <t>Видалення постійної пломби</t>
  </si>
  <si>
    <t>Накладання тимчасової пломби</t>
  </si>
  <si>
    <t>Видалення тимчасової пломби</t>
  </si>
  <si>
    <t>Накладання пломби при лікуванні карієсу та його ускладненні з цементу(фуджі)</t>
  </si>
  <si>
    <t>Накладання пломби при лікуванні карієсу та його ускладненні з цементу(RIVA)</t>
  </si>
  <si>
    <t>Накладання пломби при лікуванні карієсу та його ускладнень з світлополімеру(харізма)</t>
  </si>
  <si>
    <t>Накладання пломби при лікуванні карієсу та його ускладнень з світлополімеру(філтек)</t>
  </si>
  <si>
    <t>Накладання пломби при лікуванні карієсу та його ускладнень з світлополімеру(те-економ)</t>
  </si>
  <si>
    <t>Відновлення зруйнованої коронки однокориневого зуба за допомогою скловолоконного штифта та світлополімерного матеріалу      (т-економ)</t>
  </si>
  <si>
    <t>Відновлення зруйнованої коронки однокориневого зуба за допомогою скловолоконного штифта та світлополімерного матеріалу              (харізма)</t>
  </si>
  <si>
    <t>Відновлення зруйнованої коронки однокориневого зуба за допомогою скловолоконного штифта та світлополімерного матеріалу                   (філтек)</t>
  </si>
  <si>
    <t xml:space="preserve">відбілювання зубів (ендовідбілювання, 1сеанс) </t>
  </si>
  <si>
    <t>Кабінетне відбілювання 1 щелепи "Opalescente-Boots"</t>
  </si>
  <si>
    <t>Кабінетне відбілювання 1 щелепи "Magis Smile"</t>
  </si>
  <si>
    <t>Відновлення зруйнованої коронки багатокориневого зуба за допомогою скловолоконних штифтыв та світлополімерного матеріалу       (т-економ)</t>
  </si>
  <si>
    <t>Відновлення зруйнованої коронки багатокориневого зуба за допомогою скловолоконних штифтыв та світлополімерного матеріалу    (харізма)</t>
  </si>
  <si>
    <t>Відновлення зруйнованої коронки багатокориневого зуба за допомогою скловолоконних штифтыв та світлополімерного матеріалу      (філтек)</t>
  </si>
  <si>
    <t>Лікування захворювання пародонту</t>
  </si>
  <si>
    <t>Закриття фісур 1 зуба герметиком</t>
  </si>
  <si>
    <t>Флюоризація зубів ( поктиття зубів фтористим лаком)</t>
  </si>
  <si>
    <t>В.о.директора                                                             Т.Б.Стефанків</t>
  </si>
  <si>
    <t>Головний бухгалтер                                                    О.М. Гринів</t>
  </si>
  <si>
    <t>Первинний/повторний огляд</t>
  </si>
  <si>
    <t>Видалення зуба просте (в т.ч.огляд і знеболення)</t>
  </si>
  <si>
    <t>Видалення зуба складне (в т.ч.огляд і знеболення)</t>
  </si>
  <si>
    <t>Накладання шва на лунку</t>
  </si>
  <si>
    <t>Перікоронарит: видалення причинного зуба,    промивання капішона, розтин капішона, резекція капішона, гінгівектомія</t>
  </si>
  <si>
    <t>Періостит: виданення "причинного зуба", розтин та вишкрібання гнійного осередку з наступним дренуванням</t>
  </si>
  <si>
    <t>Резекція верхівки кореня</t>
  </si>
  <si>
    <t xml:space="preserve">Видалення доброякісних новоутворень </t>
  </si>
  <si>
    <t>Альвеолектомія (екзостоз)</t>
  </si>
  <si>
    <t>Припинення кровотечі після видалення зуба</t>
  </si>
  <si>
    <t>Зняття швів</t>
  </si>
  <si>
    <t>Вестибулопластика</t>
  </si>
  <si>
    <t>Цистектомія з резекцією верхівки кореня</t>
  </si>
  <si>
    <t xml:space="preserve">Послуги по хірургічній  стоматології                                                  </t>
  </si>
  <si>
    <t xml:space="preserve">Калькуляція    КНП МСП ІФМР                                                                                                                                                                       </t>
  </si>
  <si>
    <t xml:space="preserve">Послуги по терапевтичній стоматології      </t>
  </si>
  <si>
    <t>Тривалість часу на послугу (хвилин)</t>
  </si>
  <si>
    <t>Вартість стомат.матеріалів та медикаментів</t>
  </si>
  <si>
    <t>Непрямі витрати</t>
  </si>
  <si>
    <t xml:space="preserve">Ортодонтична допомога-лікування </t>
  </si>
  <si>
    <t>2.1.</t>
  </si>
  <si>
    <t>Первинний огляд пацієнта</t>
  </si>
  <si>
    <t>2.2.</t>
  </si>
  <si>
    <t>Порада,  якщо пацієнт звернувся тільки за порадою</t>
  </si>
  <si>
    <t>2.3.</t>
  </si>
  <si>
    <t xml:space="preserve">Консультація  пацієнта  іншим лікарем, заввідділенням, директором </t>
  </si>
  <si>
    <t>2.4.</t>
  </si>
  <si>
    <t>Складання акту призовника та приписника</t>
  </si>
  <si>
    <t>2.5.</t>
  </si>
  <si>
    <t>Повторний огляд амбулаторного пацієнта</t>
  </si>
  <si>
    <t>2.6.</t>
  </si>
  <si>
    <t>Складання плану ортодонтичного лікування</t>
  </si>
  <si>
    <t>2.7.</t>
  </si>
  <si>
    <t>Аналіз панорамної рентгенограми</t>
  </si>
  <si>
    <t>2.8.</t>
  </si>
  <si>
    <t>Аналіз рентгенограми прицільної</t>
  </si>
  <si>
    <t>2.9.</t>
  </si>
  <si>
    <t>Психологічна підготовка пацієнта до ортодонтичного лікування</t>
  </si>
  <si>
    <t>2.10.</t>
  </si>
  <si>
    <t>Зняття відбитка з одної щелепи альгінатною масою</t>
  </si>
  <si>
    <t>2.11.</t>
  </si>
  <si>
    <t>Відливка моделей з гіпсу з однієї щелепи</t>
  </si>
  <si>
    <t>2.12.</t>
  </si>
  <si>
    <t>Відливка моделей з супергіпсу з однієї щелепи</t>
  </si>
  <si>
    <t>2.13.</t>
  </si>
  <si>
    <t>Виготовлення діагностичних моделей з гіпсу</t>
  </si>
  <si>
    <t>2.14.</t>
  </si>
  <si>
    <t>Виготовлення діагностичних моделей з супергіпсу</t>
  </si>
  <si>
    <t>2.15.</t>
  </si>
  <si>
    <t>Розрахунок на моделях щелеп</t>
  </si>
  <si>
    <t>2.16.</t>
  </si>
  <si>
    <t>Виготовлення ретенційного апарата</t>
  </si>
  <si>
    <t>2.17.</t>
  </si>
  <si>
    <t>Виготовлення ортодонтичного апарата з одним гвинтом</t>
  </si>
  <si>
    <t>2.18.</t>
  </si>
  <si>
    <t>Виготовлення ортодонтичного апарата з двома гвинтами</t>
  </si>
  <si>
    <t>2.19.</t>
  </si>
  <si>
    <t>Виготовлення ортодонтичного апарата з тримірним гвинтом</t>
  </si>
  <si>
    <t>2.20.</t>
  </si>
  <si>
    <t>Виготовлення ортодонтичного апарату з "У"-подібним гвинтом</t>
  </si>
  <si>
    <t>2.21.</t>
  </si>
  <si>
    <t>Припасування та здача ортодонтичного апарата</t>
  </si>
  <si>
    <t>2.22.</t>
  </si>
  <si>
    <t>Припасування та здача апарата з різними елементами</t>
  </si>
  <si>
    <t>2.23.</t>
  </si>
  <si>
    <t>Припасування та здача ретенційного апарата</t>
  </si>
  <si>
    <t>2.24.</t>
  </si>
  <si>
    <t>Припасування та здача ортодонтичного апарата Брюкля</t>
  </si>
  <si>
    <t>2.25.</t>
  </si>
  <si>
    <t>Активація ортодонтичного апарата</t>
  </si>
  <si>
    <t>2.26.</t>
  </si>
  <si>
    <t xml:space="preserve">Лагодження апарата </t>
  </si>
  <si>
    <t>2.27.</t>
  </si>
  <si>
    <t>Корекція апарата</t>
  </si>
  <si>
    <t>2.28.</t>
  </si>
  <si>
    <t>Навчання пацієнта правилам гігієни ротової порожнини та догляду за ортодонтичним апаратом</t>
  </si>
  <si>
    <t>2.29.</t>
  </si>
  <si>
    <t>Фіксація металічної брекет системи на одну щелепу адгезивною масою хімічного затвердіння</t>
  </si>
  <si>
    <t>2.30.</t>
  </si>
  <si>
    <t xml:space="preserve">Фіксація металічної брекет системи на одну щелепу адгезивною масою світлового затвердіння </t>
  </si>
  <si>
    <t>2.31.</t>
  </si>
  <si>
    <t>Фіксація щічних трубок на одну щелепу адгезивною масою хімічного затвердіння</t>
  </si>
  <si>
    <t>2.32.</t>
  </si>
  <si>
    <t>Фіксація щічних трубок на одну щелепу адгезивною масою світлового затвердіння</t>
  </si>
  <si>
    <t>2.33.</t>
  </si>
  <si>
    <t>Заміна еластичних лігатур  однієї щелепи</t>
  </si>
  <si>
    <t>2.34.</t>
  </si>
  <si>
    <t>Заміна дуги (кругла) на одну щелепу</t>
  </si>
  <si>
    <t>2.35.</t>
  </si>
  <si>
    <t>Заміна дуги (прямокутна) на одну щелепу</t>
  </si>
  <si>
    <t>2.36.</t>
  </si>
  <si>
    <t>Заміна дуги (реверсійна) на одну щелепу</t>
  </si>
  <si>
    <t>2.37.</t>
  </si>
  <si>
    <t>Заміна дуги (плетена) на одну щелепу</t>
  </si>
  <si>
    <t>2.38.</t>
  </si>
  <si>
    <t>Заміна дуги (сталева) на одну щелепу</t>
  </si>
  <si>
    <t>2.39.</t>
  </si>
  <si>
    <t>Постановка закриваючої пружини на одну щелепу</t>
  </si>
  <si>
    <t>2.40.</t>
  </si>
  <si>
    <t>Постановка відкриваючої пружини на одну щелепу</t>
  </si>
  <si>
    <t>2.41.</t>
  </si>
  <si>
    <t>Постановка еластичного ланцюжка на одну щелепу</t>
  </si>
  <si>
    <t>2.42.</t>
  </si>
  <si>
    <t>Фіксація металевих лігатур на одну щелепу</t>
  </si>
  <si>
    <t>2.43.</t>
  </si>
  <si>
    <t>Фіксація довгої металевої лігатури</t>
  </si>
  <si>
    <t>2.44.</t>
  </si>
  <si>
    <t>Обрізання дуги</t>
  </si>
  <si>
    <t>2.45.</t>
  </si>
  <si>
    <t>Зняття металевих лігатур на одній щелепі</t>
  </si>
  <si>
    <t>2.46.</t>
  </si>
  <si>
    <t>Зняття  довгої металевої лігатури</t>
  </si>
  <si>
    <t>2.47.</t>
  </si>
  <si>
    <t>Фіксація одного брекета  адгезивною масою хімічного затвердіння</t>
  </si>
  <si>
    <t>2.48.</t>
  </si>
  <si>
    <t>Фіксація одного брекета  адгезивною масою світлового затвердіння</t>
  </si>
  <si>
    <t>2.49.</t>
  </si>
  <si>
    <t>Перефіксація брекета на одну щелепу</t>
  </si>
  <si>
    <t>2.50.</t>
  </si>
  <si>
    <t>Зняття одного брекета</t>
  </si>
  <si>
    <t>2.51.</t>
  </si>
  <si>
    <t>Зняття  брекет системи з однієї щелепи</t>
  </si>
  <si>
    <t>2.52.</t>
  </si>
  <si>
    <t>Постановка еластиків-сепараторів рентгенконтрастних</t>
  </si>
  <si>
    <t>2.53.</t>
  </si>
  <si>
    <t>Фіксація ортодонтичного кільця або  коронки</t>
  </si>
  <si>
    <t>2.54.</t>
  </si>
  <si>
    <t>Зняття ортодонтичного кільця або  коронки</t>
  </si>
  <si>
    <t>2.55.</t>
  </si>
  <si>
    <t>Виготовлення однієї ортодонтичної КАППИ</t>
  </si>
  <si>
    <t>2.56.</t>
  </si>
  <si>
    <t>Припасування та здача знімної КАППИ на одну щелепу</t>
  </si>
  <si>
    <t>2.57.</t>
  </si>
  <si>
    <t>Навчання пацієнта правилам гігієни ротової порожнини та догляду за ортодонтичним апаратом з набором для чистки брекет системи</t>
  </si>
  <si>
    <t>2.58.</t>
  </si>
  <si>
    <r>
      <t>Проведення вправ для жувальних м</t>
    </r>
    <r>
      <rPr>
        <sz val="11"/>
        <color indexed="8"/>
        <rFont val="Calibri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язів</t>
    </r>
  </si>
  <si>
    <t>2.59.</t>
  </si>
  <si>
    <t>Психотерапія для дітей та батьків під час ортодонтичного лікування</t>
  </si>
  <si>
    <t>2.60.</t>
  </si>
  <si>
    <r>
      <t>Соціальна консультація сім</t>
    </r>
    <r>
      <rPr>
        <sz val="11"/>
        <color indexed="8"/>
        <rFont val="Calibri"/>
        <family val="2"/>
        <charset val="204"/>
      </rPr>
      <t>'ї ортодонтичного пацієнта</t>
    </r>
  </si>
  <si>
    <t>Калькуляція послуг по дитячій стоматології                                                                                                                                                   КНП "Міська стоматологічна поліклініка Івано-Франківської міської ради"</t>
  </si>
  <si>
    <t xml:space="preserve">Основна зарплата </t>
  </si>
  <si>
    <t>Нарахування  на зарплату</t>
  </si>
  <si>
    <t>Терапевтична стоматологічна допомога</t>
  </si>
  <si>
    <t>1.1.</t>
  </si>
  <si>
    <t>1.2.</t>
  </si>
  <si>
    <t>Повторний огляд амбулаторного  пацієнта</t>
  </si>
  <si>
    <t>1.3.</t>
  </si>
  <si>
    <t>Профілактичний огляд стоматолога</t>
  </si>
  <si>
    <t>1.4.</t>
  </si>
  <si>
    <t>1.5.</t>
  </si>
  <si>
    <t>1.6.</t>
  </si>
  <si>
    <t>Аналіз рентгенограми панорамної</t>
  </si>
  <si>
    <t>1.7.</t>
  </si>
  <si>
    <r>
      <t>Аналіз комп</t>
    </r>
    <r>
      <rPr>
        <sz val="11"/>
        <color indexed="8"/>
        <rFont val="Calibri"/>
        <family val="2"/>
        <charset val="204"/>
      </rPr>
      <t>'ютерної 3D-томографії на електронних носіях</t>
    </r>
  </si>
  <si>
    <t>1.8.</t>
  </si>
  <si>
    <t>Аналіз лабораторних досліджень</t>
  </si>
  <si>
    <t>1.9.</t>
  </si>
  <si>
    <r>
      <t>Зняття м</t>
    </r>
    <r>
      <rPr>
        <sz val="11"/>
        <color indexed="8"/>
        <rFont val="Calibri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якого зубного нальоту із зубів однієї щелепи</t>
    </r>
  </si>
  <si>
    <t>1.10.</t>
  </si>
  <si>
    <t>Зняття  зубного каменю, нальоту механічним (ручним) способом  зубів однієї щелепи</t>
  </si>
  <si>
    <t>1.11.</t>
  </si>
  <si>
    <t xml:space="preserve">Герметизація фісур </t>
  </si>
  <si>
    <t>1.12.</t>
  </si>
  <si>
    <t>Формування каріозної порожнини</t>
  </si>
  <si>
    <t>1.13.</t>
  </si>
  <si>
    <t>Полірування пломби</t>
  </si>
  <si>
    <t>1.14.</t>
  </si>
  <si>
    <t>Зняття постійної пломби</t>
  </si>
  <si>
    <t>1.15.</t>
  </si>
  <si>
    <t>Зняття тимчасової пломби</t>
  </si>
  <si>
    <t>1.16.</t>
  </si>
  <si>
    <r>
      <t>Накладання тимчасової пов</t>
    </r>
    <r>
      <rPr>
        <sz val="12"/>
        <color indexed="8"/>
        <rFont val="Calibri"/>
        <family val="2"/>
        <charset val="204"/>
      </rPr>
      <t>'язки</t>
    </r>
  </si>
  <si>
    <t>1.17.</t>
  </si>
  <si>
    <t>Накладання девіталізуючої пасти</t>
  </si>
  <si>
    <t>1.18.</t>
  </si>
  <si>
    <r>
      <t>Накладання лікувальної пов</t>
    </r>
    <r>
      <rPr>
        <sz val="12"/>
        <color indexed="8"/>
        <rFont val="Calibri"/>
        <family val="2"/>
        <charset val="204"/>
      </rPr>
      <t>'язки при лікуванні глибокого карієсу</t>
    </r>
  </si>
  <si>
    <t>1.19.</t>
  </si>
  <si>
    <t xml:space="preserve">Накладання ізолюючої цементної прокладки </t>
  </si>
  <si>
    <t>1.20.</t>
  </si>
  <si>
    <t xml:space="preserve">Накладання ізолюючої склоіномерної прокладки </t>
  </si>
  <si>
    <t>1.21.</t>
  </si>
  <si>
    <t>Екстирпація нерва з одного каналу кореня зуба</t>
  </si>
  <si>
    <t>1.22.</t>
  </si>
  <si>
    <t>Інструментальна та медикаментозна обробка каналу зуба</t>
  </si>
  <si>
    <t>1.23.</t>
  </si>
  <si>
    <t>Пломбування одного каналу кореня  зуба тимчасового прикусу</t>
  </si>
  <si>
    <t>1.24.</t>
  </si>
  <si>
    <t>Пломбування одного каналу кореня постійного зуба (апексифікація)</t>
  </si>
  <si>
    <t>1.24.а</t>
  </si>
  <si>
    <t>1.25.</t>
  </si>
  <si>
    <t>Накладання ретракційної нитки</t>
  </si>
  <si>
    <t>1.26.</t>
  </si>
  <si>
    <t>Механічне та хімічне розширення облітерованого одного каналу зуба</t>
  </si>
  <si>
    <t>1.27.</t>
  </si>
  <si>
    <t>Розпломбування кореневого каналу зуба</t>
  </si>
  <si>
    <t>1.28.</t>
  </si>
  <si>
    <t>Накладання пломби при лікуванні поверхневого карієсу зі склоіномерного цементу</t>
  </si>
  <si>
    <t>1.29.</t>
  </si>
  <si>
    <t>Накладання пломби при лікуванні середнього карієсу  зі склоіномерного цементу</t>
  </si>
  <si>
    <t>1.30.</t>
  </si>
  <si>
    <t>Накладання пломби при лікуванні глибокого карієсу  зі склоіномерного цементу</t>
  </si>
  <si>
    <t>1.31.</t>
  </si>
  <si>
    <t>Накладання пломби при лікуванні ускладненого карієсу  зі склоіномерного цементу</t>
  </si>
  <si>
    <t>1.32.</t>
  </si>
  <si>
    <t xml:space="preserve">Накладання пломби при лікуванні поверхневого карієсу з композитного матеріалу </t>
  </si>
  <si>
    <t>1.33.</t>
  </si>
  <si>
    <t xml:space="preserve">Накладання пломби при лікуванні середнього карієсу  з композитного матеріалу </t>
  </si>
  <si>
    <t>1.34.</t>
  </si>
  <si>
    <t xml:space="preserve">Накладання пломби при лікуванні глибокого карієсу  з композитного матеріалу </t>
  </si>
  <si>
    <t>1.35</t>
  </si>
  <si>
    <t xml:space="preserve">Накладання пломби при лікуванні ускладненого карієсу  з композитного матеріалу </t>
  </si>
  <si>
    <t>1.36.</t>
  </si>
  <si>
    <t xml:space="preserve">Накладання пломби при лікуванні поверхневого карієсу  з світлополімерного матеріалу </t>
  </si>
  <si>
    <t>1.37.</t>
  </si>
  <si>
    <t xml:space="preserve">Накладання пломби при лікуванні середнього карієсу  з світлополімерного матеріалу </t>
  </si>
  <si>
    <t>1.38.</t>
  </si>
  <si>
    <t xml:space="preserve">Накладання пломби при лікуванні глибокого карієсу  з світлополімерного матеріалу </t>
  </si>
  <si>
    <t>1.39.</t>
  </si>
  <si>
    <t xml:space="preserve">Накладання пломби при лікуванні ускладненого карієсу  з світлополімерного матеріалу </t>
  </si>
  <si>
    <t>1.40.</t>
  </si>
  <si>
    <t>Відновлення зруйнованої коронки зуба матеріалом хімічного затвердіння</t>
  </si>
  <si>
    <t>1.41.</t>
  </si>
  <si>
    <t>Відновлення зруйнованої коронки зуба  світлополімерного матеріалу</t>
  </si>
  <si>
    <t>1.42.</t>
  </si>
  <si>
    <t>Фіксація одного скловолоконного штифта</t>
  </si>
  <si>
    <t>1.43.</t>
  </si>
  <si>
    <t>Фіксація одного анкерного штифта</t>
  </si>
  <si>
    <t>1.44.</t>
  </si>
  <si>
    <t>Накладання рідкого кофердаму</t>
  </si>
  <si>
    <t>1.45.</t>
  </si>
  <si>
    <t xml:space="preserve">Фіксація ретейнерів на 6 зубів світлополімерним матеріалом </t>
  </si>
  <si>
    <t>1.46.</t>
  </si>
  <si>
    <t>Ремтерапія зуба</t>
  </si>
  <si>
    <t>1.47.</t>
  </si>
  <si>
    <t>Флюоризація зуба</t>
  </si>
  <si>
    <t>1.48.</t>
  </si>
  <si>
    <t>Сріблення поверхні або порожнини одного зуба тимчасового прикусу</t>
  </si>
  <si>
    <t>1.49.</t>
  </si>
  <si>
    <t>Консультація лікаря з приводу лікування захворювань слизової оболонки порожнини рота</t>
  </si>
  <si>
    <t>1.50.</t>
  </si>
  <si>
    <t>Складання плану лікування з приводу лікування захворювань СОПР</t>
  </si>
  <si>
    <t>1.51.</t>
  </si>
  <si>
    <t>Медикаментозна обробка СОПР</t>
  </si>
  <si>
    <t>1.52.</t>
  </si>
  <si>
    <t>Медикаментозна та інструментальна обробка порожнини зуба</t>
  </si>
  <si>
    <t>Хірургічна стоматологічна допомога</t>
  </si>
  <si>
    <t>3.1.</t>
  </si>
  <si>
    <t xml:space="preserve">Первинний огляд пацієнта </t>
  </si>
  <si>
    <t>3.2.</t>
  </si>
  <si>
    <t xml:space="preserve">Повторний огляд амбулаторного пацієнта </t>
  </si>
  <si>
    <t>3.3.</t>
  </si>
  <si>
    <t>3.4.</t>
  </si>
  <si>
    <t>Знеболювання з використанням анестетика Лідокаїн 2%</t>
  </si>
  <si>
    <t>3.5.</t>
  </si>
  <si>
    <t>Знеболювання з використанням анестетика Артифрин-форте</t>
  </si>
  <si>
    <t>3.6.</t>
  </si>
  <si>
    <t>Знеболювання з використанням анестетика Убістезин</t>
  </si>
  <si>
    <t>3.7.</t>
  </si>
  <si>
    <t>Знеболювання з використанням анестетика Ультракаїн-Форте</t>
  </si>
  <si>
    <t>3.8.</t>
  </si>
  <si>
    <t>Знеболювання з використанням анестетика Скандонез</t>
  </si>
  <si>
    <t>3.9.</t>
  </si>
  <si>
    <t>Знеболювання з використанням анестетика Меніфрин</t>
  </si>
  <si>
    <t>3.10.</t>
  </si>
  <si>
    <t>Анестезія аплікаційна</t>
  </si>
  <si>
    <t>3.11.</t>
  </si>
  <si>
    <t>3.12.</t>
  </si>
  <si>
    <t>3.13.</t>
  </si>
  <si>
    <t>Видалення зуба просте(без анестезії)</t>
  </si>
  <si>
    <t>3.14.</t>
  </si>
  <si>
    <t>Видалення зуба за ортодонтичними показниками(без анестезії)</t>
  </si>
  <si>
    <t>3.15.</t>
  </si>
  <si>
    <t>Видалення тимчасового зуба(без анестезії)</t>
  </si>
  <si>
    <t>3.16.</t>
  </si>
  <si>
    <t>Видалення зуба чи кореня складне  (без анестезії)</t>
  </si>
  <si>
    <t>3.17.</t>
  </si>
  <si>
    <t>Накладання швів(без анестезії)</t>
  </si>
  <si>
    <t>3.18.</t>
  </si>
  <si>
    <t>Розкриття абсцесу, дренування (без анестезії)</t>
  </si>
  <si>
    <t>3.19.</t>
  </si>
  <si>
    <t>Лікування альвеоліта (без анестезії)</t>
  </si>
  <si>
    <t>3.20.</t>
  </si>
  <si>
    <t>Видалення епулісу з ростковою зоною, гранульоми (без анестезії)</t>
  </si>
  <si>
    <t>3.21.</t>
  </si>
  <si>
    <t>Розтин, промивання та висікання капюшону (без анестезії)</t>
  </si>
  <si>
    <t>3.22.</t>
  </si>
  <si>
    <t>Видалення одонтоми (без анестезії)</t>
  </si>
  <si>
    <t>3.23.</t>
  </si>
  <si>
    <t>Видалення доброякісних новоутворень язика (без анестезії)</t>
  </si>
  <si>
    <t>3.24.</t>
  </si>
  <si>
    <t>Розтин абсцесу з наступним дренуванням(без анестезії)</t>
  </si>
  <si>
    <t>3.25.</t>
  </si>
  <si>
    <t>Видалення доброякісних новоутворень м'яких тканин ротової порожнини - папіломи, фіброми та ін.(без анестезії)</t>
  </si>
  <si>
    <t>3.26.</t>
  </si>
  <si>
    <t>Пластика вуздечки язика (без анестезії)</t>
  </si>
  <si>
    <t>3.27.</t>
  </si>
  <si>
    <t>Пластика вуздечки губи (без анестезії)</t>
  </si>
  <si>
    <t>3.28.</t>
  </si>
  <si>
    <t>3.29.</t>
  </si>
  <si>
    <t>Первинна хірургічна обробка рани</t>
  </si>
  <si>
    <t>3.30.</t>
  </si>
  <si>
    <t>Направлення на гістологію</t>
  </si>
  <si>
    <t>Послуги фізіотерапевтичного кабінету</t>
  </si>
  <si>
    <t>4.1.</t>
  </si>
  <si>
    <t>УВЧ-терапія</t>
  </si>
  <si>
    <t>4.2.</t>
  </si>
  <si>
    <t>Місцеве УФ-опромінювання</t>
  </si>
  <si>
    <t>4.3.</t>
  </si>
  <si>
    <t>4.4.</t>
  </si>
  <si>
    <t>Електрофорез з глюконатом кальцію</t>
  </si>
  <si>
    <t>4.5.</t>
  </si>
  <si>
    <t>Електофорез з калій йод</t>
  </si>
  <si>
    <t>4.6.</t>
  </si>
  <si>
    <t>Дарсонваль</t>
  </si>
  <si>
    <t>4.7.</t>
  </si>
  <si>
    <t>Опромінювання іншими джерелами світла біоптрон</t>
  </si>
  <si>
    <t>Послуги рентгенкабінету</t>
  </si>
  <si>
    <t>5.1.</t>
  </si>
  <si>
    <t>Рентгенограма зуба</t>
  </si>
  <si>
    <t>В.о.директора</t>
  </si>
  <si>
    <t>Т.Б. Стефанків</t>
  </si>
  <si>
    <t>О.М. Гринів</t>
  </si>
  <si>
    <t>Калькуляція вартості медичних послуг для жіночих консультацій  КНП "Міський клінічний перинатальний центр Івано-Франківської міської ради"  на 2020 р.</t>
  </si>
  <si>
    <t>№п/п</t>
  </si>
  <si>
    <t>Основна заробітна плата(для нарах.накл.)</t>
  </si>
  <si>
    <t>Прийом лікаря акушер-гінеколога</t>
  </si>
  <si>
    <t>Консультація акушер-гінеколога</t>
  </si>
  <si>
    <t>Введення внутріматкової спіралі (ВМС)</t>
  </si>
  <si>
    <t>Видалення внутріматкової спіралі  (ВМС)</t>
  </si>
  <si>
    <t>Проведенн кольпоскопії</t>
  </si>
  <si>
    <t>Проведення біопсії шийки матки</t>
  </si>
  <si>
    <t>Взяття аспірату із порожнини матки на цитологічне дослідження</t>
  </si>
  <si>
    <t>Проведення  діатермокоагуляції ерозій шийки матки</t>
  </si>
  <si>
    <t>Проведення кріодеструкції патологічних змін шийки матки</t>
  </si>
  <si>
    <t>Проведення пункції наботових кист шийки матки  (діатермопунктура)</t>
  </si>
  <si>
    <t>Взяття виділень з статевих органів</t>
  </si>
  <si>
    <t>Взяття матеріалу на цитологічне дослідження</t>
  </si>
  <si>
    <t>Проведення ванночки піхви</t>
  </si>
  <si>
    <t>Введення вагінальних тампонів з лікарськими речовинами</t>
  </si>
  <si>
    <t>Прийом лікаря акушер-гінеколога (профогляд)</t>
  </si>
  <si>
    <t>Консультація  по контрацепції</t>
  </si>
  <si>
    <t>Медикаментозне переривання вагітності</t>
  </si>
  <si>
    <t>Проведення поліпектомії</t>
  </si>
  <si>
    <t>Проведення зішкрібу з цервікального каналу</t>
  </si>
  <si>
    <t>Моніторинговий  візит  додому  до жінки  групи ризику та з обмеженими фізичними можливостями</t>
  </si>
  <si>
    <t>Головний    бухгалтер                                                                                            І.С.Данилюк</t>
  </si>
  <si>
    <t>Калькуляція вартості медичних послуг для  відділення УЗД  КНП  "Міський клінічний перинатальний центр Івано-Франківської міської ради" на 2020 р.</t>
  </si>
  <si>
    <t>Проведення УЗД органів малого тазу (абдомінальне)</t>
  </si>
  <si>
    <t>Проведдення УЗД органів малого тазу (кавітальне)</t>
  </si>
  <si>
    <t>Проведення УЗД органів черевної порожнини</t>
  </si>
  <si>
    <t>Проведення цервікометрії (кавітальна)</t>
  </si>
  <si>
    <t>Проведення УЗД грудних залоз</t>
  </si>
  <si>
    <t>Проведення УЗД щитоподібної залози</t>
  </si>
  <si>
    <t>Проведення УЗД нирок</t>
  </si>
  <si>
    <t>Проведення УЗД сечового міхура</t>
  </si>
  <si>
    <t>Проведення УЗД плевральних синусів</t>
  </si>
  <si>
    <t>Проведення доплерівського дослідження судин</t>
  </si>
  <si>
    <t>Проведення біофізичного профілю плоду</t>
  </si>
  <si>
    <t>Проведення УЗД при вагітності І триместр</t>
  </si>
  <si>
    <t>Проведення УЗД при вагітності ІІ триместр</t>
  </si>
  <si>
    <t>Проведення УЗД при вагітності ІІІ триместр</t>
  </si>
  <si>
    <t>Проведення УЗД серцево-судинної системи плода</t>
  </si>
  <si>
    <t>Проведення УЗД органів та систем новонародженого</t>
  </si>
  <si>
    <t>Проведення нейросонографії</t>
  </si>
  <si>
    <t>Проведення УЗД м’яких тканин (післяопераційного рубця)</t>
  </si>
  <si>
    <t>Проведення УЗД кістково-суглобової системи</t>
  </si>
  <si>
    <t>Калькуляція вартості медичних послуг для  фізіотерапевтичного кабінету   КНП "Міський клінічний перинатальний центр Івано-Франківської міської ради" на 2020 р.</t>
  </si>
  <si>
    <t>ЕКГ</t>
  </si>
  <si>
    <t xml:space="preserve">Проведення магнітотерапії </t>
  </si>
  <si>
    <t>Проведення електрофорез  без вартості ліків (20хв)</t>
  </si>
  <si>
    <t>Проведенн електрофорезу  без вартості ліків (30 хв)</t>
  </si>
  <si>
    <t>Проведення гальванізації</t>
  </si>
  <si>
    <t>Проведення ультразвуку (8хв.)</t>
  </si>
  <si>
    <t>Проведення ультразвуку (15 хв.)</t>
  </si>
  <si>
    <t>Проведення фонофорезу (8 хв.)</t>
  </si>
  <si>
    <t>Проведення фонофорезу (15 хв.)</t>
  </si>
  <si>
    <t>Калькуляція вартості медичних послуг для  рентгенкабінету   КНП " Міський клінічний перинатальний центр Івано-Франківської міської ради" на 2020 р.</t>
  </si>
  <si>
    <t xml:space="preserve">Проведення рентгенографії ОГК </t>
  </si>
  <si>
    <t>Проведення оглядової рентгенографії живота</t>
  </si>
  <si>
    <t>Проведення оглядової урографії</t>
  </si>
  <si>
    <t>Проведення внутрівенної  урографії</t>
  </si>
  <si>
    <t>Проведення  антеградної урографії</t>
  </si>
  <si>
    <t>Проведення  ретрограднох урографії</t>
  </si>
  <si>
    <t>Проведення рентгенографії кісток тазу</t>
  </si>
  <si>
    <t>Проведення рентгенографії хребта, 2 проекції</t>
  </si>
  <si>
    <t xml:space="preserve"> </t>
  </si>
  <si>
    <t>Проведення рентгенографії кінцівок, 2 проекції</t>
  </si>
  <si>
    <t>Проведення рентгенографії черепа, 2 проекції</t>
  </si>
  <si>
    <t>Проведенн рентгенографії стопи і кисті,  2 проекції</t>
  </si>
  <si>
    <t xml:space="preserve">Проведення рентгенографії колінного суглоба, 2 проекції </t>
  </si>
  <si>
    <t>Проведення цистографії без контрасту, уретрографія, цистографія з тугим наповненням</t>
  </si>
  <si>
    <t>Проведення рентгенографії дрібних суглобів, 1 проекція</t>
  </si>
  <si>
    <t>Проведення рентгенографії скроневих кісток</t>
  </si>
  <si>
    <t>Проведення рентгенографії ДПН</t>
  </si>
  <si>
    <t>Проведення гістеросальпінгографії</t>
  </si>
  <si>
    <t>Проведення флюрографії</t>
  </si>
  <si>
    <t>Калькуляція вартості  інших послуг для    КНП "Міський клінічний перинатальний центр Івано-Франківської міської ради"  на 2020 р.</t>
  </si>
  <si>
    <t>Проходження інтернатури (контрактна форма)</t>
  </si>
  <si>
    <t>1міс.</t>
  </si>
  <si>
    <t>Надання виписки з карти стаціонарного хворого</t>
  </si>
  <si>
    <t>Палата покращених умов перебування (без санвузла)</t>
  </si>
  <si>
    <t>1 день</t>
  </si>
  <si>
    <t>Палата покращених умов перебування (з санвузлом)</t>
  </si>
  <si>
    <t xml:space="preserve">1 день </t>
  </si>
  <si>
    <t>Директор КНП "МКПЦ ІФМР"                                                                      С.Л. Стефанко</t>
  </si>
  <si>
    <t xml:space="preserve">Коефіціент накладних витрат </t>
  </si>
  <si>
    <t>Виготовлення знімного  часткового протезу</t>
  </si>
  <si>
    <t>Виготовлення пластмасового зуба у знімному протезі</t>
  </si>
  <si>
    <t>Виготовлення повного знімного протезу</t>
  </si>
  <si>
    <t>Виготовлення індивідуальної ложки</t>
  </si>
  <si>
    <t>Виготовлення кругового кламера</t>
  </si>
  <si>
    <t>Перелом базиса</t>
  </si>
  <si>
    <t>Два перелома в одному базисі</t>
  </si>
  <si>
    <t>Кріплення 1-го зуба</t>
  </si>
  <si>
    <t>Кріплення 2-х  зубів</t>
  </si>
  <si>
    <t>Кріплення 3-х  зубів</t>
  </si>
  <si>
    <t>Кріплення 4-х зубів</t>
  </si>
  <si>
    <t>Кріплення 1-го кламера</t>
  </si>
  <si>
    <t>Кріплення 2-х  кламерів</t>
  </si>
  <si>
    <t>Кріплення 1-го зуба і 1-го кламера</t>
  </si>
  <si>
    <t>Кріплення 1-го зуба і лагодження перелому базиса</t>
  </si>
  <si>
    <t>Кріплення 2-х зубів і лагодження перелому базиса</t>
  </si>
  <si>
    <t>Виготовлення штампованої металевої коронки</t>
  </si>
  <si>
    <t>Виготовлення штампованої коронки, облицьованої пластмасою (по Бородюку)</t>
  </si>
  <si>
    <t>Виготовлення одиночної пластмасової коронки</t>
  </si>
  <si>
    <t>Виготовлення фасетки в штамповано-паяному мостоподібному протезі</t>
  </si>
  <si>
    <t>Литий зуб в штамповно-паяному мостоподібному протезі</t>
  </si>
  <si>
    <t>Виготовлення лапки</t>
  </si>
  <si>
    <t xml:space="preserve">Куксова штифтова вкладка </t>
  </si>
  <si>
    <t>Спайка коронок</t>
  </si>
  <si>
    <t>Зняття суцільнолитої коронки</t>
  </si>
  <si>
    <t>Зняття штампованої  коронки</t>
  </si>
  <si>
    <t>Консультація лікаря без додаткового  лабораторного дослідження</t>
  </si>
  <si>
    <t>Виготовлення литої металевої коронки в мостоподібному протезі</t>
  </si>
  <si>
    <t>Виготовлення литого металевого зуба у мостоподібному протезі</t>
  </si>
  <si>
    <t>Металопластмасова коронка у мостоподібному протезі</t>
  </si>
  <si>
    <t>Металопластмасовий зуб у мостоподібному протезі</t>
  </si>
  <si>
    <t>Металокерамічна коронка у мостоподібному протезі</t>
  </si>
  <si>
    <t>Металокерамічний зуб у мостоподібному протезі</t>
  </si>
  <si>
    <t>Відбиток з упіну</t>
  </si>
  <si>
    <t>Цементування коронки (адгезор)</t>
  </si>
  <si>
    <t>Цементування коронки (CX-Plus Shofu)</t>
  </si>
  <si>
    <t>Відбиток зета плюс (базисний)</t>
  </si>
  <si>
    <t>Відбиток зета плюс (коригуючий)</t>
  </si>
  <si>
    <t>Відбиток зета плюс (каталізатор)</t>
  </si>
  <si>
    <t>Відбиток з спідексу (базисний)</t>
  </si>
  <si>
    <t>Відбиток з спідексу (коригуючий)</t>
  </si>
  <si>
    <t>Відбиток з спідексу (каталізатор)</t>
  </si>
  <si>
    <t>Ортопедичні послуги</t>
  </si>
  <si>
    <t>Накладні витрати</t>
  </si>
  <si>
    <t xml:space="preserve">ЗАТВЕРДЖЕНО </t>
  </si>
  <si>
    <t>Директор КНП " ЦПМКДД"</t>
  </si>
  <si>
    <t>Савчук О.В.</t>
  </si>
  <si>
    <t>"____"__________20__ р.</t>
  </si>
  <si>
    <t xml:space="preserve">Калькуляція вартості платних медичних послуг </t>
  </si>
  <si>
    <t>по КНП " Центр первинної медичної і консультативно -діагностичної допомоги "</t>
  </si>
  <si>
    <t xml:space="preserve">Коефіцієнт накладних витрат 90%  </t>
  </si>
  <si>
    <t>Рентабель-ність 35%</t>
  </si>
  <si>
    <t>Вартість послуги</t>
  </si>
  <si>
    <t>Вартість послуги разом</t>
  </si>
  <si>
    <t>Проведення огляду лікарем-терапевтом</t>
  </si>
  <si>
    <t>Проведення огляду лікарем-терапевтом вдома</t>
  </si>
  <si>
    <t>Проведення огляду лікарем загальної практики - сімейним лікарем</t>
  </si>
  <si>
    <t>Проведення огляду лікарем загальної практики - сімейним лікарем вдома</t>
  </si>
  <si>
    <t>Проведення огляду лікарем-отоларингологом</t>
  </si>
  <si>
    <t>Проведення огляду лікарем-отоларингологом вдома</t>
  </si>
  <si>
    <t>Проведення огляду лікарем-дерматовенерологом</t>
  </si>
  <si>
    <t>Проведення огляду лікарем-дерматовенерологом вдома</t>
  </si>
  <si>
    <t>Проведення огляду лікарем-невропатологом</t>
  </si>
  <si>
    <t>Проведення огляду лікарем-невропатологом вдома</t>
  </si>
  <si>
    <t>Проведення огляду лікарем-хірургом</t>
  </si>
  <si>
    <t>Проведення огляду лікарем-хірургом вдома</t>
  </si>
  <si>
    <t>Проведення огляду лікарем-офтальмологом</t>
  </si>
  <si>
    <t>Проведення огляду лікарем-офтальмологом вдома</t>
  </si>
  <si>
    <t>Проведення огляду лікарем-акушер-гінекологом (стандартний огляд у дзеркалах без урахування вартості мазків)</t>
  </si>
  <si>
    <t>Проведення огляду лікарем-акушер-гінекологом (стандартний огляд у дзеркалах без урахування вартості мазків) вдома</t>
  </si>
  <si>
    <t>Проведення огляду лікарем-стоматологом</t>
  </si>
  <si>
    <t>Проведення огляду лікарем-кардіологом</t>
  </si>
  <si>
    <t>Проведення огляду лікарем-кардіологом вдома</t>
  </si>
  <si>
    <t>Проведення огляду лікарем-урологом</t>
  </si>
  <si>
    <t>Проведення огляду лікарем-урологом вдома</t>
  </si>
  <si>
    <t>Проведення огляду лікарем-ендокринологом</t>
  </si>
  <si>
    <t>Проведення огляду лікарем-ендокринологом вдома</t>
  </si>
  <si>
    <t>Проведення огляду лікарем-гастроентерологом</t>
  </si>
  <si>
    <t>Проведення огляду лікарем-гастроентерологом вдома</t>
  </si>
  <si>
    <t>Проведення огляду лікарем-онкологом</t>
  </si>
  <si>
    <t>Проведення огляду лікарем-онкологом вдома</t>
  </si>
  <si>
    <t>Проведення огляду лікарем-інфекціоністом</t>
  </si>
  <si>
    <t>Проведення огляду лікарем-інфекціоністом вдома</t>
  </si>
  <si>
    <t>Проведення огляду лікарем-рентгенологом</t>
  </si>
  <si>
    <t>рентгенлаборант</t>
  </si>
  <si>
    <t>Проведення огляду лікарем-травматологом</t>
  </si>
  <si>
    <t>Проведення огляду лікарем-травматологом вдома</t>
  </si>
  <si>
    <t>Проведення огляду логопедом</t>
  </si>
  <si>
    <t>Проведення огляду лікарем-фізіотерапевтом</t>
  </si>
  <si>
    <t>Проведення огляду лікарем з  лікувальної фізкультури</t>
  </si>
  <si>
    <t>Проведення огляду лікарем-ревматологом</t>
  </si>
  <si>
    <t>Проведення огляду лікарем-проктологом</t>
  </si>
  <si>
    <t>Проведення огляду лікарем-гематологом</t>
  </si>
  <si>
    <t>Проведення огляду лікарем-радіологом</t>
  </si>
  <si>
    <t>Проведення огляду лікарем-алергологом</t>
  </si>
  <si>
    <t>Проведення огляду лікарем-алергологом вдома</t>
  </si>
  <si>
    <t>Проведення огляду лікарем-мамологом</t>
  </si>
  <si>
    <t>Лабораторні обстеження</t>
  </si>
  <si>
    <t>Загальний аналіз крові №1 (гемоглобін, лейкоцити, ШОЕ, формула крові-базофіли, паличкоядерні, сегментоядерні, лімфоцити, моноцити)</t>
  </si>
  <si>
    <t>Загальний аналіз крові №2 (гемоглобін, лейкоцити, ШОЕ)</t>
  </si>
  <si>
    <t>Біохімічний аналіз крові №1 (аланінамінотрансфераза, аспартатамінотрансфераза, тимолова проба)</t>
  </si>
  <si>
    <t>Біохімічний аналіз крові №2 (аланінамінотрансфераза, аспартатамінотрансфераза, тимолова проба, креатинін, сечовина, загальний білок, загальний білірубін)</t>
  </si>
  <si>
    <t>Біохімічний аналіз крові №3 (креатинін, сечовина)</t>
  </si>
  <si>
    <t>Ревмопроби (серомукоїд, антистрептолізин-О, ревматоїдний фактор)</t>
  </si>
  <si>
    <t>Дослідження крові на тромбоцити</t>
  </si>
  <si>
    <t>Дослідження крові на МНВ (міжнародне нормалізоване відношення)</t>
  </si>
  <si>
    <t>Аналіз сечі загальний</t>
  </si>
  <si>
    <t xml:space="preserve">Визначення глюкози в сечі </t>
  </si>
  <si>
    <t>Аналіз сечі по Нечипоренко</t>
  </si>
  <si>
    <t>Визначення ацетону в сечі</t>
  </si>
  <si>
    <t>Визначення білка в сечі з сульфосаліциловою кислотою</t>
  </si>
  <si>
    <t>Визначення білка з азотною кислотою 50%</t>
  </si>
  <si>
    <t>Мікроскопічне дослідження осаду сечі</t>
  </si>
  <si>
    <t>Дослідження крові на базофільну зернистість та ретикулоцити</t>
  </si>
  <si>
    <t>Аналіз калу на яйця глистів</t>
  </si>
  <si>
    <t xml:space="preserve">Дослідження крові на вміст глюкози </t>
  </si>
  <si>
    <t>Дослідження крові на вміст гама-глутамілтранспептідази</t>
  </si>
  <si>
    <t xml:space="preserve">Мазок з уретри на гонорею </t>
  </si>
  <si>
    <t>Дослідження калу на скриту кров</t>
  </si>
  <si>
    <t xml:space="preserve">лаборант </t>
  </si>
  <si>
    <t xml:space="preserve">Копрограма </t>
  </si>
  <si>
    <t>Дослідження крові на вміст білірубіну загального</t>
  </si>
  <si>
    <t>Дослідження крові на вміст аспартатамінотрансферази</t>
  </si>
  <si>
    <t>Дослідження крові на вміст аланінамінотрансферази</t>
  </si>
  <si>
    <t>Дослідження крові на вміст альфа-амілази</t>
  </si>
  <si>
    <t>Дослідження крові на вміст сечовини</t>
  </si>
  <si>
    <t>Дослідження крові на вміст креатиніну</t>
  </si>
  <si>
    <t>Дослідження крові на вміст загального холестерину</t>
  </si>
  <si>
    <t>Дослідження крові на вміст бета-ліпопротеїдів</t>
  </si>
  <si>
    <t>Аналіз крові на пробу Вельтмана</t>
  </si>
  <si>
    <t>Дослідження крові на вміст тригліцеридів</t>
  </si>
  <si>
    <t xml:space="preserve"> Дослідження крові на тимолову пробу</t>
  </si>
  <si>
    <t>Дослідження крові на вміст С-реактивного білка</t>
  </si>
  <si>
    <t>Дослідження крові на вміст кальцію</t>
  </si>
  <si>
    <t>Дослідження крові на вміст хлоридів</t>
  </si>
  <si>
    <t>Дослідження крові на вміст натрію</t>
  </si>
  <si>
    <t>Дослідження крові на вміст альбуміну</t>
  </si>
  <si>
    <t>Дослідження крові на вміст лужної фосфотази</t>
  </si>
  <si>
    <t>Дослідження крові на вміст сечової кислоти</t>
  </si>
  <si>
    <t>Дослідження крові на вміст загального білка</t>
  </si>
  <si>
    <t>Дослідження крові на вміст антистрептолізину -О</t>
  </si>
  <si>
    <t>Дослідження крові на сифіліс (реакція мікропреципітації)</t>
  </si>
  <si>
    <t>Визначення резус-належності</t>
  </si>
  <si>
    <t>Дослідження крові на вміст серомукоїду</t>
  </si>
  <si>
    <t>Дослідження крові на вміст ревматоїдного фактору</t>
  </si>
  <si>
    <t>Мазок із зіву на флору</t>
  </si>
  <si>
    <t>Дослідження крові на вміст ретикулоців</t>
  </si>
  <si>
    <t>Аналіз сечі по Зимницькому</t>
  </si>
  <si>
    <t>Визначення вмісту діастази в сечі</t>
  </si>
  <si>
    <t>Цитологічний аналіз мокротиння</t>
  </si>
  <si>
    <t>Цитологічне дослідження з каналу шийки матки</t>
  </si>
  <si>
    <t>Цитологічне дослідження виділення з грудної залози</t>
  </si>
  <si>
    <t>Цитологічне дослідження виділення з раневої поверхні</t>
  </si>
  <si>
    <t>Цитологічне дослідження виділення з порожнини рота</t>
  </si>
  <si>
    <t>Швидкі тести (без урахування вартості тесту)</t>
  </si>
  <si>
    <t>Дослідження крові на вміст глікованого гемоглобіну</t>
  </si>
  <si>
    <t>Проведення тесту на визначення helicobacter pylori</t>
  </si>
  <si>
    <t>Гормони щитовидної залози</t>
  </si>
  <si>
    <t>Дослідження крові на вміст трийодтироніну вільного</t>
  </si>
  <si>
    <t>Дослідження крові на вміст тироксину вільного</t>
  </si>
  <si>
    <t>Дослідження крові на вміст тиреотропного гормону</t>
  </si>
  <si>
    <t>Дослідження крові на вміст антитіл до тиреоглобуліну</t>
  </si>
  <si>
    <t>лікарі</t>
  </si>
  <si>
    <t xml:space="preserve">Дослідження крові на вміст загального простатспецифічного антигену  </t>
  </si>
  <si>
    <t>Послуги з функціональної діагностики</t>
  </si>
  <si>
    <t>Проведення електроенцефолографії</t>
  </si>
  <si>
    <t>Проведення реонцелографії</t>
  </si>
  <si>
    <t>Проведення реовазографії</t>
  </si>
  <si>
    <t>Проведення добового моніторування ЕКГ на апараті Холтер</t>
  </si>
  <si>
    <t>Проведення пневмотахометрії</t>
  </si>
  <si>
    <t>Проведення електрокардіографії</t>
  </si>
  <si>
    <t>Проведення електрокардіографії з медикаментозним навантаженням</t>
  </si>
  <si>
    <t>Проведення спірометрії</t>
  </si>
  <si>
    <t>Визначення функція зовнішнього дихання</t>
  </si>
  <si>
    <t>Проведення проби з навантаженням</t>
  </si>
  <si>
    <t>Проведення проби з навантаженням                                   ( Велоергометрія)</t>
  </si>
  <si>
    <t>Проведення проби з навантаженням (Тредміл)</t>
  </si>
  <si>
    <t>Пульсоксиметрія</t>
  </si>
  <si>
    <t>Спірографія</t>
  </si>
  <si>
    <t>Вимірювання артеріального тиску</t>
  </si>
  <si>
    <t>Визначення рівня алкоголю в крові</t>
  </si>
  <si>
    <t>Передрейсовий огляд водіїв</t>
  </si>
  <si>
    <t>Антропометрія</t>
  </si>
  <si>
    <t>Послуги, які надаються лікарем-офтальмологом</t>
  </si>
  <si>
    <t>Процудура інсталяції очних крапель (без урахування вартості крапель)</t>
  </si>
  <si>
    <t>Проведення парабульбарної ін'єкції (без урахування вартості лікувального препарату)</t>
  </si>
  <si>
    <t>Проведення субконюнктивальної ін'єкції (без урахування вартості лікувального препарату)</t>
  </si>
  <si>
    <t>Проведення огляду очного дна з лінзою</t>
  </si>
  <si>
    <t>Визначення полів зору</t>
  </si>
  <si>
    <t>Поведення прямої та непрямої офтальмоскопії</t>
  </si>
  <si>
    <t>Вимірювання очного тиску</t>
  </si>
  <si>
    <t>Визначення гостроти зору</t>
  </si>
  <si>
    <t>Проведення динамометрії</t>
  </si>
  <si>
    <t>Визначення периметрії на кольори</t>
  </si>
  <si>
    <t>Дослідження основних функцій зору на апараті "VISUS"</t>
  </si>
  <si>
    <t>Визначення синдрому "сухого ока"</t>
  </si>
  <si>
    <t>Видалення поверхневих глибоких сторонніх тіл шкіри повік, кон'юктиви і парабульбарних ін'єкцій</t>
  </si>
  <si>
    <t>Проведення зондування і промивання слізних шляхів</t>
  </si>
  <si>
    <t>Аналіз оглядових рентгенограм орбіт</t>
  </si>
  <si>
    <t>Аналіз комп'ютерних томографій</t>
  </si>
  <si>
    <t>Проведення масажу повік</t>
  </si>
  <si>
    <t>Визначення периметрії</t>
  </si>
  <si>
    <t>Проведення корекції зору</t>
  </si>
  <si>
    <t>Видалення халязіону</t>
  </si>
  <si>
    <t>Видалення контагіозного молюска</t>
  </si>
  <si>
    <t>Усунення трихіазу</t>
  </si>
  <si>
    <t>Розтин абсцесу шкіри повік</t>
  </si>
  <si>
    <t>Знімання швів з рогівка, кон'юктиви</t>
  </si>
  <si>
    <t>Видалення птеригіуму</t>
  </si>
  <si>
    <t>Проведення реваскуляризації</t>
  </si>
  <si>
    <t>Видалення атероми</t>
  </si>
  <si>
    <t>Видалення папіломи</t>
  </si>
  <si>
    <t>Видалення грануляції</t>
  </si>
  <si>
    <t>Видалення шкірного рогу</t>
  </si>
  <si>
    <t>Проведення діатермокоагуляції повік при трихіазі</t>
  </si>
  <si>
    <t>Проведення інтравітреальної ін'єкції (без урахування вартості лікувального препарату)</t>
  </si>
  <si>
    <t>Проведення масажу мейбомієвих залоз</t>
  </si>
  <si>
    <t>Усунення ксантелазм</t>
  </si>
  <si>
    <t>Проведення закладання мазі на повіку (без урахування вартості лікувального препарату)</t>
  </si>
  <si>
    <t>Проведення визначення кольоросприйняття</t>
  </si>
  <si>
    <t>Проведення біомікроскопії ока в щілинній лампі</t>
  </si>
  <si>
    <t>Проведення сферопериметрії</t>
  </si>
  <si>
    <t>Проведення офтальмоскопії</t>
  </si>
  <si>
    <t>Проведення гоніоскопії</t>
  </si>
  <si>
    <t>Проведення скіаскопії</t>
  </si>
  <si>
    <t>Проведення рефлактометрії</t>
  </si>
  <si>
    <t>Визначення чутливості рогівки</t>
  </si>
  <si>
    <t>Проведення тонографії</t>
  </si>
  <si>
    <t>Послуги, які надаються лікарем-невропатологом</t>
  </si>
  <si>
    <t xml:space="preserve">Автоматизований комплекс профвідбору на апараті "Допуск" </t>
  </si>
  <si>
    <t>Проведення холодової проби</t>
  </si>
  <si>
    <t>Проведення діагностики та моніторингу когнівних порушень</t>
  </si>
  <si>
    <t>Проведення провідникової анестезії (без урахування вартості лікувального препарату)</t>
  </si>
  <si>
    <t>Проведення точкової анестезії (без урахування вартості лікувального препарату)</t>
  </si>
  <si>
    <t>Проведення постізометричної релаксації</t>
  </si>
  <si>
    <t>Проведення фармакопунктури зональної мультиін'єкційної (без урахування вартості лікувального препарату)</t>
  </si>
  <si>
    <t>Проведення блокади грушевидного м'язу (без урахування вартості лікувального препарату)</t>
  </si>
  <si>
    <t>Проведення паравертебельної блокади шийного відділу хребта (без урахування вартості лікувального препарату)</t>
  </si>
  <si>
    <t>Проведення паравертебельної блокади грудного відділу хребта (без урахування вартості лікувального препарату)</t>
  </si>
  <si>
    <t>Проведення паравертебельної блокади поперекового відділу хребта (без урахування вартості лікувального препарату)</t>
  </si>
  <si>
    <t>Проведення периневральної блокади (без урахування вартості лікувального препарату)</t>
  </si>
  <si>
    <t>Проведення периартикулярної блокади (без урахування вартості лікувального препарату)</t>
  </si>
  <si>
    <t>Проведеня блокади тригерних точок паравертебральних м'язів (без урахування вартості лікувального препарату)</t>
  </si>
  <si>
    <t>Проведення ботулінотерапії при мігрені (без урахування вартості лікувального препарату)</t>
  </si>
  <si>
    <t>Проведення мануальної терапії доброякісного позиційного головокружіння</t>
  </si>
  <si>
    <t>Проведення кінезотейпування</t>
  </si>
  <si>
    <t>Пррведення рефлексотерапії</t>
  </si>
  <si>
    <t>Проведення мануальної краніо-сакральної терапії</t>
  </si>
  <si>
    <t>Послуги, які надаються лікарем-онкологом</t>
  </si>
  <si>
    <t>Проведення дерматоскопії</t>
  </si>
  <si>
    <t>Проведення перев'язки</t>
  </si>
  <si>
    <t>Проведення пукційної біопсії кистозних утворів молочних залоз</t>
  </si>
  <si>
    <t>Забір матеріалу для  цитологічного дослідження з поверхні шкіри</t>
  </si>
  <si>
    <t>Послуги, які надаються лікарем-отоларингологом</t>
  </si>
  <si>
    <t>Проведення оцінки вестибулярного апарату (проведення обертової проби)</t>
  </si>
  <si>
    <t>Проведення аудіометрії</t>
  </si>
  <si>
    <t>Визначення вібраційного чуття (сейсмоестезії)</t>
  </si>
  <si>
    <t>Проведення трепанопункції верхньощелепної пазухи</t>
  </si>
  <si>
    <t>Введення ліків приносові пазухи (без вартості введених ліків)</t>
  </si>
  <si>
    <t>Проведення припікання носових раковин</t>
  </si>
  <si>
    <t>Розкриття фурункула носа</t>
  </si>
  <si>
    <t>Розкриття фурункула зовнішнього слуховаго проходу</t>
  </si>
  <si>
    <t>Розкриття паратонзилярного абсцесу</t>
  </si>
  <si>
    <t>Проведення катетеризації слухових труб</t>
  </si>
  <si>
    <t>Проведення анемізації слизової оболонки носових ходів</t>
  </si>
  <si>
    <t>Проведення вимивання сірчаних пробок (одне вухо)</t>
  </si>
  <si>
    <t>Проведення промивання пазух носа по Проетцу</t>
  </si>
  <si>
    <t>Видалення сторонніх тіл із зовнішнього слухового ходу</t>
  </si>
  <si>
    <t>Проведення парацентезу барабанної перетинки</t>
  </si>
  <si>
    <t>Розкриття абсцесу носової перетинки</t>
  </si>
  <si>
    <t>Проведення промивання лакун піднебінних мигдаликів</t>
  </si>
  <si>
    <t>Проведення промивання аттика середнього вуха</t>
  </si>
  <si>
    <t>Проведення продування слухових труб за Політцером</t>
  </si>
  <si>
    <t xml:space="preserve">Проведення зупинки носової кровотечі </t>
  </si>
  <si>
    <t>Проведення первинної хірургічної обробки ран з накладанням пов'язки</t>
  </si>
  <si>
    <t>Проведення первинної хірургічної обробки ран без накладанням пов'язки</t>
  </si>
  <si>
    <t>Проведення переминтальної блокади (без урахування вартості лікувального препарату)</t>
  </si>
  <si>
    <t>Видалення сторонніх тіл з глотки або носа</t>
  </si>
  <si>
    <t>Проведення репозиції кісток носа</t>
  </si>
  <si>
    <t>Проведення ендоларингеального введення ліків (без урахування вартості лікувального препарату)</t>
  </si>
  <si>
    <t>Видалення тампонів з  носових ходів</t>
  </si>
  <si>
    <t>Проведення пневмомасажу барабанної перетинки</t>
  </si>
  <si>
    <t>Проведення туалету носових ходів</t>
  </si>
  <si>
    <t>Проведення забору мазків на бактеріологічне дослідження</t>
  </si>
  <si>
    <t xml:space="preserve">Проведення вазотомії нижніх носових раковин </t>
  </si>
  <si>
    <t>Проведення розсічення синехій</t>
  </si>
  <si>
    <t>Проведення туалету слухових ходів</t>
  </si>
  <si>
    <t>Проведення поліпектомії (односторонньо)</t>
  </si>
  <si>
    <t>Введення ліків в нижньо-носові раковини (без урахування вартості лікувального препарату)</t>
  </si>
  <si>
    <t>Послуги, які надаються лікарем-дерматовенерологом</t>
  </si>
  <si>
    <t>Проведення забору мазків з уретрального  каналу у чоловіків</t>
  </si>
  <si>
    <t>Проведення забору мазків з уретрального каналу у жінок</t>
  </si>
  <si>
    <t>Проведення забору соку простати</t>
  </si>
  <si>
    <t>Проведення масажу простати (7 процедур)</t>
  </si>
  <si>
    <t>Проведення інсталяції медикаментів в уретральний канал (без урахування вартості лікувального препарату)</t>
  </si>
  <si>
    <t>Проведення інсталяції медикаментів в уретральний канал (без урахування вартості лікувального препарату)   - 5 процедур</t>
  </si>
  <si>
    <t>Проведення забору матеріалу  з поверхні шкіри</t>
  </si>
  <si>
    <t>Видалення папілом, бородавок, кондилом</t>
  </si>
  <si>
    <t>Проведення діатермокоагуляції</t>
  </si>
  <si>
    <t>Проведення кріодертрукції (3 сеанси)</t>
  </si>
  <si>
    <t>Проведення видалення папілом, бородавок, кондилом хімічним способом (без урахування вартості лікувального препарату)</t>
  </si>
  <si>
    <t>Проведеня кріомасажу шкіри обличчя, шкіри волосистої частини голови, уражених ділянок шкіри</t>
  </si>
  <si>
    <t>Проведення мезотерапії  (без урахування вартості лікувального препарату) -1 процедура</t>
  </si>
  <si>
    <t>Послуги, які надаються лікарем-інфекціоністом</t>
  </si>
  <si>
    <t>Проведення забору біоматеріалу</t>
  </si>
  <si>
    <t>Проведення забору мазка із зіву патогенну флору</t>
  </si>
  <si>
    <t>Проведення забору мазка із зіву на виявлення бацили Леффлера (BL)-без вартості живильного середовища</t>
  </si>
  <si>
    <t>Проведення забору мазка із носа патогенну флору</t>
  </si>
  <si>
    <t>Проведення забору крові з вени на стерильність (гемокультуру, визначення антитіл до кору, краснухи, грипу тощо) без урахування вартості живильного середовища</t>
  </si>
  <si>
    <t>Послуги, які надаються лікарем-кардіологом</t>
  </si>
  <si>
    <t>Проведення холтер-електрокардіограми</t>
  </si>
  <si>
    <t>Проведення холтер-електрокардіограми вдома</t>
  </si>
  <si>
    <t>Проведення електрокардіограми вдома</t>
  </si>
  <si>
    <t>Проведення добового моніторингу  електрокардіограми на предмет визначення варіабельності серцевого ритму</t>
  </si>
  <si>
    <t>Проведення електрокардіограми в 12 відведеннях спокою з розшифруванням</t>
  </si>
  <si>
    <t>Проведення електрокардіограми з медекаментозним навантаженням</t>
  </si>
  <si>
    <t>Проведення дозованого фізичного навантаження (6-хвилинний тест з ходьбою)</t>
  </si>
  <si>
    <t>Послуги, які надаються лікарем-ендокринологом</t>
  </si>
  <si>
    <t>Визначення рівня цукру крові за допомогою глюкометра</t>
  </si>
  <si>
    <t>Призначення схем лікування хворим з ендокринними захворюваннями</t>
  </si>
  <si>
    <t>Визначення рівня в крові глікованого гемоглобіну за допомогою експрес-тесту</t>
  </si>
  <si>
    <t>Послуги, які надаються лікарем-проктологом</t>
  </si>
  <si>
    <t>Проведення ректороманоскопії</t>
  </si>
  <si>
    <t>Проведення папіломектомії</t>
  </si>
  <si>
    <t>Проведеня розкриття та дренування гнійника  (епітеліальних куприкових ходів)</t>
  </si>
  <si>
    <t>Проведення трансанальної інструментальної поліпектомії</t>
  </si>
  <si>
    <t>Проведення лігування гемороїдальних вузлів</t>
  </si>
  <si>
    <t>Проведення висічення хронічних тріщин відхідника невеликих розмірів</t>
  </si>
  <si>
    <t>Проведення транстотальної інструментальної біопсії</t>
  </si>
  <si>
    <t>Послуги, які надаються лікарем-хірургом</t>
  </si>
  <si>
    <t xml:space="preserve"> Проведення видалення доброякісного новоутвору (1 штука або діаметром до  3 см)</t>
  </si>
  <si>
    <t>лікар хірург</t>
  </si>
  <si>
    <t>медсестра  операційна</t>
  </si>
  <si>
    <t>Проведення видалення доброякісного новоутвору (2 штуки або більше або діаметром більше 3 см)</t>
  </si>
  <si>
    <t>лікар хірург-проктолог</t>
  </si>
  <si>
    <t>Накладання швів</t>
  </si>
  <si>
    <t>Видалення кліща</t>
  </si>
  <si>
    <t>Видалення стороннього тіла</t>
  </si>
  <si>
    <t xml:space="preserve">Видалення кисти куприка </t>
  </si>
  <si>
    <t>Видалення нагноєних кист</t>
  </si>
  <si>
    <t>Проведення перев'язки  (без урахування вартості лікувального препарату)</t>
  </si>
  <si>
    <t>Проведення комплексного лікування трофічних виразок (без урахування вартості лікувального препарату)</t>
  </si>
  <si>
    <t>Проведення перев'язки після оперативних втручань в аноректальній зоні та куприковій ділянці (без урахування вартості лікувального препарату)</t>
  </si>
  <si>
    <t>Проведення некректомії</t>
  </si>
  <si>
    <t>Проведення видалення врослого нігтя з накладанням швів</t>
  </si>
  <si>
    <t>Проведення крайової резекції врослого нігтя без накладання швів</t>
  </si>
  <si>
    <t>Проведення розкриття фурункула</t>
  </si>
  <si>
    <t>Проведення розкриття карбункула</t>
  </si>
  <si>
    <t>Проведення розкриття флегмони</t>
  </si>
  <si>
    <t>Проведення розкриття абсцесу</t>
  </si>
  <si>
    <t>Проведення розкриття гідраденіту</t>
  </si>
  <si>
    <t>Проведення розкриття гематоми</t>
  </si>
  <si>
    <t>Проведення видалення лігатурної нориці</t>
  </si>
  <si>
    <t>Зняття  швів</t>
  </si>
  <si>
    <t>Видалення гемороїдальних тромбів</t>
  </si>
  <si>
    <t>Проведення бурсектомії</t>
  </si>
  <si>
    <t>Проведення плазмоліфтингу (PRF-терапії)</t>
  </si>
  <si>
    <t>14.Новокаїнові блокади</t>
  </si>
  <si>
    <t>Проведення новокаїнової блокади (без урахування вартості новокаїну)</t>
  </si>
  <si>
    <t>Проведення заміни калоприймача у стомованих хворих (без урахування вартості калоприймача)</t>
  </si>
  <si>
    <t>Проведеня розкриття пароніхії</t>
  </si>
  <si>
    <t>Проведення розкриття панарицію</t>
  </si>
  <si>
    <t>Проведення розкриття постін'єкційного абсцесу</t>
  </si>
  <si>
    <t>Проведення обробки опіків</t>
  </si>
  <si>
    <t>Послуги, які надаються лікарем-травматологом</t>
  </si>
  <si>
    <t>Проведення пункції суглоба</t>
  </si>
  <si>
    <t>лікар травматолог</t>
  </si>
  <si>
    <t xml:space="preserve">медсестра </t>
  </si>
  <si>
    <t>Накладання ортезів</t>
  </si>
  <si>
    <t>Видалення спиць</t>
  </si>
  <si>
    <t>Видалення долонного апоневрозу</t>
  </si>
  <si>
    <t xml:space="preserve">Видалення сторонніх тіл </t>
  </si>
  <si>
    <t>Проведення гіпсової іммобілізації (1-2 гіпсові бинти)</t>
  </si>
  <si>
    <t>Проведення гіпсової іммобілізації (2-3 гіпсові бинти)</t>
  </si>
  <si>
    <t>Проведення гіпсової іммобілізації (3-5 гіпсових бинтів)</t>
  </si>
  <si>
    <t>Проведення вправлення вивиху або перелому</t>
  </si>
  <si>
    <t>Проведення кінезіотейпу</t>
  </si>
  <si>
    <t>Проведення внутрішньосуглобової ін'єкції (без урахування вартості лікувального препарату)</t>
  </si>
  <si>
    <t>Послуги, які надаються лікарем-урологом</t>
  </si>
  <si>
    <t>Проведення інсталяції (або катетеризації) уретри (без урахування вартості лікувального препарату чи катетера)</t>
  </si>
  <si>
    <t>лікар уролог</t>
  </si>
  <si>
    <t xml:space="preserve">медсестра  </t>
  </si>
  <si>
    <t>Проведення розсічення вуздечки</t>
  </si>
  <si>
    <t>Проведення висічення крайньої плоті при парафімозі (фімозі)</t>
  </si>
  <si>
    <t>Проведення катетеризації сечового міхура та евакуація його вмісту</t>
  </si>
  <si>
    <t>Проведення бужування</t>
  </si>
  <si>
    <t>Проведення заміни епіцистостоми</t>
  </si>
  <si>
    <t>Проведення розкриття та дренування абсцеса</t>
  </si>
  <si>
    <t>Проведення забору мазка з уретри</t>
  </si>
  <si>
    <t>Проведення видалення атероми статевих органів</t>
  </si>
  <si>
    <t>Проведення ректального пальцевого обстеження</t>
  </si>
  <si>
    <t>Проведення масажу простати</t>
  </si>
  <si>
    <t xml:space="preserve">Проведення операції Вінкельмана </t>
  </si>
  <si>
    <t>Послуги, які надаються лікарем-ендоскопістом</t>
  </si>
  <si>
    <t>Проведення фіброезофагогастродуоденоскопії</t>
  </si>
  <si>
    <t>Проведення езофагогастродуоденоскопії з холедохоскопією</t>
  </si>
  <si>
    <t>Проведення сигмоскопії</t>
  </si>
  <si>
    <t xml:space="preserve">Проведення ректоскопії </t>
  </si>
  <si>
    <t>Проведення ректосигмоскопії</t>
  </si>
  <si>
    <t>Проведення фіброколоноскопії</t>
  </si>
  <si>
    <t>Проведення видалення сторонніх тіл</t>
  </si>
  <si>
    <t>Проведення забору матеріалу матеріалу на цитологічні дослідження</t>
  </si>
  <si>
    <t>Проведення введення лікарських препаратів (без урахування вартості лікувального препарату)</t>
  </si>
  <si>
    <t>Проведення уреазного тесту</t>
  </si>
  <si>
    <t>Проведення рh-метрії</t>
  </si>
  <si>
    <t>Послуги, які надаються лікарем-гінекологом</t>
  </si>
  <si>
    <t>Проведення стандартного вагінального огляду у дзеркалах</t>
  </si>
  <si>
    <t>Проведення забору мазків СVU (без урахування оглядового набору)</t>
  </si>
  <si>
    <t>Взяття мазків СVU (без оглядового набору)</t>
  </si>
  <si>
    <t>Проведення забору цитологічних мазків (без урахування оглядового набору)</t>
  </si>
  <si>
    <t>Проведення пальпації грудних залоз</t>
  </si>
  <si>
    <t>Проведення огляду прямої кишки</t>
  </si>
  <si>
    <t>Проведення забору біопсії шийки матки</t>
  </si>
  <si>
    <t>Проведення діатермокоагуляції  шийки матки (при ерозії, дисплазії)</t>
  </si>
  <si>
    <t>Проведення вскриття оv Nabothi</t>
  </si>
  <si>
    <t>Проведення введення внутрішньоматкової спіралі (ВМС)</t>
  </si>
  <si>
    <t>Проведення видалення внутрішньоматкової спіралі (ВМС)</t>
  </si>
  <si>
    <t>Проведення кольпоскопії</t>
  </si>
  <si>
    <t>Проведення вскриття бартолініту</t>
  </si>
  <si>
    <t>Проведення забору аспірату з порожнини матки</t>
  </si>
  <si>
    <t>Ведення вагітної (9 епізодів)</t>
  </si>
  <si>
    <t>Ведення вагітної (6 епізодів)</t>
  </si>
  <si>
    <t>Ведення вагітної (3 епізоди)</t>
  </si>
  <si>
    <t>Ультразвукові дослідження</t>
  </si>
  <si>
    <t>Проведення УЗД щитовидної залози</t>
  </si>
  <si>
    <t>Проведення УЗД сечового міхура з визначенням вмісту залишкової сечі</t>
  </si>
  <si>
    <t>Проведення УЗД сечового міхура і простати</t>
  </si>
  <si>
    <t>Проведення УЗД калитки</t>
  </si>
  <si>
    <t>Проведення УЗД плевральної порожнини</t>
  </si>
  <si>
    <t>Проведення УЗД жіночих тазових органів трансабдомінально</t>
  </si>
  <si>
    <t>Проведення УЗД жіночих тазових органів вагінальним датчиком</t>
  </si>
  <si>
    <t>Проведення УЗД лімфатичних вузлів</t>
  </si>
  <si>
    <t>Проведення УЗД молочних залоз</t>
  </si>
  <si>
    <t>Проведення УЗД-комплексу: матка+яйники+сечовий міхур</t>
  </si>
  <si>
    <t xml:space="preserve">Проведення УЗД-комплексу: матка піл час вагітності+пренатальне обстеження плоду </t>
  </si>
  <si>
    <t>Проведення УЗД слинних залоз</t>
  </si>
  <si>
    <t>Проведення УЗД м'яких тканин</t>
  </si>
  <si>
    <t>Проведення УЗД кісток і суглобів (1 сегмент)</t>
  </si>
  <si>
    <t>Проведення УЗД периферичних судин</t>
  </si>
  <si>
    <t>Проведення доплєрогафії судин із спектральним аналізом у постійному режимі</t>
  </si>
  <si>
    <t>Проведення доплєрогафії судин в імпульсовому режимі</t>
  </si>
  <si>
    <t>Проведення дослідження судин з кольоровими доплєрівським картуванням</t>
  </si>
  <si>
    <t>Проведення доплєрографії судин нижніх кінцівок</t>
  </si>
  <si>
    <t>Проведення транскраніальної доплєрографії судин головного мозку</t>
  </si>
  <si>
    <t xml:space="preserve">Проведення УЗД середостіння </t>
  </si>
  <si>
    <t>Проведення УЗД вилочкової залози</t>
  </si>
  <si>
    <t>Проведення  ехокардіоскопії</t>
  </si>
  <si>
    <t>Проведення  ехокардіоскопії з кольоровим картуванням</t>
  </si>
  <si>
    <t>Проведення УЗД при вагітності  у І триместрі</t>
  </si>
  <si>
    <t>Проведення УЗД при вагітності у ІІ триместрі</t>
  </si>
  <si>
    <t>Проведення УЗД при вагітності у ІІІ триместрі</t>
  </si>
  <si>
    <t>Проведення дуплексного сканування сонних артерій із заміром ТІМ (на апараті УЗД)</t>
  </si>
  <si>
    <t>Рентгенологічна діагностика</t>
  </si>
  <si>
    <t>Проведення мамографії у двох проекціях</t>
  </si>
  <si>
    <t>Проведення рентгеноскопії шлунково-кишкового тракту</t>
  </si>
  <si>
    <t>Проведення рентгенографії органів грудної клітки</t>
  </si>
  <si>
    <t>Проведення рентгенографії колінного суглоба</t>
  </si>
  <si>
    <t>Проведення флюорографії</t>
  </si>
  <si>
    <t>Проведення рентгенографії шийного відділу хребта</t>
  </si>
  <si>
    <t>Проведення рентгенографії грудного відділу хребта</t>
  </si>
  <si>
    <t>Проведення рентгенографії поперекового відділу хребта</t>
  </si>
  <si>
    <t>Проведення рентгенографії органів черевної порожнини</t>
  </si>
  <si>
    <t>Проведення рентгенографії кісток  черепа</t>
  </si>
  <si>
    <t xml:space="preserve">Проведення рентгенографії нирок </t>
  </si>
  <si>
    <t>Проведення рентгенографії кісток в одній проекції</t>
  </si>
  <si>
    <t>Проведення рентгенографії кісток в двох проекціях</t>
  </si>
  <si>
    <t>Проведення рентгенографії гомілково-ступневого суглобу</t>
  </si>
  <si>
    <t>Проведення рентгенографії ключиці</t>
  </si>
  <si>
    <t>Проведення рентгенографії лопаткової кістки</t>
  </si>
  <si>
    <t>Проведення рентгенографії плечового суглобу</t>
  </si>
  <si>
    <t>Проведення рентгенографії передпліччя</t>
  </si>
  <si>
    <t>Проведення рентгенографії зап'ястя</t>
  </si>
  <si>
    <t>Проведення рентгенографії кисті</t>
  </si>
  <si>
    <t>Проведення рентгенографії ребер</t>
  </si>
  <si>
    <t>Проведення рентгенографії тазових кісток</t>
  </si>
  <si>
    <t>Проведення рентгенографії кульшових суглобів</t>
  </si>
  <si>
    <t>Проведення рентгенографії п'яти</t>
  </si>
  <si>
    <t>Проведення рентгенографії  стопи</t>
  </si>
  <si>
    <t>Проведення рентгенографії  додаткових пазух нса</t>
  </si>
  <si>
    <t>Фізіотерапевтичні процедури</t>
  </si>
  <si>
    <t>Ультразвук</t>
  </si>
  <si>
    <t>10 процедур</t>
  </si>
  <si>
    <t>Д'арсонваль</t>
  </si>
  <si>
    <t>Ампліпульс</t>
  </si>
  <si>
    <t>8 процедур</t>
  </si>
  <si>
    <t>Ультрафіолетове опромінювання</t>
  </si>
  <si>
    <t>Ультрависокочастотна терапія</t>
  </si>
  <si>
    <t>Електрофорез (без урахування вартості медикаментів)</t>
  </si>
  <si>
    <t>Солюкс лампа (інфрачервоне випромінювання)</t>
  </si>
  <si>
    <t>7 процедур</t>
  </si>
  <si>
    <t>Небулайзерна терапія  (без урахування вартості медикаментів)</t>
  </si>
  <si>
    <t>Проведення інгаляцій (без урахування вартості медикаментів)</t>
  </si>
  <si>
    <t>Комбінована електротерапія</t>
  </si>
  <si>
    <t>Біотрон</t>
  </si>
  <si>
    <t>Медикаментозний електрофарез (без урахування вартості медикаментів)</t>
  </si>
  <si>
    <t>Проведення процедури на апараті "ЛУЧ"</t>
  </si>
  <si>
    <t>Проведення процедури на апараті "ІКВ"</t>
  </si>
  <si>
    <t>Озокеритопарафінове лікування</t>
  </si>
  <si>
    <t>Тубус-кварц</t>
  </si>
  <si>
    <t>Електрофорез ротової порожнини (без урахування вартості медикаментів)</t>
  </si>
  <si>
    <t>Діодинамометрія</t>
  </si>
  <si>
    <t>Фонофорез</t>
  </si>
  <si>
    <t>Індуктотермія</t>
  </si>
  <si>
    <t>Проведення електронейростимуляції</t>
  </si>
  <si>
    <t>Гальвано-грязелікування</t>
  </si>
  <si>
    <t>Проведення дециметрохвильової терапії</t>
  </si>
  <si>
    <t>Послуги, які надаються в умовах денного стаціонару</t>
  </si>
  <si>
    <t>Проведення внутрішньошкірної ін'єкції (без урахування вартості медикаментів)</t>
  </si>
  <si>
    <t>Проведення підшкірної інєкція (без урахування вартості медикаментів)</t>
  </si>
  <si>
    <t>Проведення внутрішньом'язевої ін'єкції (без урахування вартості медикаментів)</t>
  </si>
  <si>
    <t>Проведення внутрішньовенної ін'єкції (без урахування вартості медикаментів)</t>
  </si>
  <si>
    <t>Проведення внутрішньовенної інфузії  (без урахування вартості медикаментів)</t>
  </si>
  <si>
    <t>Проведення внутрішкірної алергічної проби (без урахування вартості медикаментів)</t>
  </si>
  <si>
    <t>Проведення забору венозної крові</t>
  </si>
  <si>
    <t>Проведення постановки внутрішньовенного катетру (без урахування вартості медичного засобу)</t>
  </si>
  <si>
    <t>Послуги, які надаються лікарями педіатричного профілю</t>
  </si>
  <si>
    <t>Проведення огляду дитячим гематологом</t>
  </si>
  <si>
    <t>Проведення огляду дитячим кардіоревматологом</t>
  </si>
  <si>
    <t>Проведення огляду дитячим алергологом</t>
  </si>
  <si>
    <t>Проведення огляду дитячим ендокринологом</t>
  </si>
  <si>
    <t>Проведення огляду дитячим неврологом</t>
  </si>
  <si>
    <t>Проведення огляду дитячим ортопедом-травматологом</t>
  </si>
  <si>
    <t>Проведення огляду дитячим хірургом</t>
  </si>
  <si>
    <t>Проведення огляду дитячим отоларингологом</t>
  </si>
  <si>
    <t>Проведення огляду дитячим інфекціоністом</t>
  </si>
  <si>
    <t>Проведення огляду дитячим гастроентерологом</t>
  </si>
  <si>
    <t>Проведення огляду дитячим офтальмологом</t>
  </si>
  <si>
    <t>Проведення огляду дитячим акушер-гінікологом</t>
  </si>
  <si>
    <t>Проведення огляду дитячим фізіотерапевтом</t>
  </si>
  <si>
    <t>Проведення огляду дитячим урологом</t>
  </si>
  <si>
    <t>Проведення огляду дитячим фтизіатром</t>
  </si>
  <si>
    <t>Ультразвукові обстеження педіатричного профілю</t>
  </si>
  <si>
    <t>Проведення УЗД-комплексу: печінка+жовчний міхур+жовчні протоки</t>
  </si>
  <si>
    <t>Проведення УЗД печінки</t>
  </si>
  <si>
    <t>Проведення УЗД кісток і суглобів</t>
  </si>
  <si>
    <t>Проведення УЗД підшлункової залози</t>
  </si>
  <si>
    <t>Проведення ехокардіоскопії з кольоровим картуванням</t>
  </si>
  <si>
    <t>Проведення УЗД сечового міхура з визначенням залишкової сечі у хлопчиків</t>
  </si>
  <si>
    <t>Проведення УЗД нирок і наднирників</t>
  </si>
  <si>
    <t>Проведення УЗД яєчка</t>
  </si>
  <si>
    <t>Проведення УЗД передміхурової залози у хлопчиків</t>
  </si>
  <si>
    <t>Проведення УЗД жіночих тазових органів у дівчаток</t>
  </si>
  <si>
    <t>Проведення УЗД-комплексу: печінка+жовчний міхур+наднирники+підшлункова залоза</t>
  </si>
  <si>
    <t>Проведення УЗД-комплексу: матка+яєчники+сечовий міхур у дівчаток</t>
  </si>
  <si>
    <t>Проведення УЗД грудних залоз у дівчаток</t>
  </si>
  <si>
    <t>Проведення УЗД у новонароджених</t>
  </si>
  <si>
    <t>Проведення УЗД внутрішніх органів</t>
  </si>
  <si>
    <t>Проведення УЗД комплексу: жовчний міхур+жовчні протоки</t>
  </si>
  <si>
    <t>Проведення доплєрогафії судин головного мозку</t>
  </si>
  <si>
    <t>Функціональні обстеження у педіатрії</t>
  </si>
  <si>
    <t>Проведення електрокардіоргами спокою</t>
  </si>
  <si>
    <t>Проведення електрокардіоргами з фізичним навантаженням</t>
  </si>
  <si>
    <t>Проведення електрокардіоргами з затримкою дихання</t>
  </si>
  <si>
    <t>Проведення електрокардіоргами на  варіабельність серцевого ритму</t>
  </si>
  <si>
    <t>Проведення ортостатичної проби</t>
  </si>
  <si>
    <t>Проведення кардіоінтервалографії</t>
  </si>
  <si>
    <t xml:space="preserve">Проведення добового моніторингу артеріального тиску </t>
  </si>
  <si>
    <t>Послуги, які надаються дитячими лікарями-хірургами</t>
  </si>
  <si>
    <t>Проведення розкриття пароніхій</t>
  </si>
  <si>
    <t>Проведення розкриття лімфаденіту</t>
  </si>
  <si>
    <t>Проведення видалення врослого нігтя</t>
  </si>
  <si>
    <t>Проведення розкриття нагноєних кист</t>
  </si>
  <si>
    <t>Проведення первинної хірургічної обробки ран</t>
  </si>
  <si>
    <t>Проведення первинної хірургічної обробки опіків з некректомією</t>
  </si>
  <si>
    <t>Проведення розкриття гематом</t>
  </si>
  <si>
    <t>Проведення френулотомії</t>
  </si>
  <si>
    <t>Проведення видалення доброякісної м'якотканинної пухлини (без урахування вартості медикаментів)</t>
  </si>
  <si>
    <t>Проведення операції з корекції полідактилії</t>
  </si>
  <si>
    <t>Проведення перев'язки рани</t>
  </si>
  <si>
    <t>Проведення гормональної склеротерапії  при гематонгіомах</t>
  </si>
  <si>
    <t>Послуги, які надаються дитячими лікарями-урологами</t>
  </si>
  <si>
    <t>Проведення перев'язки ран</t>
  </si>
  <si>
    <t>Проведення роз'єднання синехій</t>
  </si>
  <si>
    <t>Проведення розширення крайної плоті</t>
  </si>
  <si>
    <t>Проведення розсічення вкороченої вуздечки прутня</t>
  </si>
  <si>
    <t>Проведення вправлення парафіміозу</t>
  </si>
  <si>
    <t>Послуги, які надаються дитячими лікарями-травматологами</t>
  </si>
  <si>
    <t>Проведення накладання гіпсової пов'язки</t>
  </si>
  <si>
    <t>Проведення зняття гіпсової пов'язки</t>
  </si>
  <si>
    <t>Проведення пункції суглобів</t>
  </si>
  <si>
    <t>Проведення накладання фіксуючої пов'язки</t>
  </si>
  <si>
    <t>Проведення накладання стремен Павлика</t>
  </si>
  <si>
    <t>Проведення накладання шин Віленського</t>
  </si>
  <si>
    <t>Проведення накладання апарату Кошлі</t>
  </si>
  <si>
    <t>Проведення видалення металофіксатора при переломах</t>
  </si>
  <si>
    <t>Проведення накладання м'яких бандажів</t>
  </si>
  <si>
    <t>Послуги, які надаються дитячими лікарями-офтальмологами</t>
  </si>
  <si>
    <t>Проведення зовнішнього огляду з визначенням розмірів очних щілин ,рухомості повік тощо</t>
  </si>
  <si>
    <t>Проведення дослідження прямої і співдружньої зіничних реакцій на світло</t>
  </si>
  <si>
    <t xml:space="preserve">Проведення обстеження очного дна </t>
  </si>
  <si>
    <t>Проведення визначення чутливості рогівки та шкіри повік</t>
  </si>
  <si>
    <t>Проведення встановлення кута косоокості методом Грішберга</t>
  </si>
  <si>
    <t>Проведення проби Веста</t>
  </si>
  <si>
    <t>Проведення методу бокового (фокального освітлення)</t>
  </si>
  <si>
    <t>Проведення біомікроскопії в щілинній лампі</t>
  </si>
  <si>
    <t>Проведення дослідження у світлі, яке проходить</t>
  </si>
  <si>
    <t>Проведення прямої і зворотньої офтальмоскопії</t>
  </si>
  <si>
    <t>Проведення рефрактоскопії</t>
  </si>
  <si>
    <t>Проведення визначення гостроти зору</t>
  </si>
  <si>
    <t>Проведення дослідження біокулярного зору</t>
  </si>
  <si>
    <t>Проведення корекції запальних, дистрофічних, денегеративних захворуювань ока. які не потребують госпіталізації і хірургічного втручання (без урахування вартості медикаментів)</t>
  </si>
  <si>
    <t>Проведення підбору окулярів</t>
  </si>
  <si>
    <t>Проведення корекції  псевдоміопії, прогресуючої міопії, розладів акомодації (без урахування вартості медикаментів)</t>
  </si>
  <si>
    <t xml:space="preserve">Проведення видалення поверхневих сторонніх тіл шкіри повік та кон'юктиви </t>
  </si>
  <si>
    <t>Проведення розробки зорового режиму для дітей з порушенням зору</t>
  </si>
  <si>
    <t>Проведення вимірювання бінокулярної і монокулярної рефракції за допомогою динамічного фотоскіаскопірування</t>
  </si>
  <si>
    <t>Послуги, які надаються дитячими лікарями-отоларингологами</t>
  </si>
  <si>
    <t>Проведення розкриття паратонзилярного абсцесу</t>
  </si>
  <si>
    <t>Проведення розкриття фурункулу слухового проходу</t>
  </si>
  <si>
    <t>Проведення розкриття кисти мигдалика</t>
  </si>
  <si>
    <t>Видалення сторонніх тіл вуха</t>
  </si>
  <si>
    <t>Видалення сторонніх тіл носа</t>
  </si>
  <si>
    <t>Видалення сторонніх тіл мигдалика</t>
  </si>
  <si>
    <t>Проведення промивання лакун</t>
  </si>
  <si>
    <t>Проведення анемізації слизових оболонок носа</t>
  </si>
  <si>
    <t>Проведення промивання вух</t>
  </si>
  <si>
    <t>Проведення розкриття фурункулу носа</t>
  </si>
  <si>
    <t>Проведення промивання по Проектцу</t>
  </si>
  <si>
    <t>Проведення тампонування носа</t>
  </si>
  <si>
    <t>Проведення заливок при ларингітах</t>
  </si>
  <si>
    <t>Проведення люголізації</t>
  </si>
  <si>
    <t>Послуги, які надаються дитячими лікарями-гінекологами</t>
  </si>
  <si>
    <t>Проведення забору матеріалу вагінального вмісту для бактеріоскопічного та бактеріологічного дослідження</t>
  </si>
  <si>
    <t>Проведення забору матеріалу вагінального вмісту для  визначення ступеню естрогенної насиченості</t>
  </si>
  <si>
    <t>Проведення видалення сторонніх тіл з піхви</t>
  </si>
  <si>
    <t>Проведення обробки легких травм зовнішніх статевих органів</t>
  </si>
  <si>
    <t>Проведення роз'єднання синеній малих статевих губ</t>
  </si>
  <si>
    <t>Проведення санації піхви</t>
  </si>
  <si>
    <t>Проведення підшкірних проб з естрогенами</t>
  </si>
  <si>
    <t>Проведення бімануального та ректоабдомінального обстеження</t>
  </si>
  <si>
    <t xml:space="preserve">Проведення інтерпритації даних лабораторних та інструментальних обстежень </t>
  </si>
  <si>
    <t>Проведення консультацій з питань контрацепції</t>
  </si>
  <si>
    <t>Проведення профілактичного огляду</t>
  </si>
  <si>
    <t>Проведення навчання щодо статевого виховання підлітків</t>
  </si>
  <si>
    <t>Проведення консультацій з ведення карти самообстеження з біомаркерами плідності при розладах овально-менструального циклу</t>
  </si>
  <si>
    <t>Проведення оцінки ступеня статевого дозрівання та проведення стимуляційних проб</t>
  </si>
  <si>
    <t>Процедури відновного лікування</t>
  </si>
  <si>
    <t>масажист</t>
  </si>
  <si>
    <t>Масаж шиї</t>
  </si>
  <si>
    <t>Масаж комірцевої ділянки</t>
  </si>
  <si>
    <t>Масаж верхньої кінцівки надпліччя та ділянки лопатки</t>
  </si>
  <si>
    <t>Масаж плечового суглоба</t>
  </si>
  <si>
    <t>Масаж ліктьового суглоба</t>
  </si>
  <si>
    <t>Масаж верхньої кінцівки</t>
  </si>
  <si>
    <t>Масаж  променево-зап'ястного суглоба</t>
  </si>
  <si>
    <t>Масаж кисті та передпліччя</t>
  </si>
  <si>
    <t xml:space="preserve">Масаж грудної клітки </t>
  </si>
  <si>
    <t>Масаж передньої черевної стінки</t>
  </si>
  <si>
    <t xml:space="preserve">Масаж попереково-крижової ділянки </t>
  </si>
  <si>
    <t>Сегментарний масаж попереково-крижової ділянки</t>
  </si>
  <si>
    <t>Сегментарний масаж шийно-грудного відділу хребта</t>
  </si>
  <si>
    <t>Масаж нижньої кінцівки</t>
  </si>
  <si>
    <t>Масаж нижньої кінцівки та поперекової ділянки</t>
  </si>
  <si>
    <t>Масаж тазостегнового суглобу</t>
  </si>
  <si>
    <t>Масаж колінного суглобу</t>
  </si>
  <si>
    <t>Масаж гомілково-ступневого суглобу</t>
  </si>
  <si>
    <t>Масаж ступні та гомілки</t>
  </si>
  <si>
    <t>Проведення кінезіотейпування</t>
  </si>
  <si>
    <t>мол.медсестра</t>
  </si>
  <si>
    <t>Проведення мануальної терапії</t>
  </si>
  <si>
    <t>Проведення розробки рухів після перелому</t>
  </si>
  <si>
    <t>Проведення заняття на профілакторії Євмінова</t>
  </si>
  <si>
    <t>Проведення заняття на тренажерах</t>
  </si>
  <si>
    <t>Групові заняття з пілатесу</t>
  </si>
  <si>
    <t>Групові заняття з кінезіотерапії</t>
  </si>
  <si>
    <t>Проведення механотерапії</t>
  </si>
  <si>
    <t>Індивідуальні заняття при травмах після операцій на хребті</t>
  </si>
  <si>
    <t>Групові заняття  при травмах після операції на хребті</t>
  </si>
  <si>
    <t>Індивідуальні заняття після іммоблізації</t>
  </si>
  <si>
    <t>Групові заняття після іммоблізації</t>
  </si>
  <si>
    <t>Групові заняття при сколіозі</t>
  </si>
  <si>
    <t>Водні процедури</t>
  </si>
  <si>
    <t>Аквафітнес</t>
  </si>
  <si>
    <t>Інструктор ЛФК</t>
  </si>
  <si>
    <t>Дитяче плавання</t>
  </si>
  <si>
    <t>Перлинні ванни</t>
  </si>
  <si>
    <t>Циркулярний душ</t>
  </si>
  <si>
    <t>Душ Шарко</t>
  </si>
  <si>
    <t>Підводний душ-масаж</t>
  </si>
  <si>
    <t>Лікувальні ванни (без урахування вартості ліків)</t>
  </si>
  <si>
    <t>Чотирьохкамерні ванни</t>
  </si>
  <si>
    <t>Двохкамерні ванни</t>
  </si>
  <si>
    <t>Послуги, які надаються лікарем-стоматологом</t>
  </si>
  <si>
    <t>Проведення  провідникового знеболення (без урахування вартості ліків)</t>
  </si>
  <si>
    <t>лікар стоматолог</t>
  </si>
  <si>
    <t>Проведення  інфільтраційного знеболення (без урахування вартості ліків)</t>
  </si>
  <si>
    <t>Проведення аплікаційного знеболення (без урахування вартості ліків)</t>
  </si>
  <si>
    <t>Проведення аналізу  прицільної рентгенограми</t>
  </si>
  <si>
    <t>Проведення аналізу  панорамної рентгенограми</t>
  </si>
  <si>
    <t>Заповнення та проведення аналізу одонтопародонтограми</t>
  </si>
  <si>
    <t>Проведення знімання м'якого зубного нальоту (1 зубний ряд)</t>
  </si>
  <si>
    <t>Проведення знімання зубного каменю та нальоту інструментарним способом з усіх зубів</t>
  </si>
  <si>
    <t>Проведення знімання зубного каменю та нальоту  ультразвуковим способом з усіх зубів</t>
  </si>
  <si>
    <t>Проведення санації 1 (одного) зуба при поверхневому і середньому карієсі (без накладання пломби)</t>
  </si>
  <si>
    <t>Проведення санації 1 (одного) зуба при глубокому  карієсі (без накладання пломби)</t>
  </si>
  <si>
    <t>Усування дефекту пломби</t>
  </si>
  <si>
    <t xml:space="preserve">Проведення препарування  каріозної порожнини (або трепанація коронки) </t>
  </si>
  <si>
    <t>Проведення накладання девіталізуючої пасти та пов'язки (без урахування вартості матеріалів)</t>
  </si>
  <si>
    <t>Проведення пульпотомії</t>
  </si>
  <si>
    <t>Проведення екстирпації одного кореня зуба</t>
  </si>
  <si>
    <t>Проведення пломбування одного каналу кореня зуба пастою, що полімерізується (без урахування вартості матеріалів)</t>
  </si>
  <si>
    <t>Проведення пломбування одного каналу кореня зуба пастою, що полімерізується та гутаперчивими штифтами (без урахування вартості матеріалів)</t>
  </si>
  <si>
    <t>Проведення інструментальної та медикаментозної обробки одного каналу зуба (без урахування вартості матеріалів)</t>
  </si>
  <si>
    <t>Проведення механічного та хімічного розширення облітерованого каналу зуба</t>
  </si>
  <si>
    <t>Проведення розпломбування кореневого каналу зуба</t>
  </si>
  <si>
    <t>Проведення накладання лікувальної пов'язки при лікуванні карієсу та його ускладненнях (без урахування вартості матеріалів)</t>
  </si>
  <si>
    <t>Проведення видалення постійної пломби</t>
  </si>
  <si>
    <t>Проведення накладання тимчасової пломби (без урахування вартості матеріалів)</t>
  </si>
  <si>
    <t>Проведення видалення тимчасової пломби</t>
  </si>
  <si>
    <t>Проведення накладання пломби при лікуванні карієсу та його ускладнень із світлополімерного матеріалу (без урахування вартості матеріалів)</t>
  </si>
  <si>
    <t>Проведення відновлення зруйновоної коронки однокореневого зуба за допомогою дротяного каркасу, анкерних штифтів та світлополімерного матеріалу (без урахування вартості матеріалів)</t>
  </si>
  <si>
    <t>Проведення відновлення зруйнованої коронки багатокореневого зуба за допомогою дротяного каркасу, анкерних штифтів  та світлополімерних матеріалів (без урахування вартості матеріалів)</t>
  </si>
  <si>
    <t>Оформлення документів</t>
  </si>
  <si>
    <t>Ф№028/о "Консультаційний висновок спеціаліста"</t>
  </si>
  <si>
    <t>Ф№027/о "Виписка з медичної карти амбулаторного (стаціонарного) хворого"</t>
  </si>
  <si>
    <t>Ф№063/о "Карта профілактичних щеплень"</t>
  </si>
  <si>
    <t>Ф№063/о "Карта імунізації"</t>
  </si>
  <si>
    <t>Ф№072/о "Карта санаторно-курортна"</t>
  </si>
  <si>
    <t xml:space="preserve">Ф№079-1/о "Медична довідка про стан здоров'я дитини, яка виїжджає за кордон на відпочинок та оздоровлення" </t>
  </si>
  <si>
    <t xml:space="preserve">Довідка-дозвіл для відвідування басейну </t>
  </si>
  <si>
    <t>терапевт (лікар ЗП-СЛ, педіатр)</t>
  </si>
  <si>
    <t>дерматолог</t>
  </si>
  <si>
    <t>інфекціоніст</t>
  </si>
  <si>
    <t>Калькуляція вартості інтернатури за 1 год.</t>
  </si>
  <si>
    <t>Норма годин</t>
  </si>
  <si>
    <t>Ставка погодинної оплати у відсотках до окладу працівників І тарифного  розряду</t>
  </si>
  <si>
    <t>Оклад працівників 1 тарифного розряду</t>
  </si>
  <si>
    <t>Зарплата</t>
  </si>
  <si>
    <t>Нарахування на зарплату 22%</t>
  </si>
  <si>
    <t>1 год</t>
  </si>
  <si>
    <t>1921*4,55:100 = 87,41 з/ та за 1 год.</t>
  </si>
  <si>
    <t>Родчук Г.М.</t>
  </si>
  <si>
    <t xml:space="preserve">Нарахування на зар.плату </t>
  </si>
  <si>
    <t>Коефіцієнт  накладних витрат</t>
  </si>
  <si>
    <t>Нарахування на зар.плату</t>
  </si>
  <si>
    <t>Рентабель-ність</t>
  </si>
  <si>
    <t xml:space="preserve">Нарахування на зарплату </t>
  </si>
  <si>
    <r>
      <t>Знеболення ін</t>
    </r>
    <r>
      <rPr>
        <sz val="11"/>
        <color indexed="8"/>
        <rFont val="Times New Roman"/>
        <family val="1"/>
        <charset val="204"/>
      </rPr>
      <t>΄єкційне</t>
    </r>
  </si>
  <si>
    <r>
      <rPr>
        <sz val="11"/>
        <color indexed="8"/>
        <rFont val="Times New Roman"/>
        <family val="1"/>
        <charset val="204"/>
      </rPr>
      <t>Альвеоліт:  лікування альвеоліта кюретажем ямка, розтин гнійного осередку, альвеолектомія, розкриття абсцесу, дренування</t>
    </r>
  </si>
  <si>
    <r>
      <t>Перев</t>
    </r>
    <r>
      <rPr>
        <sz val="11"/>
        <color indexed="8"/>
        <rFont val="Times New Roman"/>
        <family val="1"/>
        <charset val="204"/>
      </rPr>
      <t>΄язка після складного хірургічного втручання</t>
    </r>
  </si>
  <si>
    <t>Лікування 1 зуба при поверхневому (середньому)  карієсі (без накладання пломби</t>
  </si>
  <si>
    <t>Видача витягу з історії хвороби</t>
  </si>
  <si>
    <t>Нарахування на 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</si>
</sst>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_₴_-;\-* #,##0.00_₴_-;_-* &quot;-&quot;??_₴_-;_-@_-"/>
    <numFmt numFmtId="166" formatCode="_-* #,##0_₴_-;\-* #,##0_₴_-;_-* &quot;-&quot;??_₴_-;_-@_-"/>
  </numFmts>
  <fonts count="6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 Cyr"/>
      <charset val="204"/>
    </font>
    <font>
      <sz val="12"/>
      <color theme="1"/>
      <name val="Calibri"/>
      <family val="2"/>
      <charset val="204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 Cyr"/>
      <family val="1"/>
      <charset val="1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3"/>
      <name val="Times New Roman"/>
      <family val="1"/>
      <charset val="1"/>
    </font>
    <font>
      <sz val="13"/>
      <name val="Times New Roman"/>
      <family val="1"/>
      <charset val="204"/>
    </font>
    <font>
      <b/>
      <sz val="14"/>
      <name val="Arial Cyr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b/>
      <sz val="8"/>
      <name val="Arial Cyr"/>
      <charset val="204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"/>
      <color theme="1"/>
      <name val="Calibri"/>
      <family val="2"/>
      <charset val="204"/>
      <scheme val="minor"/>
    </font>
    <font>
      <sz val="2"/>
      <color theme="1"/>
      <name val="Calibri"/>
      <family val="2"/>
      <charset val="204"/>
      <scheme val="minor"/>
    </font>
    <font>
      <b/>
      <i/>
      <sz val="2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4" fillId="0" borderId="0"/>
    <xf numFmtId="0" fontId="33" fillId="0" borderId="0"/>
    <xf numFmtId="165" fontId="37" fillId="0" borderId="0" applyFont="0" applyFill="0" applyBorder="0" applyAlignment="0" applyProtection="0"/>
    <xf numFmtId="0" fontId="47" fillId="0" borderId="0"/>
    <xf numFmtId="165" fontId="47" fillId="0" borderId="0" applyFont="0" applyFill="0" applyBorder="0" applyAlignment="0" applyProtection="0"/>
    <xf numFmtId="0" fontId="47" fillId="0" borderId="0"/>
  </cellStyleXfs>
  <cellXfs count="606">
    <xf numFmtId="0" fontId="0" fillId="0" borderId="0" xfId="0"/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4" fontId="6" fillId="0" borderId="1" xfId="0" applyNumberFormat="1" applyFont="1" applyBorder="1"/>
    <xf numFmtId="0" fontId="5" fillId="0" borderId="1" xfId="0" applyFont="1" applyBorder="1" applyAlignment="1">
      <alignment wrapText="1"/>
    </xf>
    <xf numFmtId="0" fontId="6" fillId="0" borderId="1" xfId="0" applyNumberFormat="1" applyFont="1" applyBorder="1"/>
    <xf numFmtId="2" fontId="6" fillId="0" borderId="1" xfId="0" applyNumberFormat="1" applyFont="1" applyBorder="1"/>
    <xf numFmtId="2" fontId="7" fillId="2" borderId="1" xfId="0" applyNumberFormat="1" applyFont="1" applyFill="1" applyBorder="1" applyAlignment="1"/>
    <xf numFmtId="2" fontId="6" fillId="0" borderId="2" xfId="0" applyNumberFormat="1" applyFont="1" applyBorder="1"/>
    <xf numFmtId="2" fontId="8" fillId="2" borderId="1" xfId="0" applyNumberFormat="1" applyFont="1" applyFill="1" applyBorder="1" applyAlignment="1">
      <alignment wrapText="1"/>
    </xf>
    <xf numFmtId="2" fontId="6" fillId="0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2" fontId="9" fillId="2" borderId="1" xfId="0" applyNumberFormat="1" applyFont="1" applyFill="1" applyBorder="1"/>
    <xf numFmtId="2" fontId="6" fillId="0" borderId="3" xfId="0" applyNumberFormat="1" applyFont="1" applyBorder="1"/>
    <xf numFmtId="2" fontId="6" fillId="2" borderId="1" xfId="0" applyNumberFormat="1" applyFont="1" applyFill="1" applyBorder="1"/>
    <xf numFmtId="2" fontId="10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2" fontId="11" fillId="2" borderId="1" xfId="0" applyNumberFormat="1" applyFont="1" applyFill="1" applyBorder="1" applyAlignment="1">
      <alignment horizontal="right" wrapText="1"/>
    </xf>
    <xf numFmtId="1" fontId="0" fillId="0" borderId="0" xfId="0" applyNumberFormat="1"/>
    <xf numFmtId="1" fontId="6" fillId="0" borderId="1" xfId="0" applyNumberFormat="1" applyFont="1" applyBorder="1" applyAlignment="1">
      <alignment wrapText="1"/>
    </xf>
    <xf numFmtId="1" fontId="6" fillId="0" borderId="1" xfId="0" applyNumberFormat="1" applyFont="1" applyBorder="1"/>
    <xf numFmtId="0" fontId="0" fillId="0" borderId="0" xfId="0"/>
    <xf numFmtId="0" fontId="12" fillId="0" borderId="0" xfId="0" applyFont="1"/>
    <xf numFmtId="0" fontId="13" fillId="0" borderId="0" xfId="0" applyFont="1"/>
    <xf numFmtId="4" fontId="13" fillId="0" borderId="0" xfId="0" applyNumberFormat="1" applyFont="1"/>
    <xf numFmtId="0" fontId="15" fillId="0" borderId="0" xfId="1" applyFont="1"/>
    <xf numFmtId="0" fontId="19" fillId="0" borderId="1" xfId="1" applyFont="1" applyBorder="1"/>
    <xf numFmtId="0" fontId="19" fillId="0" borderId="1" xfId="1" applyFont="1" applyBorder="1" applyAlignment="1">
      <alignment horizontal="center" vertical="center" wrapText="1"/>
    </xf>
    <xf numFmtId="0" fontId="14" fillId="0" borderId="0" xfId="1" applyFont="1"/>
    <xf numFmtId="0" fontId="20" fillId="0" borderId="1" xfId="1" applyFont="1" applyBorder="1"/>
    <xf numFmtId="0" fontId="18" fillId="0" borderId="1" xfId="1" applyFont="1" applyBorder="1"/>
    <xf numFmtId="0" fontId="21" fillId="0" borderId="1" xfId="1" applyFont="1" applyBorder="1"/>
    <xf numFmtId="2" fontId="21" fillId="0" borderId="1" xfId="1" applyNumberFormat="1" applyFont="1" applyBorder="1"/>
    <xf numFmtId="2" fontId="21" fillId="3" borderId="1" xfId="1" applyNumberFormat="1" applyFont="1" applyFill="1" applyBorder="1"/>
    <xf numFmtId="2" fontId="22" fillId="3" borderId="1" xfId="1" applyNumberFormat="1" applyFont="1" applyFill="1" applyBorder="1"/>
    <xf numFmtId="0" fontId="15" fillId="0" borderId="1" xfId="1" applyFont="1" applyBorder="1"/>
    <xf numFmtId="0" fontId="21" fillId="0" borderId="1" xfId="1" applyFont="1" applyBorder="1" applyAlignment="1">
      <alignment horizontal="right" vertical="center"/>
    </xf>
    <xf numFmtId="0" fontId="18" fillId="0" borderId="1" xfId="1" applyFont="1" applyBorder="1" applyAlignment="1">
      <alignment vertical="top" wrapText="1"/>
    </xf>
    <xf numFmtId="2" fontId="22" fillId="0" borderId="1" xfId="1" applyNumberFormat="1" applyFont="1" applyBorder="1"/>
    <xf numFmtId="0" fontId="23" fillId="0" borderId="1" xfId="1" applyFont="1" applyBorder="1" applyAlignment="1">
      <alignment vertical="top" wrapText="1"/>
    </xf>
    <xf numFmtId="2" fontId="16" fillId="3" borderId="1" xfId="1" applyNumberFormat="1" applyFont="1" applyFill="1" applyBorder="1"/>
    <xf numFmtId="0" fontId="23" fillId="0" borderId="1" xfId="1" applyFont="1" applyBorder="1"/>
    <xf numFmtId="0" fontId="21" fillId="0" borderId="1" xfId="1" applyFont="1" applyBorder="1" applyAlignment="1">
      <alignment vertical="center"/>
    </xf>
    <xf numFmtId="2" fontId="21" fillId="0" borderId="1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horizontal="right" vertical="center"/>
    </xf>
    <xf numFmtId="2" fontId="21" fillId="0" borderId="1" xfId="1" applyNumberFormat="1" applyFont="1" applyBorder="1" applyAlignment="1">
      <alignment horizontal="right" vertical="center"/>
    </xf>
    <xf numFmtId="0" fontId="20" fillId="0" borderId="1" xfId="1" applyFont="1" applyFill="1" applyBorder="1"/>
    <xf numFmtId="0" fontId="18" fillId="0" borderId="1" xfId="1" applyFont="1" applyFill="1" applyBorder="1"/>
    <xf numFmtId="0" fontId="21" fillId="0" borderId="1" xfId="1" applyFont="1" applyFill="1" applyBorder="1"/>
    <xf numFmtId="2" fontId="21" fillId="0" borderId="1" xfId="1" applyNumberFormat="1" applyFont="1" applyFill="1" applyBorder="1"/>
    <xf numFmtId="0" fontId="21" fillId="0" borderId="1" xfId="1" applyFont="1" applyFill="1" applyBorder="1" applyAlignment="1">
      <alignment horizontal="right" vertical="center"/>
    </xf>
    <xf numFmtId="0" fontId="15" fillId="0" borderId="1" xfId="1" applyFont="1" applyFill="1" applyBorder="1"/>
    <xf numFmtId="0" fontId="21" fillId="0" borderId="1" xfId="1" applyFont="1" applyFill="1" applyBorder="1" applyAlignment="1">
      <alignment vertical="center"/>
    </xf>
    <xf numFmtId="2" fontId="21" fillId="0" borderId="1" xfId="1" applyNumberFormat="1" applyFont="1" applyFill="1" applyBorder="1" applyAlignment="1">
      <alignment vertical="center"/>
    </xf>
    <xf numFmtId="0" fontId="16" fillId="0" borderId="1" xfId="1" applyFont="1" applyFill="1" applyBorder="1"/>
    <xf numFmtId="0" fontId="16" fillId="0" borderId="1" xfId="1" applyFont="1" applyBorder="1"/>
    <xf numFmtId="0" fontId="18" fillId="0" borderId="1" xfId="1" applyFont="1" applyBorder="1" applyAlignment="1">
      <alignment vertical="center"/>
    </xf>
    <xf numFmtId="0" fontId="23" fillId="0" borderId="1" xfId="1" applyFont="1" applyFill="1" applyBorder="1"/>
    <xf numFmtId="2" fontId="20" fillId="0" borderId="1" xfId="1" applyNumberFormat="1" applyFont="1" applyBorder="1"/>
    <xf numFmtId="0" fontId="20" fillId="0" borderId="1" xfId="1" applyFont="1" applyBorder="1" applyAlignment="1">
      <alignment horizontal="right" vertical="center"/>
    </xf>
    <xf numFmtId="0" fontId="24" fillId="0" borderId="1" xfId="1" applyFont="1" applyBorder="1"/>
    <xf numFmtId="0" fontId="25" fillId="0" borderId="1" xfId="1" applyFont="1" applyBorder="1"/>
    <xf numFmtId="0" fontId="18" fillId="0" borderId="1" xfId="1" applyFont="1" applyBorder="1" applyAlignment="1">
      <alignment wrapText="1"/>
    </xf>
    <xf numFmtId="2" fontId="26" fillId="3" borderId="1" xfId="1" applyNumberFormat="1" applyFont="1" applyFill="1" applyBorder="1" applyAlignment="1">
      <alignment horizontal="right" vertical="center"/>
    </xf>
    <xf numFmtId="2" fontId="22" fillId="3" borderId="1" xfId="1" applyNumberFormat="1" applyFont="1" applyFill="1" applyBorder="1" applyAlignment="1">
      <alignment horizontal="right" vertical="center"/>
    </xf>
    <xf numFmtId="2" fontId="21" fillId="3" borderId="1" xfId="1" applyNumberFormat="1" applyFont="1" applyFill="1" applyBorder="1" applyAlignment="1">
      <alignment horizontal="right" vertical="center"/>
    </xf>
    <xf numFmtId="0" fontId="16" fillId="0" borderId="1" xfId="1" applyFont="1" applyBorder="1" applyAlignment="1">
      <alignment vertical="top" wrapText="1"/>
    </xf>
    <xf numFmtId="0" fontId="18" fillId="0" borderId="1" xfId="1" applyFont="1" applyBorder="1" applyAlignment="1">
      <alignment vertical="center" wrapText="1"/>
    </xf>
    <xf numFmtId="0" fontId="21" fillId="0" borderId="1" xfId="1" applyFont="1" applyBorder="1" applyAlignment="1">
      <alignment vertical="center" wrapText="1"/>
    </xf>
    <xf numFmtId="2" fontId="21" fillId="0" borderId="1" xfId="1" applyNumberFormat="1" applyFont="1" applyBorder="1" applyAlignment="1">
      <alignment horizontal="right"/>
    </xf>
    <xf numFmtId="2" fontId="21" fillId="3" borderId="1" xfId="1" applyNumberFormat="1" applyFont="1" applyFill="1" applyBorder="1" applyAlignment="1">
      <alignment horizontal="right"/>
    </xf>
    <xf numFmtId="0" fontId="20" fillId="0" borderId="1" xfId="1" applyFont="1" applyBorder="1" applyAlignment="1">
      <alignment vertical="center" wrapText="1"/>
    </xf>
    <xf numFmtId="0" fontId="18" fillId="0" borderId="1" xfId="1" applyFont="1" applyFill="1" applyBorder="1" applyAlignment="1">
      <alignment vertical="center" wrapText="1"/>
    </xf>
    <xf numFmtId="0" fontId="21" fillId="0" borderId="1" xfId="1" applyFont="1" applyFill="1" applyBorder="1" applyAlignment="1">
      <alignment vertical="center" wrapText="1"/>
    </xf>
    <xf numFmtId="0" fontId="21" fillId="0" borderId="1" xfId="1" applyFont="1" applyFill="1" applyBorder="1" applyAlignment="1">
      <alignment horizontal="right" vertical="center" wrapText="1"/>
    </xf>
    <xf numFmtId="0" fontId="20" fillId="0" borderId="1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49" fontId="28" fillId="0" borderId="1" xfId="1" applyNumberFormat="1" applyFont="1" applyBorder="1" applyAlignment="1">
      <alignment vertical="center" wrapText="1"/>
    </xf>
    <xf numFmtId="0" fontId="28" fillId="0" borderId="1" xfId="1" applyFont="1" applyFill="1" applyBorder="1" applyAlignment="1">
      <alignment vertical="center" wrapText="1"/>
    </xf>
    <xf numFmtId="2" fontId="21" fillId="0" borderId="1" xfId="1" applyNumberFormat="1" applyFont="1" applyBorder="1" applyAlignment="1">
      <alignment horizontal="right" vertical="center" wrapText="1"/>
    </xf>
    <xf numFmtId="2" fontId="15" fillId="3" borderId="1" xfId="1" applyNumberFormat="1" applyFont="1" applyFill="1" applyBorder="1" applyAlignment="1">
      <alignment horizontal="right" vertical="center"/>
    </xf>
    <xf numFmtId="49" fontId="18" fillId="0" borderId="1" xfId="1" applyNumberFormat="1" applyFont="1" applyBorder="1" applyAlignment="1">
      <alignment vertical="center" wrapText="1"/>
    </xf>
    <xf numFmtId="49" fontId="29" fillId="0" borderId="1" xfId="1" applyNumberFormat="1" applyFont="1" applyBorder="1" applyAlignment="1">
      <alignment vertical="center" wrapText="1"/>
    </xf>
    <xf numFmtId="0" fontId="30" fillId="0" borderId="1" xfId="1" applyFont="1" applyFill="1" applyBorder="1" applyAlignment="1">
      <alignment vertical="center" wrapText="1"/>
    </xf>
    <xf numFmtId="2" fontId="21" fillId="0" borderId="1" xfId="1" applyNumberFormat="1" applyFont="1" applyBorder="1" applyAlignment="1">
      <alignment vertical="center" wrapText="1"/>
    </xf>
    <xf numFmtId="0" fontId="23" fillId="0" borderId="1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vertical="top" wrapText="1"/>
    </xf>
    <xf numFmtId="0" fontId="21" fillId="0" borderId="1" xfId="1" applyFont="1" applyFill="1" applyBorder="1" applyAlignment="1">
      <alignment vertical="top" wrapText="1"/>
    </xf>
    <xf numFmtId="2" fontId="22" fillId="3" borderId="1" xfId="1" applyNumberFormat="1" applyFont="1" applyFill="1" applyBorder="1" applyAlignment="1">
      <alignment horizontal="right"/>
    </xf>
    <xf numFmtId="0" fontId="16" fillId="0" borderId="1" xfId="1" applyFont="1" applyFill="1" applyBorder="1" applyAlignment="1">
      <alignment vertical="top" wrapText="1"/>
    </xf>
    <xf numFmtId="0" fontId="21" fillId="0" borderId="1" xfId="1" applyFont="1" applyFill="1" applyBorder="1" applyAlignment="1">
      <alignment horizontal="right" vertical="top" wrapText="1"/>
    </xf>
    <xf numFmtId="0" fontId="15" fillId="0" borderId="0" xfId="1" applyFont="1" applyBorder="1"/>
    <xf numFmtId="0" fontId="15" fillId="0" borderId="4" xfId="1" applyFont="1" applyBorder="1"/>
    <xf numFmtId="0" fontId="21" fillId="0" borderId="1" xfId="1" applyFont="1" applyBorder="1" applyAlignment="1">
      <alignment horizontal="right"/>
    </xf>
    <xf numFmtId="0" fontId="26" fillId="0" borderId="1" xfId="1" applyFont="1" applyBorder="1"/>
    <xf numFmtId="0" fontId="18" fillId="0" borderId="0" xfId="1" applyFont="1" applyBorder="1"/>
    <xf numFmtId="0" fontId="18" fillId="0" borderId="4" xfId="1" applyFont="1" applyBorder="1"/>
    <xf numFmtId="0" fontId="28" fillId="0" borderId="1" xfId="1" applyFont="1" applyBorder="1"/>
    <xf numFmtId="0" fontId="31" fillId="0" borderId="1" xfId="1" applyFont="1" applyBorder="1" applyAlignment="1">
      <alignment wrapText="1"/>
    </xf>
    <xf numFmtId="2" fontId="19" fillId="0" borderId="1" xfId="1" applyNumberFormat="1" applyFont="1" applyBorder="1" applyAlignment="1">
      <alignment vertical="center"/>
    </xf>
    <xf numFmtId="2" fontId="19" fillId="0" borderId="1" xfId="1" applyNumberFormat="1" applyFont="1" applyBorder="1"/>
    <xf numFmtId="2" fontId="21" fillId="0" borderId="1" xfId="1" applyNumberFormat="1" applyFont="1" applyBorder="1" applyAlignment="1"/>
    <xf numFmtId="0" fontId="32" fillId="0" borderId="0" xfId="1" applyFont="1"/>
    <xf numFmtId="0" fontId="31" fillId="0" borderId="1" xfId="1" applyFont="1" applyFill="1" applyBorder="1" applyAlignment="1">
      <alignment vertical="center" wrapText="1"/>
    </xf>
    <xf numFmtId="49" fontId="18" fillId="0" borderId="1" xfId="1" applyNumberFormat="1" applyFont="1" applyBorder="1"/>
    <xf numFmtId="0" fontId="18" fillId="0" borderId="1" xfId="1" applyFont="1" applyBorder="1" applyAlignment="1">
      <alignment horizontal="left"/>
    </xf>
    <xf numFmtId="0" fontId="21" fillId="0" borderId="1" xfId="1" applyFont="1" applyFill="1" applyBorder="1" applyAlignment="1">
      <alignment wrapText="1"/>
    </xf>
    <xf numFmtId="2" fontId="22" fillId="3" borderId="1" xfId="1" applyNumberFormat="1" applyFont="1" applyFill="1" applyBorder="1" applyAlignment="1"/>
    <xf numFmtId="0" fontId="21" fillId="0" borderId="1" xfId="1" applyFont="1" applyBorder="1" applyAlignment="1"/>
    <xf numFmtId="0" fontId="21" fillId="0" borderId="1" xfId="1" applyFont="1" applyFill="1" applyBorder="1" applyAlignment="1">
      <alignment horizontal="right"/>
    </xf>
    <xf numFmtId="0" fontId="31" fillId="0" borderId="1" xfId="1" applyFont="1" applyFill="1" applyBorder="1" applyAlignment="1">
      <alignment vertical="top" wrapText="1"/>
    </xf>
    <xf numFmtId="0" fontId="31" fillId="0" borderId="0" xfId="1" applyFont="1" applyFill="1" applyBorder="1" applyAlignment="1">
      <alignment vertical="center" wrapText="1"/>
    </xf>
    <xf numFmtId="0" fontId="21" fillId="0" borderId="0" xfId="1" applyFont="1" applyBorder="1" applyAlignment="1">
      <alignment horizontal="right" vertical="center"/>
    </xf>
    <xf numFmtId="2" fontId="21" fillId="0" borderId="0" xfId="1" applyNumberFormat="1" applyFont="1" applyBorder="1" applyAlignment="1">
      <alignment horizontal="right" vertical="center"/>
    </xf>
    <xf numFmtId="2" fontId="26" fillId="3" borderId="0" xfId="1" applyNumberFormat="1" applyFont="1" applyFill="1" applyBorder="1" applyAlignment="1">
      <alignment horizontal="right" vertical="center"/>
    </xf>
    <xf numFmtId="2" fontId="20" fillId="0" borderId="0" xfId="1" applyNumberFormat="1" applyFont="1" applyBorder="1" applyAlignment="1">
      <alignment horizontal="left" vertical="center"/>
    </xf>
    <xf numFmtId="0" fontId="14" fillId="0" borderId="0" xfId="1"/>
    <xf numFmtId="0" fontId="20" fillId="0" borderId="0" xfId="1" applyFont="1"/>
    <xf numFmtId="0" fontId="20" fillId="0" borderId="0" xfId="1" applyFont="1" applyAlignment="1">
      <alignment horizontal="left"/>
    </xf>
    <xf numFmtId="0" fontId="20" fillId="0" borderId="0" xfId="1" applyFont="1" applyFill="1" applyBorder="1"/>
    <xf numFmtId="0" fontId="33" fillId="0" borderId="0" xfId="2"/>
    <xf numFmtId="0" fontId="34" fillId="0" borderId="0" xfId="2" applyFont="1"/>
    <xf numFmtId="0" fontId="12" fillId="0" borderId="0" xfId="2" applyFont="1"/>
    <xf numFmtId="0" fontId="12" fillId="0" borderId="0" xfId="2" applyFont="1" applyAlignment="1"/>
    <xf numFmtId="0" fontId="35" fillId="0" borderId="5" xfId="2" applyFont="1" applyBorder="1" applyAlignment="1"/>
    <xf numFmtId="0" fontId="35" fillId="0" borderId="6" xfId="2" applyFont="1" applyBorder="1" applyAlignment="1">
      <alignment horizontal="center" wrapText="1"/>
    </xf>
    <xf numFmtId="0" fontId="12" fillId="0" borderId="7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wrapText="1"/>
    </xf>
    <xf numFmtId="0" fontId="12" fillId="0" borderId="10" xfId="2" applyFont="1" applyBorder="1" applyAlignment="1">
      <alignment horizontal="center" wrapText="1"/>
    </xf>
    <xf numFmtId="0" fontId="12" fillId="0" borderId="8" xfId="2" applyFont="1" applyBorder="1" applyAlignment="1">
      <alignment horizontal="center" wrapText="1"/>
    </xf>
    <xf numFmtId="0" fontId="35" fillId="0" borderId="12" xfId="2" applyFont="1" applyBorder="1"/>
    <xf numFmtId="9" fontId="35" fillId="0" borderId="16" xfId="2" applyNumberFormat="1" applyFont="1" applyBorder="1"/>
    <xf numFmtId="2" fontId="35" fillId="0" borderId="17" xfId="2" applyNumberFormat="1" applyFont="1" applyBorder="1"/>
    <xf numFmtId="0" fontId="34" fillId="0" borderId="1" xfId="2" applyFont="1" applyBorder="1"/>
    <xf numFmtId="0" fontId="35" fillId="0" borderId="18" xfId="2" applyFont="1" applyBorder="1"/>
    <xf numFmtId="0" fontId="35" fillId="0" borderId="1" xfId="2" applyFont="1" applyBorder="1"/>
    <xf numFmtId="0" fontId="35" fillId="0" borderId="19" xfId="2" applyFont="1" applyBorder="1"/>
    <xf numFmtId="0" fontId="35" fillId="0" borderId="1" xfId="2" applyFont="1" applyBorder="1" applyAlignment="1">
      <alignment horizontal="center"/>
    </xf>
    <xf numFmtId="2" fontId="35" fillId="0" borderId="1" xfId="2" applyNumberFormat="1" applyFont="1" applyBorder="1"/>
    <xf numFmtId="2" fontId="35" fillId="0" borderId="20" xfId="2" applyNumberFormat="1" applyFont="1" applyBorder="1"/>
    <xf numFmtId="1" fontId="35" fillId="0" borderId="1" xfId="2" applyNumberFormat="1" applyFont="1" applyBorder="1"/>
    <xf numFmtId="0" fontId="35" fillId="0" borderId="1" xfId="2" applyFont="1" applyBorder="1" applyAlignment="1">
      <alignment wrapText="1"/>
    </xf>
    <xf numFmtId="0" fontId="35" fillId="0" borderId="1" xfId="2" applyFont="1" applyFill="1" applyBorder="1"/>
    <xf numFmtId="0" fontId="35" fillId="0" borderId="19" xfId="2" applyFont="1" applyBorder="1" applyAlignment="1"/>
    <xf numFmtId="0" fontId="35" fillId="0" borderId="21" xfId="2" applyFont="1" applyBorder="1" applyAlignment="1">
      <alignment horizontal="center"/>
    </xf>
    <xf numFmtId="0" fontId="35" fillId="0" borderId="21" xfId="2" applyFont="1" applyBorder="1"/>
    <xf numFmtId="2" fontId="35" fillId="0" borderId="21" xfId="2" applyNumberFormat="1" applyFont="1" applyBorder="1"/>
    <xf numFmtId="9" fontId="35" fillId="0" borderId="22" xfId="2" applyNumberFormat="1" applyFont="1" applyBorder="1"/>
    <xf numFmtId="2" fontId="35" fillId="0" borderId="23" xfId="2" applyNumberFormat="1" applyFont="1" applyBorder="1"/>
    <xf numFmtId="0" fontId="35" fillId="0" borderId="24" xfId="2" applyFont="1" applyBorder="1"/>
    <xf numFmtId="0" fontId="35" fillId="0" borderId="26" xfId="2" applyFont="1" applyBorder="1"/>
    <xf numFmtId="9" fontId="35" fillId="0" borderId="19" xfId="2" applyNumberFormat="1" applyFont="1" applyBorder="1"/>
    <xf numFmtId="0" fontId="35" fillId="0" borderId="19" xfId="2" applyFont="1" applyBorder="1" applyAlignment="1">
      <alignment wrapText="1"/>
    </xf>
    <xf numFmtId="0" fontId="12" fillId="0" borderId="1" xfId="2" applyFont="1" applyBorder="1" applyAlignment="1">
      <alignment wrapText="1"/>
    </xf>
    <xf numFmtId="0" fontId="35" fillId="0" borderId="29" xfId="2" applyFont="1" applyBorder="1"/>
    <xf numFmtId="0" fontId="35" fillId="0" borderId="3" xfId="2" applyFont="1" applyBorder="1"/>
    <xf numFmtId="0" fontId="35" fillId="0" borderId="3" xfId="2" applyFont="1" applyBorder="1" applyAlignment="1">
      <alignment horizontal="center"/>
    </xf>
    <xf numFmtId="2" fontId="35" fillId="0" borderId="3" xfId="2" applyNumberFormat="1" applyFont="1" applyBorder="1"/>
    <xf numFmtId="2" fontId="35" fillId="0" borderId="30" xfId="2" applyNumberFormat="1" applyFont="1" applyBorder="1"/>
    <xf numFmtId="9" fontId="35" fillId="0" borderId="26" xfId="2" applyNumberFormat="1" applyFont="1" applyBorder="1"/>
    <xf numFmtId="1" fontId="35" fillId="0" borderId="3" xfId="2" applyNumberFormat="1" applyFont="1" applyBorder="1"/>
    <xf numFmtId="9" fontId="35" fillId="0" borderId="1" xfId="2" applyNumberFormat="1" applyFont="1" applyBorder="1"/>
    <xf numFmtId="0" fontId="34" fillId="0" borderId="0" xfId="2" applyFont="1" applyBorder="1"/>
    <xf numFmtId="0" fontId="35" fillId="0" borderId="0" xfId="2" applyFont="1" applyBorder="1"/>
    <xf numFmtId="0" fontId="36" fillId="0" borderId="0" xfId="2" applyFont="1" applyAlignment="1"/>
    <xf numFmtId="0" fontId="34" fillId="0" borderId="21" xfId="2" applyFont="1" applyBorder="1"/>
    <xf numFmtId="1" fontId="34" fillId="0" borderId="21" xfId="2" applyNumberFormat="1" applyFont="1" applyBorder="1"/>
    <xf numFmtId="0" fontId="12" fillId="0" borderId="31" xfId="2" applyFont="1" applyBorder="1" applyAlignment="1">
      <alignment horizontal="center" wrapText="1"/>
    </xf>
    <xf numFmtId="0" fontId="18" fillId="0" borderId="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166" fontId="40" fillId="0" borderId="1" xfId="3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2" fontId="0" fillId="0" borderId="1" xfId="0" applyNumberFormat="1" applyBorder="1"/>
    <xf numFmtId="1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3" xfId="0" applyFont="1" applyBorder="1" applyAlignment="1">
      <alignment vertical="center" wrapText="1" shrinkToFi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3" fillId="0" borderId="1" xfId="0" applyFont="1" applyBorder="1" applyAlignment="1"/>
    <xf numFmtId="0" fontId="42" fillId="0" borderId="1" xfId="0" applyFont="1" applyBorder="1" applyAlignment="1">
      <alignment horizontal="center" wrapText="1"/>
    </xf>
    <xf numFmtId="0" fontId="44" fillId="0" borderId="1" xfId="0" applyFont="1" applyBorder="1" applyAlignment="1">
      <alignment horizontal="center" vertical="center" textRotation="90" wrapText="1"/>
    </xf>
    <xf numFmtId="0" fontId="42" fillId="0" borderId="1" xfId="0" applyFont="1" applyBorder="1" applyAlignment="1">
      <alignment textRotation="90" wrapText="1"/>
    </xf>
    <xf numFmtId="0" fontId="43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42" fillId="0" borderId="1" xfId="0" applyFont="1" applyBorder="1" applyAlignment="1">
      <alignment wrapText="1"/>
    </xf>
    <xf numFmtId="0" fontId="0" fillId="0" borderId="1" xfId="0" applyFont="1" applyBorder="1" applyAlignment="1"/>
    <xf numFmtId="0" fontId="0" fillId="0" borderId="1" xfId="0" applyFont="1" applyBorder="1" applyAlignment="1">
      <alignment wrapText="1"/>
    </xf>
    <xf numFmtId="1" fontId="0" fillId="0" borderId="1" xfId="0" applyNumberForma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right" wrapText="1"/>
    </xf>
    <xf numFmtId="0" fontId="0" fillId="0" borderId="1" xfId="0" applyBorder="1"/>
    <xf numFmtId="0" fontId="1" fillId="0" borderId="0" xfId="0" applyFont="1" applyBorder="1" applyAlignment="1"/>
    <xf numFmtId="0" fontId="1" fillId="0" borderId="0" xfId="0" applyFont="1" applyBorder="1" applyAlignment="1">
      <alignment vertical="center" wrapText="1"/>
    </xf>
    <xf numFmtId="0" fontId="44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43" fillId="0" borderId="1" xfId="0" applyFont="1" applyBorder="1" applyAlignment="1">
      <alignment wrapText="1"/>
    </xf>
    <xf numFmtId="16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wrapText="1"/>
    </xf>
    <xf numFmtId="0" fontId="38" fillId="0" borderId="34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64" fontId="0" fillId="0" borderId="1" xfId="0" applyNumberFormat="1" applyBorder="1"/>
    <xf numFmtId="0" fontId="0" fillId="0" borderId="1" xfId="0" applyFont="1" applyBorder="1" applyAlignment="1">
      <alignment horizontal="left" vertical="center" wrapText="1"/>
    </xf>
    <xf numFmtId="17" fontId="0" fillId="0" borderId="1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38" fillId="0" borderId="1" xfId="0" applyFont="1" applyBorder="1"/>
    <xf numFmtId="0" fontId="6" fillId="0" borderId="0" xfId="0" applyFont="1" applyFill="1" applyBorder="1" applyAlignment="1">
      <alignment horizontal="left" wrapText="1"/>
    </xf>
    <xf numFmtId="0" fontId="6" fillId="0" borderId="33" xfId="0" applyFont="1" applyBorder="1"/>
    <xf numFmtId="0" fontId="6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/>
    </xf>
    <xf numFmtId="0" fontId="16" fillId="0" borderId="0" xfId="1" applyFont="1" applyBorder="1" applyAlignment="1">
      <alignment horizontal="right"/>
    </xf>
    <xf numFmtId="0" fontId="15" fillId="0" borderId="0" xfId="1" applyFont="1" applyAlignment="1">
      <alignment horizontal="right"/>
    </xf>
    <xf numFmtId="0" fontId="17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2" fillId="0" borderId="25" xfId="2" applyFont="1" applyBorder="1" applyAlignment="1">
      <alignment horizontal="center"/>
    </xf>
    <xf numFmtId="0" fontId="12" fillId="0" borderId="19" xfId="2" applyFont="1" applyBorder="1" applyAlignment="1">
      <alignment horizontal="center"/>
    </xf>
    <xf numFmtId="0" fontId="35" fillId="0" borderId="2" xfId="2" applyFont="1" applyBorder="1" applyAlignment="1">
      <alignment horizontal="center"/>
    </xf>
    <xf numFmtId="0" fontId="35" fillId="0" borderId="27" xfId="2" applyFont="1" applyBorder="1" applyAlignment="1">
      <alignment horizontal="center"/>
    </xf>
    <xf numFmtId="0" fontId="35" fillId="0" borderId="28" xfId="2" applyFont="1" applyBorder="1" applyAlignment="1">
      <alignment horizontal="center"/>
    </xf>
    <xf numFmtId="0" fontId="36" fillId="0" borderId="0" xfId="2" applyFont="1" applyAlignment="1">
      <alignment horizontal="center"/>
    </xf>
    <xf numFmtId="0" fontId="35" fillId="0" borderId="5" xfId="2" applyFont="1" applyBorder="1" applyAlignment="1">
      <alignment horizontal="center"/>
    </xf>
    <xf numFmtId="0" fontId="12" fillId="0" borderId="11" xfId="2" applyFont="1" applyBorder="1" applyAlignment="1">
      <alignment horizontal="center"/>
    </xf>
    <xf numFmtId="0" fontId="12" fillId="0" borderId="12" xfId="2" applyFont="1" applyBorder="1" applyAlignment="1">
      <alignment horizontal="center"/>
    </xf>
    <xf numFmtId="0" fontId="35" fillId="0" borderId="13" xfId="2" applyFont="1" applyBorder="1" applyAlignment="1">
      <alignment horizontal="center"/>
    </xf>
    <xf numFmtId="0" fontId="35" fillId="0" borderId="14" xfId="2" applyFont="1" applyBorder="1" applyAlignment="1">
      <alignment horizontal="center"/>
    </xf>
    <xf numFmtId="0" fontId="35" fillId="0" borderId="15" xfId="2" applyFont="1" applyBorder="1" applyAlignment="1">
      <alignment horizontal="center"/>
    </xf>
    <xf numFmtId="0" fontId="1" fillId="0" borderId="0" xfId="0" applyFont="1" applyFill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41" fillId="0" borderId="2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  <xf numFmtId="0" fontId="13" fillId="0" borderId="33" xfId="0" applyFont="1" applyBorder="1" applyAlignment="1">
      <alignment horizontal="center" wrapText="1"/>
    </xf>
    <xf numFmtId="0" fontId="47" fillId="0" borderId="0" xfId="4"/>
    <xf numFmtId="0" fontId="36" fillId="0" borderId="33" xfId="4" applyFont="1" applyBorder="1" applyAlignment="1">
      <alignment horizontal="center" wrapText="1"/>
    </xf>
    <xf numFmtId="0" fontId="41" fillId="0" borderId="1" xfId="4" applyFont="1" applyBorder="1" applyAlignment="1">
      <alignment vertical="center" wrapText="1"/>
    </xf>
    <xf numFmtId="0" fontId="41" fillId="0" borderId="1" xfId="4" applyFont="1" applyBorder="1" applyAlignment="1">
      <alignment horizontal="center" vertical="center"/>
    </xf>
    <xf numFmtId="0" fontId="41" fillId="0" borderId="1" xfId="4" applyFont="1" applyBorder="1" applyAlignment="1">
      <alignment horizontal="left" vertical="center" wrapText="1"/>
    </xf>
    <xf numFmtId="9" fontId="41" fillId="0" borderId="1" xfId="4" applyNumberFormat="1" applyFont="1" applyBorder="1" applyAlignment="1">
      <alignment vertical="center" wrapText="1"/>
    </xf>
    <xf numFmtId="9" fontId="41" fillId="0" borderId="1" xfId="4" applyNumberFormat="1" applyFont="1" applyBorder="1" applyAlignment="1">
      <alignment horizontal="center" vertical="center" wrapText="1"/>
    </xf>
    <xf numFmtId="0" fontId="47" fillId="0" borderId="1" xfId="4" applyBorder="1" applyAlignment="1">
      <alignment horizontal="center"/>
    </xf>
    <xf numFmtId="0" fontId="5" fillId="0" borderId="1" xfId="4" applyFont="1" applyBorder="1" applyAlignment="1">
      <alignment horizontal="left" wrapText="1"/>
    </xf>
    <xf numFmtId="0" fontId="35" fillId="0" borderId="1" xfId="4" applyFont="1" applyBorder="1" applyAlignment="1">
      <alignment horizontal="center" wrapText="1"/>
    </xf>
    <xf numFmtId="2" fontId="48" fillId="0" borderId="1" xfId="4" applyNumberFormat="1" applyFont="1" applyBorder="1" applyAlignment="1">
      <alignment horizontal="center"/>
    </xf>
    <xf numFmtId="2" fontId="34" fillId="0" borderId="1" xfId="4" applyNumberFormat="1" applyFont="1" applyBorder="1" applyAlignment="1">
      <alignment horizontal="center"/>
    </xf>
    <xf numFmtId="2" fontId="48" fillId="0" borderId="1" xfId="4" applyNumberFormat="1" applyFont="1" applyBorder="1"/>
    <xf numFmtId="1" fontId="48" fillId="0" borderId="1" xfId="4" applyNumberFormat="1" applyFont="1" applyBorder="1"/>
    <xf numFmtId="2" fontId="48" fillId="0" borderId="1" xfId="4" applyNumberFormat="1" applyFont="1" applyBorder="1" applyAlignment="1">
      <alignment horizontal="center" vertical="center"/>
    </xf>
    <xf numFmtId="2" fontId="34" fillId="0" borderId="1" xfId="4" applyNumberFormat="1" applyFont="1" applyBorder="1" applyAlignment="1">
      <alignment horizontal="center" vertical="center"/>
    </xf>
    <xf numFmtId="0" fontId="47" fillId="0" borderId="3" xfId="4" applyBorder="1" applyAlignment="1">
      <alignment horizontal="center"/>
    </xf>
    <xf numFmtId="0" fontId="35" fillId="0" borderId="3" xfId="4" applyFont="1" applyBorder="1" applyAlignment="1">
      <alignment horizontal="center" wrapText="1"/>
    </xf>
    <xf numFmtId="2" fontId="48" fillId="0" borderId="3" xfId="4" applyNumberFormat="1" applyFont="1" applyBorder="1" applyAlignment="1">
      <alignment horizontal="center"/>
    </xf>
    <xf numFmtId="2" fontId="34" fillId="0" borderId="3" xfId="4" applyNumberFormat="1" applyFont="1" applyBorder="1" applyAlignment="1">
      <alignment horizontal="center"/>
    </xf>
    <xf numFmtId="0" fontId="5" fillId="0" borderId="27" xfId="4" applyFont="1" applyBorder="1" applyAlignment="1">
      <alignment horizontal="left" wrapText="1"/>
    </xf>
    <xf numFmtId="0" fontId="48" fillId="0" borderId="1" xfId="4" applyFont="1" applyBorder="1" applyAlignment="1">
      <alignment horizontal="center"/>
    </xf>
    <xf numFmtId="0" fontId="13" fillId="0" borderId="32" xfId="4" applyFont="1" applyBorder="1" applyAlignment="1">
      <alignment horizontal="center"/>
    </xf>
    <xf numFmtId="0" fontId="47" fillId="0" borderId="21" xfId="4" applyBorder="1" applyAlignment="1">
      <alignment horizontal="center"/>
    </xf>
    <xf numFmtId="0" fontId="48" fillId="0" borderId="21" xfId="4" applyFont="1" applyBorder="1" applyAlignment="1">
      <alignment horizontal="center"/>
    </xf>
    <xf numFmtId="2" fontId="48" fillId="0" borderId="21" xfId="4" applyNumberFormat="1" applyFont="1" applyBorder="1" applyAlignment="1">
      <alignment horizontal="center"/>
    </xf>
    <xf numFmtId="0" fontId="48" fillId="0" borderId="1" xfId="4" applyFont="1" applyBorder="1" applyAlignment="1">
      <alignment horizontal="center" vertical="center"/>
    </xf>
    <xf numFmtId="0" fontId="12" fillId="0" borderId="0" xfId="4" applyFont="1" applyBorder="1" applyAlignment="1">
      <alignment horizontal="center" wrapText="1"/>
    </xf>
    <xf numFmtId="0" fontId="47" fillId="0" borderId="0" xfId="4" applyBorder="1"/>
    <xf numFmtId="0" fontId="5" fillId="2" borderId="1" xfId="4" applyFont="1" applyFill="1" applyBorder="1" applyAlignment="1">
      <alignment vertical="center" wrapText="1"/>
    </xf>
    <xf numFmtId="0" fontId="48" fillId="0" borderId="3" xfId="4" applyFont="1" applyBorder="1" applyAlignment="1">
      <alignment horizontal="center"/>
    </xf>
    <xf numFmtId="0" fontId="48" fillId="0" borderId="3" xfId="4" applyFont="1" applyBorder="1" applyAlignment="1">
      <alignment horizontal="center" vertical="center" wrapText="1"/>
    </xf>
    <xf numFmtId="2" fontId="48" fillId="0" borderId="3" xfId="4" applyNumberFormat="1" applyFont="1" applyBorder="1" applyAlignment="1">
      <alignment horizontal="center" vertical="center" wrapText="1"/>
    </xf>
    <xf numFmtId="0" fontId="5" fillId="2" borderId="1" xfId="4" applyFont="1" applyFill="1" applyBorder="1" applyAlignment="1">
      <alignment horizontal="left" vertical="center" wrapText="1"/>
    </xf>
    <xf numFmtId="0" fontId="47" fillId="2" borderId="1" xfId="4" applyFill="1" applyBorder="1" applyAlignment="1">
      <alignment horizontal="center"/>
    </xf>
    <xf numFmtId="0" fontId="35" fillId="2" borderId="1" xfId="4" applyFont="1" applyFill="1" applyBorder="1" applyAlignment="1">
      <alignment horizontal="center" wrapText="1"/>
    </xf>
    <xf numFmtId="2" fontId="48" fillId="2" borderId="1" xfId="4" applyNumberFormat="1" applyFont="1" applyFill="1" applyBorder="1" applyAlignment="1">
      <alignment horizontal="center"/>
    </xf>
    <xf numFmtId="2" fontId="34" fillId="2" borderId="1" xfId="4" applyNumberFormat="1" applyFont="1" applyFill="1" applyBorder="1" applyAlignment="1">
      <alignment horizontal="center"/>
    </xf>
    <xf numFmtId="0" fontId="5" fillId="2" borderId="1" xfId="4" applyFont="1" applyFill="1" applyBorder="1" applyAlignment="1">
      <alignment horizontal="left" wrapText="1"/>
    </xf>
    <xf numFmtId="0" fontId="48" fillId="2" borderId="1" xfId="4" applyFont="1" applyFill="1" applyBorder="1" applyAlignment="1">
      <alignment horizontal="center"/>
    </xf>
    <xf numFmtId="0" fontId="1" fillId="0" borderId="1" xfId="4" applyFont="1" applyBorder="1" applyAlignment="1">
      <alignment vertical="center" wrapText="1"/>
    </xf>
    <xf numFmtId="0" fontId="1" fillId="0" borderId="1" xfId="4" applyFont="1" applyBorder="1" applyAlignment="1">
      <alignment horizontal="left" vertical="center" wrapText="1"/>
    </xf>
    <xf numFmtId="0" fontId="35" fillId="0" borderId="1" xfId="4" applyFont="1" applyBorder="1" applyAlignment="1">
      <alignment horizontal="center" vertical="center" wrapText="1"/>
    </xf>
    <xf numFmtId="0" fontId="35" fillId="0" borderId="1" xfId="4" applyFont="1" applyBorder="1" applyAlignment="1">
      <alignment vertical="center" wrapText="1"/>
    </xf>
    <xf numFmtId="49" fontId="35" fillId="0" borderId="1" xfId="4" applyNumberFormat="1" applyFont="1" applyBorder="1" applyAlignment="1">
      <alignment vertical="center" wrapText="1"/>
    </xf>
    <xf numFmtId="2" fontId="35" fillId="0" borderId="1" xfId="4" applyNumberFormat="1" applyFont="1" applyBorder="1" applyAlignment="1">
      <alignment vertical="center" wrapText="1"/>
    </xf>
    <xf numFmtId="0" fontId="48" fillId="0" borderId="1" xfId="4" applyFont="1" applyBorder="1" applyAlignment="1"/>
    <xf numFmtId="1" fontId="48" fillId="0" borderId="1" xfId="4" applyNumberFormat="1" applyFont="1" applyBorder="1" applyAlignment="1"/>
    <xf numFmtId="0" fontId="1" fillId="0" borderId="1" xfId="4" applyFont="1" applyBorder="1"/>
    <xf numFmtId="0" fontId="1" fillId="0" borderId="1" xfId="4" applyFont="1" applyBorder="1" applyAlignment="1">
      <alignment wrapText="1"/>
    </xf>
    <xf numFmtId="0" fontId="35" fillId="2" borderId="1" xfId="4" applyFont="1" applyFill="1" applyBorder="1" applyAlignment="1">
      <alignment horizontal="center"/>
    </xf>
    <xf numFmtId="2" fontId="35" fillId="2" borderId="1" xfId="4" applyNumberFormat="1" applyFont="1" applyFill="1" applyBorder="1" applyAlignment="1"/>
    <xf numFmtId="164" fontId="35" fillId="2" borderId="1" xfId="4" applyNumberFormat="1" applyFont="1" applyFill="1" applyBorder="1" applyAlignment="1"/>
    <xf numFmtId="0" fontId="35" fillId="2" borderId="1" xfId="4" applyFont="1" applyFill="1" applyBorder="1" applyAlignment="1"/>
    <xf numFmtId="0" fontId="35" fillId="0" borderId="1" xfId="4" applyFont="1" applyBorder="1" applyAlignment="1">
      <alignment horizontal="center"/>
    </xf>
    <xf numFmtId="0" fontId="35" fillId="0" borderId="1" xfId="4" applyFont="1" applyBorder="1" applyAlignment="1"/>
    <xf numFmtId="2" fontId="35" fillId="0" borderId="1" xfId="4" applyNumberFormat="1" applyFont="1" applyBorder="1" applyAlignment="1"/>
    <xf numFmtId="0" fontId="47" fillId="0" borderId="1" xfId="4" applyBorder="1"/>
    <xf numFmtId="0" fontId="13" fillId="0" borderId="0" xfId="4" applyFont="1" applyAlignment="1">
      <alignment horizontal="center"/>
    </xf>
    <xf numFmtId="0" fontId="16" fillId="0" borderId="0" xfId="0" applyFont="1"/>
    <xf numFmtId="0" fontId="16" fillId="0" borderId="1" xfId="0" applyFont="1" applyBorder="1" applyAlignment="1">
      <alignment horizontal="center"/>
    </xf>
    <xf numFmtId="0" fontId="49" fillId="0" borderId="0" xfId="4" applyFont="1"/>
    <xf numFmtId="0" fontId="49" fillId="0" borderId="0" xfId="4" applyFont="1" applyAlignment="1">
      <alignment horizontal="center"/>
    </xf>
    <xf numFmtId="0" fontId="49" fillId="0" borderId="0" xfId="4" applyFont="1" applyAlignment="1">
      <alignment horizontal="right"/>
    </xf>
    <xf numFmtId="0" fontId="49" fillId="0" borderId="0" xfId="4" applyFont="1" applyAlignment="1">
      <alignment horizontal="right"/>
    </xf>
    <xf numFmtId="0" fontId="22" fillId="0" borderId="0" xfId="4" applyFont="1" applyAlignment="1">
      <alignment horizontal="center"/>
    </xf>
    <xf numFmtId="0" fontId="50" fillId="0" borderId="0" xfId="4" applyFont="1" applyAlignment="1">
      <alignment horizontal="center"/>
    </xf>
    <xf numFmtId="0" fontId="51" fillId="0" borderId="0" xfId="4" applyFont="1" applyAlignment="1">
      <alignment horizontal="center"/>
    </xf>
    <xf numFmtId="0" fontId="49" fillId="0" borderId="1" xfId="4" applyFont="1" applyBorder="1" applyAlignment="1">
      <alignment horizontal="center" vertical="center" wrapText="1"/>
    </xf>
    <xf numFmtId="0" fontId="52" fillId="0" borderId="1" xfId="4" applyFont="1" applyBorder="1" applyAlignment="1">
      <alignment horizontal="center" vertical="center" wrapText="1"/>
    </xf>
    <xf numFmtId="0" fontId="52" fillId="0" borderId="2" xfId="4" applyFont="1" applyBorder="1" applyAlignment="1">
      <alignment horizontal="center" vertical="center" wrapText="1"/>
    </xf>
    <xf numFmtId="0" fontId="50" fillId="4" borderId="1" xfId="4" applyFont="1" applyFill="1" applyBorder="1" applyAlignment="1">
      <alignment vertical="top" wrapText="1"/>
    </xf>
    <xf numFmtId="0" fontId="49" fillId="4" borderId="1" xfId="4" applyFont="1" applyFill="1" applyBorder="1" applyAlignment="1">
      <alignment vertical="top" wrapText="1"/>
    </xf>
    <xf numFmtId="1" fontId="49" fillId="4" borderId="1" xfId="4" applyNumberFormat="1" applyFont="1" applyFill="1" applyBorder="1"/>
    <xf numFmtId="1" fontId="49" fillId="4" borderId="2" xfId="4" applyNumberFormat="1" applyFont="1" applyFill="1" applyBorder="1"/>
    <xf numFmtId="1" fontId="50" fillId="4" borderId="1" xfId="4" applyNumberFormat="1" applyFont="1" applyFill="1" applyBorder="1"/>
    <xf numFmtId="0" fontId="49" fillId="0" borderId="1" xfId="4" applyFont="1" applyFill="1" applyBorder="1" applyAlignment="1">
      <alignment vertical="top" wrapText="1"/>
    </xf>
    <xf numFmtId="0" fontId="49" fillId="0" borderId="1" xfId="4" applyFont="1" applyFill="1" applyBorder="1" applyAlignment="1">
      <alignment horizontal="center" vertical="top" wrapText="1"/>
    </xf>
    <xf numFmtId="1" fontId="49" fillId="0" borderId="1" xfId="4" applyNumberFormat="1" applyFont="1" applyFill="1" applyBorder="1"/>
    <xf numFmtId="1" fontId="49" fillId="0" borderId="1" xfId="4" applyNumberFormat="1" applyFont="1" applyBorder="1"/>
    <xf numFmtId="1" fontId="49" fillId="5" borderId="2" xfId="4" applyNumberFormat="1" applyFont="1" applyFill="1" applyBorder="1"/>
    <xf numFmtId="0" fontId="49" fillId="0" borderId="1" xfId="4" applyFont="1" applyBorder="1"/>
    <xf numFmtId="0" fontId="49" fillId="4" borderId="1" xfId="4" applyFont="1" applyFill="1" applyBorder="1" applyAlignment="1">
      <alignment horizontal="center" vertical="top" wrapText="1"/>
    </xf>
    <xf numFmtId="1" fontId="49" fillId="2" borderId="1" xfId="4" applyNumberFormat="1" applyFont="1" applyFill="1" applyBorder="1"/>
    <xf numFmtId="0" fontId="50" fillId="4" borderId="1" xfId="4" applyFont="1" applyFill="1" applyBorder="1"/>
    <xf numFmtId="0" fontId="49" fillId="4" borderId="1" xfId="4" applyFont="1" applyFill="1" applyBorder="1"/>
    <xf numFmtId="0" fontId="49" fillId="0" borderId="1" xfId="4" applyFont="1" applyFill="1" applyBorder="1"/>
    <xf numFmtId="0" fontId="49" fillId="0" borderId="2" xfId="4" applyFont="1" applyFill="1" applyBorder="1" applyAlignment="1">
      <alignment vertical="top" wrapText="1"/>
    </xf>
    <xf numFmtId="0" fontId="49" fillId="0" borderId="27" xfId="4" applyFont="1" applyFill="1" applyBorder="1" applyAlignment="1">
      <alignment horizontal="center" vertical="top" wrapText="1"/>
    </xf>
    <xf numFmtId="2" fontId="49" fillId="0" borderId="27" xfId="4" applyNumberFormat="1" applyFont="1" applyFill="1" applyBorder="1"/>
    <xf numFmtId="2" fontId="49" fillId="0" borderId="27" xfId="4" applyNumberFormat="1" applyFont="1" applyBorder="1"/>
    <xf numFmtId="0" fontId="49" fillId="0" borderId="27" xfId="4" applyFont="1" applyBorder="1"/>
    <xf numFmtId="2" fontId="49" fillId="5" borderId="27" xfId="4" applyNumberFormat="1" applyFont="1" applyFill="1" applyBorder="1"/>
    <xf numFmtId="0" fontId="49" fillId="0" borderId="19" xfId="4" applyFont="1" applyBorder="1"/>
    <xf numFmtId="0" fontId="51" fillId="0" borderId="2" xfId="4" applyFont="1" applyFill="1" applyBorder="1" applyAlignment="1">
      <alignment horizontal="center" vertical="center" wrapText="1"/>
    </xf>
    <xf numFmtId="0" fontId="51" fillId="0" borderId="27" xfId="4" applyFont="1" applyFill="1" applyBorder="1" applyAlignment="1">
      <alignment horizontal="center" vertical="center" wrapText="1"/>
    </xf>
    <xf numFmtId="0" fontId="51" fillId="0" borderId="19" xfId="4" applyFont="1" applyFill="1" applyBorder="1" applyAlignment="1">
      <alignment horizontal="center" vertical="center" wrapText="1"/>
    </xf>
    <xf numFmtId="0" fontId="49" fillId="2" borderId="0" xfId="4" applyFont="1" applyFill="1"/>
    <xf numFmtId="0" fontId="50" fillId="4" borderId="1" xfId="4" applyFont="1" applyFill="1" applyBorder="1" applyAlignment="1">
      <alignment horizontal="left" wrapText="1"/>
    </xf>
    <xf numFmtId="0" fontId="50" fillId="4" borderId="1" xfId="4" applyFont="1" applyFill="1" applyBorder="1" applyAlignment="1">
      <alignment wrapText="1"/>
    </xf>
    <xf numFmtId="0" fontId="49" fillId="2" borderId="1" xfId="4" applyFont="1" applyFill="1" applyBorder="1" applyAlignment="1">
      <alignment horizontal="center" vertical="top" wrapText="1"/>
    </xf>
    <xf numFmtId="0" fontId="49" fillId="0" borderId="1" xfId="4" applyFont="1" applyBorder="1" applyAlignment="1">
      <alignment vertical="top" wrapText="1"/>
    </xf>
    <xf numFmtId="0" fontId="53" fillId="2" borderId="0" xfId="4" applyFont="1" applyFill="1"/>
    <xf numFmtId="0" fontId="49" fillId="2" borderId="1" xfId="4" applyFont="1" applyFill="1" applyBorder="1" applyAlignment="1">
      <alignment vertical="top" wrapText="1"/>
    </xf>
    <xf numFmtId="1" fontId="49" fillId="2" borderId="2" xfId="4" applyNumberFormat="1" applyFont="1" applyFill="1" applyBorder="1"/>
    <xf numFmtId="2" fontId="50" fillId="2" borderId="1" xfId="4" applyNumberFormat="1" applyFont="1" applyFill="1" applyBorder="1"/>
    <xf numFmtId="1" fontId="50" fillId="2" borderId="1" xfId="4" applyNumberFormat="1" applyFont="1" applyFill="1" applyBorder="1"/>
    <xf numFmtId="1" fontId="50" fillId="0" borderId="1" xfId="4" applyNumberFormat="1" applyFont="1" applyBorder="1"/>
    <xf numFmtId="0" fontId="51" fillId="2" borderId="1" xfId="4" applyFont="1" applyFill="1" applyBorder="1" applyAlignment="1">
      <alignment vertical="top" wrapText="1"/>
    </xf>
    <xf numFmtId="0" fontId="50" fillId="4" borderId="1" xfId="4" applyNumberFormat="1" applyFont="1" applyFill="1" applyBorder="1" applyAlignment="1">
      <alignment wrapText="1"/>
    </xf>
    <xf numFmtId="0" fontId="49" fillId="4" borderId="1" xfId="4" applyNumberFormat="1" applyFont="1" applyFill="1" applyBorder="1"/>
    <xf numFmtId="0" fontId="49" fillId="2" borderId="1" xfId="4" applyNumberFormat="1" applyFont="1" applyFill="1" applyBorder="1" applyAlignment="1">
      <alignment wrapText="1"/>
    </xf>
    <xf numFmtId="0" fontId="49" fillId="0" borderId="1" xfId="4" applyNumberFormat="1" applyFont="1" applyBorder="1"/>
    <xf numFmtId="2" fontId="50" fillId="4" borderId="1" xfId="4" applyNumberFormat="1" applyFont="1" applyFill="1" applyBorder="1"/>
    <xf numFmtId="1" fontId="49" fillId="0" borderId="2" xfId="4" applyNumberFormat="1" applyFont="1" applyBorder="1"/>
    <xf numFmtId="0" fontId="49" fillId="2" borderId="1" xfId="4" applyFont="1" applyFill="1" applyBorder="1"/>
    <xf numFmtId="0" fontId="49" fillId="0" borderId="27" xfId="4" applyFont="1" applyFill="1" applyBorder="1"/>
    <xf numFmtId="2" fontId="49" fillId="0" borderId="1" xfId="4" applyNumberFormat="1" applyFont="1" applyFill="1" applyBorder="1"/>
    <xf numFmtId="2" fontId="49" fillId="0" borderId="1" xfId="4" applyNumberFormat="1" applyFont="1" applyBorder="1"/>
    <xf numFmtId="2" fontId="49" fillId="5" borderId="2" xfId="4" applyNumberFormat="1" applyFont="1" applyFill="1" applyBorder="1"/>
    <xf numFmtId="0" fontId="15" fillId="0" borderId="1" xfId="4" applyFont="1" applyFill="1" applyBorder="1" applyAlignment="1">
      <alignment vertical="center" wrapText="1"/>
    </xf>
    <xf numFmtId="0" fontId="15" fillId="0" borderId="1" xfId="4" applyFont="1" applyFill="1" applyBorder="1" applyAlignment="1">
      <alignment horizontal="center" vertical="center" wrapText="1"/>
    </xf>
    <xf numFmtId="1" fontId="15" fillId="0" borderId="1" xfId="4" applyNumberFormat="1" applyFont="1" applyFill="1" applyBorder="1" applyAlignment="1">
      <alignment vertical="center"/>
    </xf>
    <xf numFmtId="1" fontId="15" fillId="0" borderId="1" xfId="4" applyNumberFormat="1" applyFont="1" applyBorder="1" applyAlignment="1">
      <alignment vertical="center"/>
    </xf>
    <xf numFmtId="1" fontId="15" fillId="5" borderId="2" xfId="4" applyNumberFormat="1" applyFont="1" applyFill="1" applyBorder="1" applyAlignment="1">
      <alignment vertical="center"/>
    </xf>
    <xf numFmtId="0" fontId="15" fillId="0" borderId="1" xfId="4" applyFont="1" applyBorder="1" applyAlignment="1">
      <alignment vertical="center"/>
    </xf>
    <xf numFmtId="0" fontId="15" fillId="0" borderId="27" xfId="4" applyFont="1" applyFill="1" applyBorder="1" applyAlignment="1">
      <alignment horizontal="center" vertical="center" wrapText="1"/>
    </xf>
    <xf numFmtId="0" fontId="15" fillId="0" borderId="19" xfId="4" applyFont="1" applyFill="1" applyBorder="1" applyAlignment="1">
      <alignment horizontal="center" vertical="center" wrapText="1"/>
    </xf>
    <xf numFmtId="2" fontId="15" fillId="0" borderId="1" xfId="4" applyNumberFormat="1" applyFont="1" applyFill="1" applyBorder="1" applyAlignment="1">
      <alignment vertical="center"/>
    </xf>
    <xf numFmtId="2" fontId="15" fillId="0" borderId="1" xfId="4" applyNumberFormat="1" applyFont="1" applyBorder="1" applyAlignment="1">
      <alignment vertical="center"/>
    </xf>
    <xf numFmtId="2" fontId="15" fillId="5" borderId="2" xfId="4" applyNumberFormat="1" applyFont="1" applyFill="1" applyBorder="1" applyAlignment="1">
      <alignment vertical="center"/>
    </xf>
    <xf numFmtId="1" fontId="50" fillId="0" borderId="2" xfId="4" applyNumberFormat="1" applyFont="1" applyBorder="1"/>
    <xf numFmtId="0" fontId="50" fillId="0" borderId="0" xfId="4" applyFont="1"/>
    <xf numFmtId="0" fontId="54" fillId="0" borderId="1" xfId="4" applyFont="1" applyFill="1" applyBorder="1" applyAlignment="1">
      <alignment vertical="top" wrapText="1"/>
    </xf>
    <xf numFmtId="0" fontId="50" fillId="0" borderId="1" xfId="4" applyFont="1" applyBorder="1"/>
    <xf numFmtId="2" fontId="51" fillId="0" borderId="2" xfId="4" applyNumberFormat="1" applyFont="1" applyFill="1" applyBorder="1" applyAlignment="1">
      <alignment horizontal="center"/>
    </xf>
    <xf numFmtId="2" fontId="51" fillId="0" borderId="27" xfId="4" applyNumberFormat="1" applyFont="1" applyFill="1" applyBorder="1" applyAlignment="1">
      <alignment horizontal="center"/>
    </xf>
    <xf numFmtId="2" fontId="51" fillId="0" borderId="19" xfId="4" applyNumberFormat="1" applyFont="1" applyFill="1" applyBorder="1" applyAlignment="1">
      <alignment horizontal="center"/>
    </xf>
    <xf numFmtId="2" fontId="49" fillId="4" borderId="1" xfId="4" applyNumberFormat="1" applyFont="1" applyFill="1" applyBorder="1"/>
    <xf numFmtId="2" fontId="49" fillId="4" borderId="2" xfId="4" applyNumberFormat="1" applyFont="1" applyFill="1" applyBorder="1"/>
    <xf numFmtId="0" fontId="51" fillId="0" borderId="1" xfId="4" applyFont="1" applyFill="1" applyBorder="1" applyAlignment="1">
      <alignment vertical="top"/>
    </xf>
    <xf numFmtId="2" fontId="51" fillId="0" borderId="2" xfId="4" applyNumberFormat="1" applyFont="1" applyFill="1" applyBorder="1" applyAlignment="1">
      <alignment horizontal="center" vertical="center"/>
    </xf>
    <xf numFmtId="2" fontId="51" fillId="0" borderId="27" xfId="4" applyNumberFormat="1" applyFont="1" applyFill="1" applyBorder="1" applyAlignment="1">
      <alignment horizontal="center" vertical="center"/>
    </xf>
    <xf numFmtId="2" fontId="51" fillId="0" borderId="19" xfId="4" applyNumberFormat="1" applyFont="1" applyFill="1" applyBorder="1" applyAlignment="1">
      <alignment horizontal="center" vertical="center"/>
    </xf>
    <xf numFmtId="0" fontId="26" fillId="0" borderId="1" xfId="4" applyFont="1" applyFill="1" applyBorder="1" applyAlignment="1">
      <alignment horizontal="center" vertical="top" wrapText="1"/>
    </xf>
    <xf numFmtId="1" fontId="26" fillId="0" borderId="1" xfId="4" applyNumberFormat="1" applyFont="1" applyFill="1" applyBorder="1" applyAlignment="1">
      <alignment horizontal="center" vertical="top" wrapText="1"/>
    </xf>
    <xf numFmtId="165" fontId="51" fillId="2" borderId="27" xfId="5" applyFont="1" applyFill="1" applyBorder="1" applyAlignment="1">
      <alignment horizontal="center"/>
    </xf>
    <xf numFmtId="165" fontId="51" fillId="2" borderId="19" xfId="5" applyFont="1" applyFill="1" applyBorder="1" applyAlignment="1">
      <alignment horizontal="center"/>
    </xf>
    <xf numFmtId="0" fontId="49" fillId="2" borderId="1" xfId="4" applyFont="1" applyFill="1" applyBorder="1" applyAlignment="1">
      <alignment wrapText="1"/>
    </xf>
    <xf numFmtId="0" fontId="49" fillId="2" borderId="1" xfId="4" applyNumberFormat="1" applyFont="1" applyFill="1" applyBorder="1"/>
    <xf numFmtId="2" fontId="49" fillId="2" borderId="1" xfId="4" applyNumberFormat="1" applyFont="1" applyFill="1" applyBorder="1"/>
    <xf numFmtId="2" fontId="49" fillId="2" borderId="2" xfId="4" applyNumberFormat="1" applyFont="1" applyFill="1" applyBorder="1"/>
    <xf numFmtId="0" fontId="49" fillId="0" borderId="1" xfId="4" applyNumberFormat="1" applyFont="1" applyFill="1" applyBorder="1"/>
    <xf numFmtId="0" fontId="49" fillId="5" borderId="2" xfId="4" applyNumberFormat="1" applyFont="1" applyFill="1" applyBorder="1"/>
    <xf numFmtId="165" fontId="49" fillId="2" borderId="0" xfId="5" applyFont="1" applyFill="1"/>
    <xf numFmtId="165" fontId="49" fillId="0" borderId="0" xfId="5" applyFont="1"/>
    <xf numFmtId="0" fontId="55" fillId="2" borderId="1" xfId="4" applyFont="1" applyFill="1" applyBorder="1" applyAlignment="1">
      <alignment horizontal="left"/>
    </xf>
    <xf numFmtId="0" fontId="55" fillId="2" borderId="1" xfId="4" applyFont="1" applyFill="1" applyBorder="1" applyAlignment="1">
      <alignment horizontal="center"/>
    </xf>
    <xf numFmtId="1" fontId="55" fillId="2" borderId="1" xfId="4" applyNumberFormat="1" applyFont="1" applyFill="1" applyBorder="1" applyAlignment="1">
      <alignment horizontal="center"/>
    </xf>
    <xf numFmtId="0" fontId="56" fillId="2" borderId="1" xfId="4" applyFont="1" applyFill="1" applyBorder="1" applyAlignment="1">
      <alignment wrapText="1"/>
    </xf>
    <xf numFmtId="0" fontId="55" fillId="2" borderId="27" xfId="4" applyFont="1" applyFill="1" applyBorder="1" applyAlignment="1">
      <alignment horizontal="center"/>
    </xf>
    <xf numFmtId="0" fontId="55" fillId="2" borderId="19" xfId="4" applyFont="1" applyFill="1" applyBorder="1" applyAlignment="1">
      <alignment horizontal="center"/>
    </xf>
    <xf numFmtId="0" fontId="15" fillId="0" borderId="1" xfId="4" applyFont="1" applyFill="1" applyBorder="1" applyAlignment="1">
      <alignment vertical="top" wrapText="1"/>
    </xf>
    <xf numFmtId="0" fontId="15" fillId="0" borderId="1" xfId="4" applyFont="1" applyFill="1" applyBorder="1" applyAlignment="1">
      <alignment horizontal="center" vertical="top" wrapText="1"/>
    </xf>
    <xf numFmtId="2" fontId="15" fillId="0" borderId="1" xfId="4" applyNumberFormat="1" applyFont="1" applyFill="1" applyBorder="1"/>
    <xf numFmtId="2" fontId="15" fillId="0" borderId="1" xfId="4" applyNumberFormat="1" applyFont="1" applyBorder="1"/>
    <xf numFmtId="0" fontId="15" fillId="0" borderId="1" xfId="4" applyFont="1" applyBorder="1"/>
    <xf numFmtId="2" fontId="15" fillId="5" borderId="2" xfId="4" applyNumberFormat="1" applyFont="1" applyFill="1" applyBorder="1"/>
    <xf numFmtId="0" fontId="51" fillId="0" borderId="1" xfId="4" applyFont="1" applyBorder="1"/>
    <xf numFmtId="0" fontId="51" fillId="2" borderId="27" xfId="4" applyFont="1" applyFill="1" applyBorder="1" applyAlignment="1">
      <alignment horizontal="center" vertical="center"/>
    </xf>
    <xf numFmtId="0" fontId="51" fillId="2" borderId="19" xfId="4" applyFont="1" applyFill="1" applyBorder="1" applyAlignment="1">
      <alignment horizontal="center" vertical="center"/>
    </xf>
    <xf numFmtId="0" fontId="50" fillId="4" borderId="1" xfId="4" applyNumberFormat="1" applyFont="1" applyFill="1" applyBorder="1"/>
    <xf numFmtId="2" fontId="49" fillId="0" borderId="2" xfId="4" applyNumberFormat="1" applyFont="1" applyBorder="1"/>
    <xf numFmtId="0" fontId="50" fillId="4" borderId="1" xfId="4" applyFont="1" applyFill="1" applyBorder="1" applyAlignment="1">
      <alignment horizontal="left" vertical="top" wrapText="1"/>
    </xf>
    <xf numFmtId="0" fontId="57" fillId="4" borderId="1" xfId="4" applyFont="1" applyFill="1" applyBorder="1"/>
    <xf numFmtId="2" fontId="57" fillId="4" borderId="2" xfId="4" applyNumberFormat="1" applyFont="1" applyFill="1" applyBorder="1"/>
    <xf numFmtId="0" fontId="57" fillId="2" borderId="1" xfId="4" applyFont="1" applyFill="1" applyBorder="1"/>
    <xf numFmtId="2" fontId="57" fillId="2" borderId="2" xfId="4" applyNumberFormat="1" applyFont="1" applyFill="1" applyBorder="1"/>
    <xf numFmtId="0" fontId="57" fillId="0" borderId="1" xfId="4" applyFont="1" applyBorder="1"/>
    <xf numFmtId="0" fontId="57" fillId="0" borderId="2" xfId="4" applyFont="1" applyBorder="1"/>
    <xf numFmtId="2" fontId="57" fillId="4" borderId="1" xfId="4" applyNumberFormat="1" applyFont="1" applyFill="1" applyBorder="1"/>
    <xf numFmtId="2" fontId="57" fillId="0" borderId="1" xfId="4" applyNumberFormat="1" applyFont="1" applyBorder="1"/>
    <xf numFmtId="2" fontId="57" fillId="0" borderId="2" xfId="4" applyNumberFormat="1" applyFont="1" applyBorder="1"/>
    <xf numFmtId="0" fontId="49" fillId="0" borderId="2" xfId="4" applyNumberFormat="1" applyFont="1" applyBorder="1"/>
    <xf numFmtId="2" fontId="50" fillId="0" borderId="1" xfId="4" applyNumberFormat="1" applyFont="1" applyBorder="1"/>
    <xf numFmtId="0" fontId="49" fillId="0" borderId="1" xfId="4" applyNumberFormat="1" applyFont="1" applyFill="1" applyBorder="1" applyAlignment="1">
      <alignment vertical="top" wrapText="1"/>
    </xf>
    <xf numFmtId="0" fontId="50" fillId="4" borderId="1" xfId="4" applyNumberFormat="1" applyFont="1" applyFill="1" applyBorder="1" applyAlignment="1">
      <alignment vertical="top" wrapText="1"/>
    </xf>
    <xf numFmtId="0" fontId="49" fillId="4" borderId="1" xfId="4" applyNumberFormat="1" applyFont="1" applyFill="1" applyBorder="1" applyAlignment="1">
      <alignment vertical="top" wrapText="1"/>
    </xf>
    <xf numFmtId="0" fontId="49" fillId="0" borderId="1" xfId="4" applyNumberFormat="1" applyFont="1" applyFill="1" applyBorder="1" applyAlignment="1">
      <alignment wrapText="1"/>
    </xf>
    <xf numFmtId="0" fontId="49" fillId="0" borderId="1" xfId="4" applyNumberFormat="1" applyFont="1" applyBorder="1" applyAlignment="1">
      <alignment wrapText="1"/>
    </xf>
    <xf numFmtId="165" fontId="51" fillId="2" borderId="27" xfId="5" applyFont="1" applyFill="1" applyBorder="1" applyAlignment="1">
      <alignment horizontal="center" vertical="center"/>
    </xf>
    <xf numFmtId="165" fontId="51" fillId="2" borderId="19" xfId="5" applyFont="1" applyFill="1" applyBorder="1" applyAlignment="1">
      <alignment horizontal="center" vertical="center"/>
    </xf>
    <xf numFmtId="165" fontId="50" fillId="4" borderId="1" xfId="5" applyFont="1" applyFill="1" applyBorder="1" applyAlignment="1">
      <alignment wrapText="1"/>
    </xf>
    <xf numFmtId="165" fontId="49" fillId="4" borderId="1" xfId="5" applyFont="1" applyFill="1" applyBorder="1" applyAlignment="1"/>
    <xf numFmtId="165" fontId="49" fillId="4" borderId="1" xfId="5" applyFont="1" applyFill="1" applyBorder="1"/>
    <xf numFmtId="165" fontId="49" fillId="4" borderId="2" xfId="5" applyFont="1" applyFill="1" applyBorder="1"/>
    <xf numFmtId="166" fontId="50" fillId="4" borderId="1" xfId="5" applyNumberFormat="1" applyFont="1" applyFill="1" applyBorder="1"/>
    <xf numFmtId="165" fontId="49" fillId="0" borderId="1" xfId="5" applyFont="1" applyFill="1" applyBorder="1"/>
    <xf numFmtId="165" fontId="49" fillId="0" borderId="1" xfId="5" applyFont="1" applyBorder="1" applyAlignment="1"/>
    <xf numFmtId="165" fontId="49" fillId="0" borderId="1" xfId="5" applyFont="1" applyBorder="1"/>
    <xf numFmtId="165" fontId="49" fillId="5" borderId="2" xfId="5" applyFont="1" applyFill="1" applyBorder="1"/>
    <xf numFmtId="166" fontId="50" fillId="0" borderId="1" xfId="5" applyNumberFormat="1" applyFont="1" applyBorder="1"/>
    <xf numFmtId="165" fontId="49" fillId="0" borderId="1" xfId="5" applyFont="1" applyFill="1" applyBorder="1" applyAlignment="1">
      <alignment vertical="top" wrapText="1"/>
    </xf>
    <xf numFmtId="165" fontId="50" fillId="4" borderId="1" xfId="5" applyFont="1" applyFill="1" applyBorder="1" applyAlignment="1">
      <alignment horizontal="left" wrapText="1"/>
    </xf>
    <xf numFmtId="165" fontId="50" fillId="4" borderId="1" xfId="5" applyFont="1" applyFill="1" applyBorder="1"/>
    <xf numFmtId="165" fontId="49" fillId="0" borderId="1" xfId="5" applyFont="1" applyFill="1" applyBorder="1" applyAlignment="1">
      <alignment horizontal="center" vertical="top" wrapText="1"/>
    </xf>
    <xf numFmtId="165" fontId="50" fillId="0" borderId="1" xfId="5" applyFont="1" applyBorder="1"/>
    <xf numFmtId="0" fontId="51" fillId="0" borderId="2" xfId="4" applyFont="1" applyFill="1" applyBorder="1" applyAlignment="1">
      <alignment horizontal="center" vertical="top" wrapText="1"/>
    </xf>
    <xf numFmtId="0" fontId="49" fillId="0" borderId="27" xfId="4" applyFont="1" applyFill="1" applyBorder="1" applyAlignment="1">
      <alignment horizontal="center" vertical="top" wrapText="1"/>
    </xf>
    <xf numFmtId="0" fontId="49" fillId="0" borderId="19" xfId="4" applyFont="1" applyFill="1" applyBorder="1" applyAlignment="1">
      <alignment horizontal="center" vertical="top" wrapText="1"/>
    </xf>
    <xf numFmtId="0" fontId="49" fillId="0" borderId="1" xfId="4" applyFont="1" applyFill="1" applyBorder="1" applyAlignment="1">
      <alignment vertical="center" wrapText="1"/>
    </xf>
    <xf numFmtId="0" fontId="49" fillId="0" borderId="1" xfId="4" applyFont="1" applyFill="1" applyBorder="1" applyAlignment="1">
      <alignment horizontal="center" vertical="center" wrapText="1"/>
    </xf>
    <xf numFmtId="2" fontId="49" fillId="0" borderId="1" xfId="4" applyNumberFormat="1" applyFont="1" applyFill="1" applyBorder="1" applyAlignment="1">
      <alignment vertical="center"/>
    </xf>
    <xf numFmtId="2" fontId="49" fillId="0" borderId="1" xfId="4" applyNumberFormat="1" applyFont="1" applyBorder="1" applyAlignment="1">
      <alignment vertical="center"/>
    </xf>
    <xf numFmtId="0" fontId="49" fillId="0" borderId="1" xfId="4" applyFont="1" applyBorder="1" applyAlignment="1">
      <alignment vertical="center"/>
    </xf>
    <xf numFmtId="2" fontId="49" fillId="5" borderId="2" xfId="4" applyNumberFormat="1" applyFont="1" applyFill="1" applyBorder="1" applyAlignment="1">
      <alignment vertical="center"/>
    </xf>
    <xf numFmtId="0" fontId="51" fillId="2" borderId="2" xfId="4" applyNumberFormat="1" applyFont="1" applyFill="1" applyBorder="1" applyAlignment="1">
      <alignment horizontal="center" vertical="center"/>
    </xf>
    <xf numFmtId="0" fontId="51" fillId="2" borderId="27" xfId="4" applyNumberFormat="1" applyFont="1" applyFill="1" applyBorder="1" applyAlignment="1">
      <alignment horizontal="center" vertical="center"/>
    </xf>
    <xf numFmtId="0" fontId="51" fillId="2" borderId="19" xfId="4" applyNumberFormat="1" applyFont="1" applyFill="1" applyBorder="1" applyAlignment="1">
      <alignment horizontal="center" vertical="center"/>
    </xf>
    <xf numFmtId="0" fontId="51" fillId="2" borderId="1" xfId="4" applyFont="1" applyFill="1" applyBorder="1" applyAlignment="1">
      <alignment vertical="center" wrapText="1"/>
    </xf>
    <xf numFmtId="0" fontId="15" fillId="2" borderId="1" xfId="4" applyFont="1" applyFill="1" applyBorder="1" applyAlignment="1">
      <alignment vertical="center" wrapText="1"/>
    </xf>
    <xf numFmtId="2" fontId="15" fillId="2" borderId="1" xfId="4" applyNumberFormat="1" applyFont="1" applyFill="1" applyBorder="1" applyAlignment="1">
      <alignment vertical="center"/>
    </xf>
    <xf numFmtId="2" fontId="15" fillId="2" borderId="2" xfId="4" applyNumberFormat="1" applyFont="1" applyFill="1" applyBorder="1" applyAlignment="1">
      <alignment vertical="center"/>
    </xf>
    <xf numFmtId="2" fontId="51" fillId="2" borderId="1" xfId="4" applyNumberFormat="1" applyFont="1" applyFill="1" applyBorder="1" applyAlignment="1">
      <alignment vertical="center"/>
    </xf>
    <xf numFmtId="0" fontId="51" fillId="2" borderId="2" xfId="4" applyFont="1" applyFill="1" applyBorder="1" applyAlignment="1">
      <alignment horizontal="center" vertical="center" wrapText="1"/>
    </xf>
    <xf numFmtId="0" fontId="51" fillId="2" borderId="27" xfId="4" applyFont="1" applyFill="1" applyBorder="1" applyAlignment="1">
      <alignment horizontal="center" vertical="center" wrapText="1"/>
    </xf>
    <xf numFmtId="0" fontId="51" fillId="2" borderId="19" xfId="4" applyFont="1" applyFill="1" applyBorder="1" applyAlignment="1">
      <alignment horizontal="center" vertical="center" wrapText="1"/>
    </xf>
    <xf numFmtId="0" fontId="51" fillId="0" borderId="27" xfId="4" applyNumberFormat="1" applyFont="1" applyBorder="1" applyAlignment="1">
      <alignment horizontal="center" vertical="center"/>
    </xf>
    <xf numFmtId="0" fontId="51" fillId="0" borderId="19" xfId="4" applyNumberFormat="1" applyFont="1" applyBorder="1" applyAlignment="1">
      <alignment horizontal="center" vertical="center"/>
    </xf>
    <xf numFmtId="0" fontId="50" fillId="4" borderId="21" xfId="4" applyFont="1" applyFill="1" applyBorder="1" applyAlignment="1">
      <alignment vertical="top" wrapText="1"/>
    </xf>
    <xf numFmtId="0" fontId="49" fillId="4" borderId="21" xfId="4" applyFont="1" applyFill="1" applyBorder="1" applyAlignment="1">
      <alignment vertical="top" wrapText="1"/>
    </xf>
    <xf numFmtId="0" fontId="49" fillId="4" borderId="21" xfId="4" applyFont="1" applyFill="1" applyBorder="1"/>
    <xf numFmtId="1" fontId="49" fillId="4" borderId="35" xfId="4" applyNumberFormat="1" applyFont="1" applyFill="1" applyBorder="1"/>
    <xf numFmtId="0" fontId="49" fillId="0" borderId="21" xfId="4" applyFont="1" applyFill="1" applyBorder="1" applyAlignment="1">
      <alignment vertical="top" wrapText="1"/>
    </xf>
    <xf numFmtId="0" fontId="49" fillId="0" borderId="21" xfId="4" applyFont="1" applyBorder="1"/>
    <xf numFmtId="1" fontId="49" fillId="5" borderId="35" xfId="4" applyNumberFormat="1" applyFont="1" applyFill="1" applyBorder="1"/>
    <xf numFmtId="0" fontId="49" fillId="4" borderId="1" xfId="4" applyFont="1" applyFill="1" applyBorder="1" applyAlignment="1">
      <alignment horizontal="right" vertical="top" wrapText="1"/>
    </xf>
    <xf numFmtId="0" fontId="49" fillId="0" borderId="1" xfId="4" applyFont="1" applyFill="1" applyBorder="1" applyAlignment="1">
      <alignment horizontal="right" vertical="top" wrapText="1"/>
    </xf>
    <xf numFmtId="0" fontId="49" fillId="0" borderId="1" xfId="4" applyNumberFormat="1" applyFont="1" applyBorder="1" applyAlignment="1">
      <alignment horizontal="right"/>
    </xf>
    <xf numFmtId="0" fontId="49" fillId="4" borderId="1" xfId="4" applyNumberFormat="1" applyFont="1" applyFill="1" applyBorder="1" applyAlignment="1">
      <alignment horizontal="right"/>
    </xf>
    <xf numFmtId="0" fontId="49" fillId="2" borderId="1" xfId="4" applyNumberFormat="1" applyFont="1" applyFill="1" applyBorder="1" applyAlignment="1">
      <alignment horizontal="right"/>
    </xf>
    <xf numFmtId="0" fontId="50" fillId="0" borderId="1" xfId="4" applyNumberFormat="1" applyFont="1" applyBorder="1" applyAlignment="1">
      <alignment wrapText="1"/>
    </xf>
    <xf numFmtId="2" fontId="49" fillId="5" borderId="1" xfId="4" applyNumberFormat="1" applyFont="1" applyFill="1" applyBorder="1"/>
    <xf numFmtId="0" fontId="51" fillId="2" borderId="27" xfId="6" applyFont="1" applyFill="1" applyBorder="1" applyAlignment="1">
      <alignment horizontal="center" vertical="center"/>
    </xf>
    <xf numFmtId="0" fontId="51" fillId="2" borderId="19" xfId="6" applyFont="1" applyFill="1" applyBorder="1" applyAlignment="1">
      <alignment horizontal="center" vertical="center"/>
    </xf>
    <xf numFmtId="0" fontId="50" fillId="4" borderId="1" xfId="6" applyFont="1" applyFill="1" applyBorder="1" applyAlignment="1">
      <alignment wrapText="1"/>
    </xf>
    <xf numFmtId="0" fontId="49" fillId="4" borderId="1" xfId="6" applyNumberFormat="1" applyFont="1" applyFill="1" applyBorder="1"/>
    <xf numFmtId="0" fontId="49" fillId="2" borderId="1" xfId="6" applyFont="1" applyFill="1" applyBorder="1" applyAlignment="1">
      <alignment wrapText="1"/>
    </xf>
    <xf numFmtId="0" fontId="49" fillId="2" borderId="1" xfId="6" applyNumberFormat="1" applyFont="1" applyFill="1" applyBorder="1"/>
    <xf numFmtId="2" fontId="49" fillId="2" borderId="1" xfId="6" applyNumberFormat="1" applyFont="1" applyFill="1" applyBorder="1"/>
    <xf numFmtId="2" fontId="49" fillId="2" borderId="2" xfId="6" applyNumberFormat="1" applyFont="1" applyFill="1" applyBorder="1"/>
    <xf numFmtId="0" fontId="49" fillId="0" borderId="1" xfId="6" applyNumberFormat="1" applyFont="1" applyFill="1" applyBorder="1"/>
    <xf numFmtId="0" fontId="49" fillId="2" borderId="2" xfId="6" applyNumberFormat="1" applyFont="1" applyFill="1" applyBorder="1"/>
    <xf numFmtId="0" fontId="49" fillId="0" borderId="1" xfId="6" applyFont="1" applyFill="1" applyBorder="1" applyAlignment="1">
      <alignment vertical="top" wrapText="1"/>
    </xf>
    <xf numFmtId="0" fontId="49" fillId="0" borderId="1" xfId="6" applyFont="1" applyFill="1" applyBorder="1" applyAlignment="1">
      <alignment horizontal="center" vertical="top" wrapText="1"/>
    </xf>
    <xf numFmtId="2" fontId="49" fillId="0" borderId="1" xfId="6" applyNumberFormat="1" applyFont="1" applyFill="1" applyBorder="1"/>
    <xf numFmtId="2" fontId="49" fillId="0" borderId="1" xfId="6" applyNumberFormat="1" applyFont="1" applyBorder="1"/>
    <xf numFmtId="0" fontId="49" fillId="0" borderId="1" xfId="6" applyFont="1" applyBorder="1"/>
    <xf numFmtId="2" fontId="49" fillId="5" borderId="2" xfId="6" applyNumberFormat="1" applyFont="1" applyFill="1" applyBorder="1"/>
    <xf numFmtId="0" fontId="49" fillId="2" borderId="1" xfId="6" applyFont="1" applyFill="1" applyBorder="1" applyAlignment="1">
      <alignment vertical="top" wrapText="1"/>
    </xf>
    <xf numFmtId="0" fontId="49" fillId="0" borderId="1" xfId="6" applyNumberFormat="1" applyFont="1" applyBorder="1"/>
    <xf numFmtId="0" fontId="49" fillId="5" borderId="2" xfId="6" applyNumberFormat="1" applyFont="1" applyFill="1" applyBorder="1"/>
    <xf numFmtId="0" fontId="51" fillId="0" borderId="2" xfId="4" applyNumberFormat="1" applyFont="1" applyBorder="1" applyAlignment="1">
      <alignment horizontal="center" vertical="center"/>
    </xf>
    <xf numFmtId="2" fontId="49" fillId="0" borderId="21" xfId="4" applyNumberFormat="1" applyFont="1" applyBorder="1"/>
    <xf numFmtId="2" fontId="49" fillId="2" borderId="1" xfId="4" applyNumberFormat="1" applyFont="1" applyFill="1" applyBorder="1" applyAlignment="1">
      <alignment wrapText="1"/>
    </xf>
    <xf numFmtId="0" fontId="49" fillId="0" borderId="0" xfId="4" applyFont="1" applyBorder="1"/>
    <xf numFmtId="0" fontId="57" fillId="0" borderId="0" xfId="4" applyFont="1" applyBorder="1"/>
    <xf numFmtId="2" fontId="49" fillId="0" borderId="0" xfId="4" applyNumberFormat="1" applyFont="1" applyBorder="1"/>
    <xf numFmtId="2" fontId="49" fillId="2" borderId="0" xfId="4" applyNumberFormat="1" applyFont="1" applyFill="1" applyBorder="1" applyAlignment="1">
      <alignment wrapText="1"/>
    </xf>
    <xf numFmtId="2" fontId="49" fillId="2" borderId="0" xfId="4" applyNumberFormat="1" applyFont="1" applyFill="1" applyBorder="1"/>
    <xf numFmtId="0" fontId="58" fillId="2" borderId="0" xfId="6" applyFont="1" applyFill="1" applyAlignment="1">
      <alignment horizontal="center"/>
    </xf>
    <xf numFmtId="0" fontId="52" fillId="0" borderId="0" xfId="6" applyFont="1"/>
    <xf numFmtId="0" fontId="52" fillId="0" borderId="1" xfId="6" applyFont="1" applyBorder="1" applyAlignment="1">
      <alignment horizontal="center"/>
    </xf>
    <xf numFmtId="0" fontId="52" fillId="0" borderId="1" xfId="6" applyFont="1" applyBorder="1" applyAlignment="1">
      <alignment horizontal="center" wrapText="1"/>
    </xf>
    <xf numFmtId="0" fontId="52" fillId="0" borderId="1" xfId="6" applyFont="1" applyBorder="1" applyAlignment="1">
      <alignment horizontal="center" vertical="center" wrapText="1"/>
    </xf>
    <xf numFmtId="1" fontId="52" fillId="4" borderId="1" xfId="6" applyNumberFormat="1" applyFont="1" applyFill="1" applyBorder="1" applyAlignment="1">
      <alignment horizontal="center"/>
    </xf>
    <xf numFmtId="0" fontId="59" fillId="0" borderId="0" xfId="6" applyFont="1"/>
    <xf numFmtId="0" fontId="60" fillId="0" borderId="1" xfId="0" applyFont="1" applyBorder="1" applyAlignment="1">
      <alignment wrapText="1"/>
    </xf>
    <xf numFmtId="2" fontId="61" fillId="0" borderId="1" xfId="0" applyNumberFormat="1" applyFont="1" applyBorder="1" applyAlignment="1">
      <alignment wrapText="1"/>
    </xf>
    <xf numFmtId="164" fontId="61" fillId="0" borderId="1" xfId="0" applyNumberFormat="1" applyFont="1" applyBorder="1" applyAlignment="1">
      <alignment wrapText="1"/>
    </xf>
    <xf numFmtId="9" fontId="61" fillId="0" borderId="1" xfId="0" applyNumberFormat="1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horizontal="center" vertical="center" textRotation="90" wrapText="1"/>
    </xf>
    <xf numFmtId="0" fontId="62" fillId="0" borderId="1" xfId="0" applyFont="1" applyBorder="1" applyAlignment="1">
      <alignment wrapText="1"/>
    </xf>
    <xf numFmtId="0" fontId="39" fillId="0" borderId="1" xfId="0" applyFont="1" applyBorder="1" applyAlignment="1">
      <alignment horizontal="right" textRotation="90" wrapText="1"/>
    </xf>
    <xf numFmtId="0" fontId="39" fillId="0" borderId="1" xfId="0" applyFont="1" applyBorder="1" applyAlignment="1">
      <alignment horizontal="right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/>
    </xf>
    <xf numFmtId="1" fontId="0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 shrinkToFit="1"/>
    </xf>
    <xf numFmtId="0" fontId="1" fillId="0" borderId="3" xfId="0" applyFont="1" applyBorder="1" applyAlignment="1">
      <alignment horizontal="left" vertical="top"/>
    </xf>
    <xf numFmtId="0" fontId="26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1" xfId="0" applyFont="1" applyBorder="1" applyAlignment="1">
      <alignment wrapText="1"/>
    </xf>
    <xf numFmtId="2" fontId="21" fillId="0" borderId="1" xfId="0" applyNumberFormat="1" applyFont="1" applyBorder="1" applyAlignment="1">
      <alignment horizontal="right"/>
    </xf>
    <xf numFmtId="1" fontId="21" fillId="0" borderId="1" xfId="0" applyNumberFormat="1" applyFont="1" applyBorder="1" applyAlignment="1">
      <alignment horizontal="right"/>
    </xf>
    <xf numFmtId="0" fontId="21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right"/>
    </xf>
    <xf numFmtId="1" fontId="0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64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39" fillId="0" borderId="3" xfId="0" applyFont="1" applyBorder="1" applyAlignment="1">
      <alignment textRotation="90" wrapText="1"/>
    </xf>
    <xf numFmtId="0" fontId="39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2" fontId="1" fillId="0" borderId="3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vertical="center" wrapText="1"/>
    </xf>
    <xf numFmtId="0" fontId="21" fillId="0" borderId="1" xfId="0" applyFont="1" applyBorder="1" applyAlignment="1"/>
    <xf numFmtId="2" fontId="21" fillId="0" borderId="1" xfId="0" applyNumberFormat="1" applyFont="1" applyBorder="1" applyAlignment="1"/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center" wrapText="1"/>
    </xf>
    <xf numFmtId="0" fontId="1" fillId="0" borderId="0" xfId="0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0" fillId="0" borderId="0" xfId="0" applyFont="1" applyAlignment="1"/>
    <xf numFmtId="0" fontId="41" fillId="0" borderId="0" xfId="0" applyFont="1" applyFill="1" applyBorder="1" applyAlignment="1">
      <alignment vertical="top"/>
    </xf>
    <xf numFmtId="166" fontId="1" fillId="0" borderId="1" xfId="3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0" fillId="0" borderId="1" xfId="0" applyFont="1" applyBorder="1" applyAlignment="1">
      <alignment horizontal="left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4"/>
    <cellStyle name="Финансовый 2" xfId="3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&#1082;&#1072;&#1083;&#1100;&#1082;&#1091;&#1083;&#1103;&#1094;&#1110;&#1103;%202018-2019/&#1074;&#1110;&#1082;&#1072;/2018/&#1082;&#1072;&#1083;&#1100;&#1082;&#1091;&#1083;&#1103;&#1094;&#1110;&#1111;/&#1082;&#1072;&#1083;&#1100;&#1082;&#1091;&#1083;&#1103;&#1094;&#1110;&#1103;%20&#1084;&#1086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ія для МО"/>
      <sheetName val="матеріали для МО"/>
      <sheetName val="зарплата"/>
      <sheetName val="246"/>
      <sheetName val="240"/>
      <sheetName val="578"/>
      <sheetName val="728"/>
      <sheetName val="280 Молокія"/>
      <sheetName val="280"/>
      <sheetName val="Для водіїв"/>
      <sheetName val="загальний"/>
      <sheetName val="Санкнижка педагоги"/>
      <sheetName val="Фін план Малінська"/>
      <sheetName val="Лист1"/>
    </sheetNames>
    <sheetDataSet>
      <sheetData sheetId="0" refreshError="1"/>
      <sheetData sheetId="1" refreshError="1">
        <row r="7">
          <cell r="F7">
            <v>3.98</v>
          </cell>
        </row>
        <row r="28">
          <cell r="F28">
            <v>6.34</v>
          </cell>
        </row>
        <row r="36">
          <cell r="F36">
            <v>3.52</v>
          </cell>
        </row>
        <row r="64">
          <cell r="F64">
            <v>8.9499999999999993</v>
          </cell>
        </row>
        <row r="87">
          <cell r="F87">
            <v>3.46</v>
          </cell>
        </row>
        <row r="92">
          <cell r="F92">
            <v>1.03</v>
          </cell>
        </row>
        <row r="104">
          <cell r="F104">
            <v>8.89</v>
          </cell>
        </row>
        <row r="113">
          <cell r="F113">
            <v>6.5</v>
          </cell>
        </row>
        <row r="162">
          <cell r="F162">
            <v>3.09</v>
          </cell>
        </row>
        <row r="178">
          <cell r="F178">
            <v>3.68</v>
          </cell>
        </row>
        <row r="186">
          <cell r="F186">
            <v>11.31</v>
          </cell>
        </row>
        <row r="196">
          <cell r="F196">
            <v>6.79</v>
          </cell>
        </row>
        <row r="204">
          <cell r="F204">
            <v>5.78</v>
          </cell>
        </row>
        <row r="210">
          <cell r="F210">
            <v>5.62</v>
          </cell>
        </row>
        <row r="216">
          <cell r="F216">
            <v>5.55</v>
          </cell>
        </row>
        <row r="225">
          <cell r="F225">
            <v>4.17</v>
          </cell>
        </row>
        <row r="231">
          <cell r="F231">
            <v>4.3</v>
          </cell>
        </row>
        <row r="238">
          <cell r="F238">
            <v>3.5</v>
          </cell>
        </row>
        <row r="260">
          <cell r="F260">
            <v>4.8099999999999996</v>
          </cell>
        </row>
        <row r="267">
          <cell r="F267">
            <v>5.76</v>
          </cell>
        </row>
        <row r="274">
          <cell r="F274">
            <v>2.72</v>
          </cell>
        </row>
        <row r="282">
          <cell r="F282">
            <v>4.41</v>
          </cell>
        </row>
        <row r="312">
          <cell r="F312">
            <v>2.95</v>
          </cell>
        </row>
        <row r="319">
          <cell r="F319">
            <v>4.72</v>
          </cell>
        </row>
        <row r="332">
          <cell r="F332">
            <v>4.6500000000000004</v>
          </cell>
        </row>
        <row r="339">
          <cell r="F339">
            <v>4.5999999999999996</v>
          </cell>
        </row>
        <row r="348">
          <cell r="F348">
            <v>3.99</v>
          </cell>
        </row>
        <row r="381">
          <cell r="F381">
            <v>8.01</v>
          </cell>
        </row>
        <row r="398">
          <cell r="F398">
            <v>4.41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1"/>
  <sheetViews>
    <sheetView topLeftCell="A202" workbookViewId="0">
      <selection activeCell="H5" sqref="H5"/>
    </sheetView>
  </sheetViews>
  <sheetFormatPr defaultRowHeight="15"/>
  <cols>
    <col min="1" max="1" width="6.140625" customWidth="1"/>
    <col min="2" max="2" width="45" customWidth="1"/>
    <col min="3" max="3" width="8.5703125" customWidth="1"/>
    <col min="4" max="4" width="9.5703125" customWidth="1"/>
    <col min="5" max="5" width="8.140625" style="1" customWidth="1"/>
    <col min="6" max="6" width="9" bestFit="1" customWidth="1"/>
    <col min="7" max="7" width="8.5703125" customWidth="1"/>
    <col min="8" max="8" width="11.85546875" bestFit="1" customWidth="1"/>
    <col min="9" max="9" width="13.42578125" customWidth="1"/>
    <col min="10" max="10" width="9" style="31" bestFit="1" customWidth="1"/>
  </cols>
  <sheetData>
    <row r="1" spans="1:12" ht="20.25">
      <c r="A1" s="7"/>
      <c r="B1" s="247" t="s">
        <v>235</v>
      </c>
      <c r="C1" s="247"/>
      <c r="D1" s="247"/>
      <c r="E1" s="247"/>
      <c r="F1" s="247"/>
      <c r="G1" s="247"/>
      <c r="H1" s="247"/>
      <c r="I1" s="247"/>
      <c r="J1" s="247"/>
    </row>
    <row r="2" spans="1:12" ht="18.75">
      <c r="A2" s="8"/>
      <c r="B2" s="248" t="s">
        <v>236</v>
      </c>
      <c r="C2" s="248"/>
      <c r="D2" s="248"/>
      <c r="E2" s="248"/>
      <c r="F2" s="248"/>
      <c r="G2" s="248"/>
      <c r="H2" s="248"/>
      <c r="I2" s="248"/>
      <c r="J2" s="248"/>
    </row>
    <row r="3" spans="1:12" ht="15.75">
      <c r="C3" s="6"/>
      <c r="D3" s="6"/>
      <c r="E3" s="6"/>
      <c r="F3" s="6"/>
      <c r="G3" s="6"/>
      <c r="H3" s="6"/>
    </row>
    <row r="4" spans="1:12" ht="60.75" customHeight="1">
      <c r="A4" s="9" t="s">
        <v>0</v>
      </c>
      <c r="B4" s="9" t="s">
        <v>130</v>
      </c>
      <c r="C4" s="10" t="s">
        <v>135</v>
      </c>
      <c r="D4" s="10" t="s">
        <v>132</v>
      </c>
      <c r="E4" s="11" t="s">
        <v>133</v>
      </c>
      <c r="F4" s="10" t="s">
        <v>134</v>
      </c>
      <c r="G4" s="10" t="s">
        <v>239</v>
      </c>
      <c r="H4" s="13" t="s">
        <v>1054</v>
      </c>
      <c r="I4" s="14" t="s">
        <v>131</v>
      </c>
      <c r="J4" s="32" t="s">
        <v>234</v>
      </c>
    </row>
    <row r="5" spans="1:12" ht="15" customHeight="1">
      <c r="A5" s="9">
        <v>1</v>
      </c>
      <c r="B5" s="16" t="s">
        <v>98</v>
      </c>
      <c r="C5" s="17">
        <v>45</v>
      </c>
      <c r="D5" s="18">
        <f>59.45*1.167</f>
        <v>69.378150000000005</v>
      </c>
      <c r="E5" s="15">
        <f>D5*0.22</f>
        <v>15.263193000000001</v>
      </c>
      <c r="F5" s="19">
        <v>152.94999999999999</v>
      </c>
      <c r="G5" s="18">
        <f>0.5092*D5</f>
        <v>35.327353980000005</v>
      </c>
      <c r="H5" s="18">
        <f>D5*0.29</f>
        <v>20.119663500000001</v>
      </c>
      <c r="I5" s="20">
        <f>D5+E5+F5+G5+H5</f>
        <v>293.03836047999999</v>
      </c>
      <c r="J5" s="33">
        <f>I5*1.35</f>
        <v>395.60178664800003</v>
      </c>
    </row>
    <row r="6" spans="1:12" ht="15" customHeight="1">
      <c r="A6" s="9">
        <f>A5+1</f>
        <v>2</v>
      </c>
      <c r="B6" s="16" t="s">
        <v>99</v>
      </c>
      <c r="C6" s="17">
        <v>55</v>
      </c>
      <c r="D6" s="18">
        <f>72.67*1.167</f>
        <v>84.805890000000005</v>
      </c>
      <c r="E6" s="15">
        <f t="shared" ref="E6:E11" si="0">D6*0.22</f>
        <v>18.6572958</v>
      </c>
      <c r="F6" s="21">
        <v>208.9</v>
      </c>
      <c r="G6" s="18">
        <f t="shared" ref="G6:G11" si="1">0.5092*D6</f>
        <v>43.183159188000005</v>
      </c>
      <c r="H6" s="18">
        <f t="shared" ref="H6:H11" si="2">D6*0.29</f>
        <v>24.593708100000001</v>
      </c>
      <c r="I6" s="20">
        <f t="shared" ref="I6:I68" si="3">D6+E6+F6+G6+H6</f>
        <v>380.140053088</v>
      </c>
      <c r="J6" s="33">
        <f t="shared" ref="J6:J68" si="4">I6*1.35</f>
        <v>513.18907166880001</v>
      </c>
    </row>
    <row r="7" spans="1:12" ht="15" customHeight="1">
      <c r="A7" s="9">
        <f t="shared" ref="A7:A70" si="5">A6+1</f>
        <v>3</v>
      </c>
      <c r="B7" s="16" t="s">
        <v>100</v>
      </c>
      <c r="C7" s="17">
        <v>55</v>
      </c>
      <c r="D7" s="18">
        <f>72.67*1.167</f>
        <v>84.805890000000005</v>
      </c>
      <c r="E7" s="15">
        <f t="shared" si="0"/>
        <v>18.6572958</v>
      </c>
      <c r="F7" s="21">
        <v>393.1</v>
      </c>
      <c r="G7" s="18">
        <f t="shared" si="1"/>
        <v>43.183159188000005</v>
      </c>
      <c r="H7" s="18">
        <f t="shared" si="2"/>
        <v>24.593708100000001</v>
      </c>
      <c r="I7" s="20">
        <f t="shared" si="3"/>
        <v>564.34005308799999</v>
      </c>
      <c r="J7" s="33">
        <f t="shared" si="4"/>
        <v>761.85907166880008</v>
      </c>
    </row>
    <row r="8" spans="1:12" ht="15" customHeight="1">
      <c r="A8" s="9">
        <f t="shared" si="5"/>
        <v>4</v>
      </c>
      <c r="B8" s="9" t="s">
        <v>101</v>
      </c>
      <c r="C8" s="17">
        <v>90</v>
      </c>
      <c r="D8" s="18">
        <f>118.91*1.167</f>
        <v>138.76796999999999</v>
      </c>
      <c r="E8" s="15">
        <f t="shared" si="0"/>
        <v>30.528953399999999</v>
      </c>
      <c r="F8" s="21">
        <v>365.45</v>
      </c>
      <c r="G8" s="18">
        <f t="shared" si="1"/>
        <v>70.660650323999988</v>
      </c>
      <c r="H8" s="18">
        <f t="shared" si="2"/>
        <v>40.242711299999996</v>
      </c>
      <c r="I8" s="20">
        <f t="shared" si="3"/>
        <v>645.65028502400003</v>
      </c>
      <c r="J8" s="33">
        <f t="shared" si="4"/>
        <v>871.62788478240009</v>
      </c>
    </row>
    <row r="9" spans="1:12" ht="15" customHeight="1">
      <c r="A9" s="9">
        <f t="shared" si="5"/>
        <v>5</v>
      </c>
      <c r="B9" s="9" t="s">
        <v>102</v>
      </c>
      <c r="C9" s="17">
        <v>40</v>
      </c>
      <c r="D9" s="18">
        <f>52.85*1.167</f>
        <v>61.67595</v>
      </c>
      <c r="E9" s="15">
        <f t="shared" si="0"/>
        <v>13.568709</v>
      </c>
      <c r="F9" s="21">
        <v>219.29</v>
      </c>
      <c r="G9" s="18">
        <f t="shared" si="1"/>
        <v>31.405393740000001</v>
      </c>
      <c r="H9" s="18">
        <f t="shared" si="2"/>
        <v>17.886025499999999</v>
      </c>
      <c r="I9" s="20">
        <f t="shared" si="3"/>
        <v>343.82607824000002</v>
      </c>
      <c r="J9" s="33">
        <f t="shared" si="4"/>
        <v>464.16520562400007</v>
      </c>
    </row>
    <row r="10" spans="1:12" ht="15" customHeight="1">
      <c r="A10" s="9">
        <f t="shared" si="5"/>
        <v>6</v>
      </c>
      <c r="B10" s="16" t="s">
        <v>138</v>
      </c>
      <c r="C10" s="17">
        <v>45</v>
      </c>
      <c r="D10" s="18">
        <f>59.45*1.167</f>
        <v>69.378150000000005</v>
      </c>
      <c r="E10" s="15">
        <f t="shared" si="0"/>
        <v>15.263193000000001</v>
      </c>
      <c r="F10" s="21">
        <v>285.99</v>
      </c>
      <c r="G10" s="18">
        <f t="shared" si="1"/>
        <v>35.327353980000005</v>
      </c>
      <c r="H10" s="18">
        <f t="shared" si="2"/>
        <v>20.119663500000001</v>
      </c>
      <c r="I10" s="20">
        <f t="shared" si="3"/>
        <v>426.07836048000001</v>
      </c>
      <c r="J10" s="33">
        <f t="shared" si="4"/>
        <v>575.20578664800007</v>
      </c>
      <c r="L10" s="2"/>
    </row>
    <row r="11" spans="1:12" ht="15" customHeight="1">
      <c r="A11" s="9">
        <f t="shared" si="5"/>
        <v>7</v>
      </c>
      <c r="B11" s="9" t="s">
        <v>103</v>
      </c>
      <c r="C11" s="17">
        <v>120</v>
      </c>
      <c r="D11" s="18">
        <f>158.54*1.167</f>
        <v>185.01617999999999</v>
      </c>
      <c r="E11" s="15">
        <f t="shared" si="0"/>
        <v>40.703559599999998</v>
      </c>
      <c r="F11" s="21">
        <v>207.55</v>
      </c>
      <c r="G11" s="18">
        <f t="shared" si="1"/>
        <v>94.210238855999989</v>
      </c>
      <c r="H11" s="18">
        <f t="shared" si="2"/>
        <v>53.654692199999992</v>
      </c>
      <c r="I11" s="20">
        <f t="shared" si="3"/>
        <v>581.13467065600003</v>
      </c>
      <c r="J11" s="33">
        <f t="shared" si="4"/>
        <v>784.53180538560014</v>
      </c>
    </row>
    <row r="12" spans="1:12" ht="15" customHeight="1">
      <c r="A12" s="9">
        <f>A11+1</f>
        <v>8</v>
      </c>
      <c r="B12" s="9" t="s">
        <v>104</v>
      </c>
      <c r="C12" s="12">
        <v>10</v>
      </c>
      <c r="D12" s="18">
        <f>7.18*1.167</f>
        <v>8.3790599999999991</v>
      </c>
      <c r="E12" s="15">
        <f>D12*0.22</f>
        <v>1.8433931999999997</v>
      </c>
      <c r="F12" s="18">
        <v>6.5</v>
      </c>
      <c r="G12" s="22">
        <f>0.125*D12</f>
        <v>1.0473824999999999</v>
      </c>
      <c r="H12" s="22">
        <f>D12*0.29</f>
        <v>2.4299273999999995</v>
      </c>
      <c r="I12" s="20">
        <f t="shared" si="3"/>
        <v>20.199763099999998</v>
      </c>
      <c r="J12" s="33">
        <f t="shared" si="4"/>
        <v>27.269680184999999</v>
      </c>
    </row>
    <row r="13" spans="1:12" ht="15" customHeight="1">
      <c r="A13" s="9">
        <f t="shared" si="5"/>
        <v>9</v>
      </c>
      <c r="B13" s="9" t="s">
        <v>105</v>
      </c>
      <c r="C13" s="12">
        <v>10</v>
      </c>
      <c r="D13" s="18">
        <f>7.18*1.167</f>
        <v>8.3790599999999991</v>
      </c>
      <c r="E13" s="15">
        <f t="shared" ref="E13:E76" si="6">D13*0.22</f>
        <v>1.8433931999999997</v>
      </c>
      <c r="F13" s="18">
        <v>8.91</v>
      </c>
      <c r="G13" s="22">
        <f t="shared" ref="G13:G76" si="7">0.125*D13</f>
        <v>1.0473824999999999</v>
      </c>
      <c r="H13" s="22">
        <f t="shared" ref="H13:H76" si="8">D13*0.29</f>
        <v>2.4299273999999995</v>
      </c>
      <c r="I13" s="20">
        <f t="shared" si="3"/>
        <v>22.609763100000002</v>
      </c>
      <c r="J13" s="33">
        <f t="shared" si="4"/>
        <v>30.523180185000005</v>
      </c>
    </row>
    <row r="14" spans="1:12" ht="15" customHeight="1">
      <c r="A14" s="9">
        <f t="shared" si="5"/>
        <v>10</v>
      </c>
      <c r="B14" s="9" t="s">
        <v>106</v>
      </c>
      <c r="C14" s="12">
        <v>5</v>
      </c>
      <c r="D14" s="18">
        <f>3.61*1.167</f>
        <v>4.2128699999999997</v>
      </c>
      <c r="E14" s="15">
        <f t="shared" si="6"/>
        <v>0.92683139999999997</v>
      </c>
      <c r="F14" s="18">
        <v>8.33</v>
      </c>
      <c r="G14" s="22">
        <f t="shared" si="7"/>
        <v>0.52660874999999996</v>
      </c>
      <c r="H14" s="22">
        <f t="shared" si="8"/>
        <v>1.2217322999999998</v>
      </c>
      <c r="I14" s="20">
        <f t="shared" si="3"/>
        <v>15.218042449999999</v>
      </c>
      <c r="J14" s="33">
        <f t="shared" si="4"/>
        <v>20.5443573075</v>
      </c>
    </row>
    <row r="15" spans="1:12" ht="15" customHeight="1">
      <c r="A15" s="9">
        <f t="shared" si="5"/>
        <v>11</v>
      </c>
      <c r="B15" s="9" t="s">
        <v>211</v>
      </c>
      <c r="C15" s="12">
        <v>10</v>
      </c>
      <c r="D15" s="18">
        <f>7.18*1.167</f>
        <v>8.3790599999999991</v>
      </c>
      <c r="E15" s="15">
        <f t="shared" si="6"/>
        <v>1.8433931999999997</v>
      </c>
      <c r="F15" s="18">
        <v>8.0399999999999991</v>
      </c>
      <c r="G15" s="22">
        <f t="shared" si="7"/>
        <v>1.0473824999999999</v>
      </c>
      <c r="H15" s="22">
        <f t="shared" si="8"/>
        <v>2.4299273999999995</v>
      </c>
      <c r="I15" s="20">
        <f t="shared" si="3"/>
        <v>21.739763099999998</v>
      </c>
      <c r="J15" s="33">
        <f t="shared" si="4"/>
        <v>29.348680184999999</v>
      </c>
    </row>
    <row r="16" spans="1:12" ht="15" customHeight="1">
      <c r="A16" s="9">
        <f t="shared" si="5"/>
        <v>12</v>
      </c>
      <c r="B16" s="16" t="s">
        <v>107</v>
      </c>
      <c r="C16" s="12">
        <v>10</v>
      </c>
      <c r="D16" s="18">
        <f>7.18*1.167</f>
        <v>8.3790599999999991</v>
      </c>
      <c r="E16" s="15">
        <f t="shared" si="6"/>
        <v>1.8433931999999997</v>
      </c>
      <c r="F16" s="18">
        <v>75</v>
      </c>
      <c r="G16" s="22">
        <f t="shared" si="7"/>
        <v>1.0473824999999999</v>
      </c>
      <c r="H16" s="22">
        <f t="shared" si="8"/>
        <v>2.4299273999999995</v>
      </c>
      <c r="I16" s="20">
        <f t="shared" si="3"/>
        <v>88.699763099999998</v>
      </c>
      <c r="J16" s="33">
        <f t="shared" si="4"/>
        <v>119.74468018500001</v>
      </c>
    </row>
    <row r="17" spans="1:10" ht="15" customHeight="1">
      <c r="A17" s="9">
        <f t="shared" si="5"/>
        <v>13</v>
      </c>
      <c r="B17" s="16" t="s">
        <v>218</v>
      </c>
      <c r="C17" s="12">
        <v>6</v>
      </c>
      <c r="D17" s="18">
        <f>5.36*1.167</f>
        <v>6.2551200000000007</v>
      </c>
      <c r="E17" s="15">
        <f t="shared" si="6"/>
        <v>1.3761264000000002</v>
      </c>
      <c r="F17" s="18">
        <v>3.63</v>
      </c>
      <c r="G17" s="22">
        <f t="shared" si="7"/>
        <v>0.78189000000000008</v>
      </c>
      <c r="H17" s="22">
        <f t="shared" si="8"/>
        <v>1.8139848000000001</v>
      </c>
      <c r="I17" s="20">
        <f t="shared" si="3"/>
        <v>13.857121200000002</v>
      </c>
      <c r="J17" s="33">
        <f t="shared" si="4"/>
        <v>18.707113620000005</v>
      </c>
    </row>
    <row r="18" spans="1:10" ht="15" customHeight="1">
      <c r="A18" s="9">
        <f t="shared" si="5"/>
        <v>14</v>
      </c>
      <c r="B18" s="16" t="s">
        <v>108</v>
      </c>
      <c r="C18" s="12">
        <v>5</v>
      </c>
      <c r="D18" s="18">
        <f>4.46*1.167</f>
        <v>5.2048199999999998</v>
      </c>
      <c r="E18" s="15">
        <f t="shared" si="6"/>
        <v>1.1450604</v>
      </c>
      <c r="F18" s="18">
        <v>3.63</v>
      </c>
      <c r="G18" s="22">
        <f t="shared" si="7"/>
        <v>0.65060249999999997</v>
      </c>
      <c r="H18" s="22">
        <f t="shared" si="8"/>
        <v>1.5093977999999999</v>
      </c>
      <c r="I18" s="20">
        <f t="shared" si="3"/>
        <v>12.139880699999999</v>
      </c>
      <c r="J18" s="33">
        <f t="shared" si="4"/>
        <v>16.388838945</v>
      </c>
    </row>
    <row r="19" spans="1:10" ht="15" customHeight="1">
      <c r="A19" s="9">
        <f t="shared" si="5"/>
        <v>15</v>
      </c>
      <c r="B19" s="16" t="s">
        <v>136</v>
      </c>
      <c r="C19" s="12">
        <v>5</v>
      </c>
      <c r="D19" s="18">
        <f>3.61*1.167</f>
        <v>4.2128699999999997</v>
      </c>
      <c r="E19" s="15">
        <f t="shared" si="6"/>
        <v>0.92683139999999997</v>
      </c>
      <c r="F19" s="18">
        <v>11.6</v>
      </c>
      <c r="G19" s="22">
        <f t="shared" si="7"/>
        <v>0.52660874999999996</v>
      </c>
      <c r="H19" s="22">
        <f t="shared" si="8"/>
        <v>1.2217322999999998</v>
      </c>
      <c r="I19" s="20">
        <f t="shared" si="3"/>
        <v>18.488042450000002</v>
      </c>
      <c r="J19" s="33">
        <f t="shared" si="4"/>
        <v>24.958857307500004</v>
      </c>
    </row>
    <row r="20" spans="1:10" ht="15" customHeight="1">
      <c r="A20" s="9">
        <f t="shared" si="5"/>
        <v>16</v>
      </c>
      <c r="B20" s="16" t="s">
        <v>109</v>
      </c>
      <c r="C20" s="12">
        <v>6</v>
      </c>
      <c r="D20" s="18">
        <f>5.36*1.167</f>
        <v>6.2551200000000007</v>
      </c>
      <c r="E20" s="15">
        <f t="shared" si="6"/>
        <v>1.3761264000000002</v>
      </c>
      <c r="F20" s="18">
        <v>8.19</v>
      </c>
      <c r="G20" s="22">
        <f t="shared" si="7"/>
        <v>0.78189000000000008</v>
      </c>
      <c r="H20" s="22">
        <f t="shared" si="8"/>
        <v>1.8139848000000001</v>
      </c>
      <c r="I20" s="20">
        <f t="shared" si="3"/>
        <v>18.4171212</v>
      </c>
      <c r="J20" s="33">
        <f t="shared" si="4"/>
        <v>24.863113620000004</v>
      </c>
    </row>
    <row r="21" spans="1:10" ht="15" customHeight="1">
      <c r="A21" s="9">
        <f t="shared" si="5"/>
        <v>17</v>
      </c>
      <c r="B21" s="16" t="s">
        <v>137</v>
      </c>
      <c r="C21" s="12">
        <v>15</v>
      </c>
      <c r="D21" s="18">
        <f>10.8*1.167</f>
        <v>12.603600000000002</v>
      </c>
      <c r="E21" s="15">
        <f t="shared" si="6"/>
        <v>2.7727920000000004</v>
      </c>
      <c r="F21" s="18">
        <v>12.6</v>
      </c>
      <c r="G21" s="22">
        <f t="shared" si="7"/>
        <v>1.5754500000000002</v>
      </c>
      <c r="H21" s="22">
        <f t="shared" si="8"/>
        <v>3.6550440000000002</v>
      </c>
      <c r="I21" s="20">
        <f t="shared" si="3"/>
        <v>33.206886000000004</v>
      </c>
      <c r="J21" s="33">
        <f t="shared" si="4"/>
        <v>44.829296100000008</v>
      </c>
    </row>
    <row r="22" spans="1:10" ht="15" customHeight="1">
      <c r="A22" s="9">
        <f t="shared" si="5"/>
        <v>18</v>
      </c>
      <c r="B22" s="16" t="s">
        <v>139</v>
      </c>
      <c r="C22" s="12">
        <v>5</v>
      </c>
      <c r="D22" s="18">
        <f>3.61*1.167</f>
        <v>4.2128699999999997</v>
      </c>
      <c r="E22" s="15">
        <f t="shared" si="6"/>
        <v>0.92683139999999997</v>
      </c>
      <c r="F22" s="18">
        <v>6.63</v>
      </c>
      <c r="G22" s="22">
        <f t="shared" si="7"/>
        <v>0.52660874999999996</v>
      </c>
      <c r="H22" s="22">
        <f t="shared" si="8"/>
        <v>1.2217322999999998</v>
      </c>
      <c r="I22" s="20">
        <f t="shared" si="3"/>
        <v>13.518042449999998</v>
      </c>
      <c r="J22" s="33">
        <f t="shared" si="4"/>
        <v>18.249357307499999</v>
      </c>
    </row>
    <row r="23" spans="1:10" ht="15" customHeight="1">
      <c r="A23" s="9">
        <f t="shared" si="5"/>
        <v>19</v>
      </c>
      <c r="B23" s="16" t="s">
        <v>140</v>
      </c>
      <c r="C23" s="12">
        <v>5</v>
      </c>
      <c r="D23" s="18">
        <f>3.61*1.167</f>
        <v>4.2128699999999997</v>
      </c>
      <c r="E23" s="15">
        <f t="shared" si="6"/>
        <v>0.92683139999999997</v>
      </c>
      <c r="F23" s="18">
        <v>6.83</v>
      </c>
      <c r="G23" s="22">
        <f t="shared" si="7"/>
        <v>0.52660874999999996</v>
      </c>
      <c r="H23" s="22">
        <f t="shared" si="8"/>
        <v>1.2217322999999998</v>
      </c>
      <c r="I23" s="20">
        <f t="shared" si="3"/>
        <v>13.718042449999999</v>
      </c>
      <c r="J23" s="33">
        <f t="shared" si="4"/>
        <v>18.519357307499998</v>
      </c>
    </row>
    <row r="24" spans="1:10" ht="15" customHeight="1">
      <c r="A24" s="9">
        <f t="shared" si="5"/>
        <v>20</v>
      </c>
      <c r="B24" s="16" t="s">
        <v>141</v>
      </c>
      <c r="C24" s="12">
        <v>10</v>
      </c>
      <c r="D24" s="18">
        <f>7.18*1.167</f>
        <v>8.3790599999999991</v>
      </c>
      <c r="E24" s="15">
        <f t="shared" si="6"/>
        <v>1.8433931999999997</v>
      </c>
      <c r="F24" s="18">
        <v>14.6</v>
      </c>
      <c r="G24" s="22">
        <f t="shared" si="7"/>
        <v>1.0473824999999999</v>
      </c>
      <c r="H24" s="22">
        <f t="shared" si="8"/>
        <v>2.4299273999999995</v>
      </c>
      <c r="I24" s="20">
        <f t="shared" si="3"/>
        <v>28.2997631</v>
      </c>
      <c r="J24" s="33">
        <f t="shared" si="4"/>
        <v>38.204680185000001</v>
      </c>
    </row>
    <row r="25" spans="1:10" ht="15" customHeight="1">
      <c r="A25" s="9">
        <f t="shared" si="5"/>
        <v>21</v>
      </c>
      <c r="B25" s="16" t="s">
        <v>142</v>
      </c>
      <c r="C25" s="12">
        <v>10</v>
      </c>
      <c r="D25" s="18">
        <f>7.18*1.167</f>
        <v>8.3790599999999991</v>
      </c>
      <c r="E25" s="15">
        <f t="shared" si="6"/>
        <v>1.8433931999999997</v>
      </c>
      <c r="F25" s="18">
        <v>8.06</v>
      </c>
      <c r="G25" s="22">
        <f t="shared" si="7"/>
        <v>1.0473824999999999</v>
      </c>
      <c r="H25" s="22">
        <f t="shared" si="8"/>
        <v>2.4299273999999995</v>
      </c>
      <c r="I25" s="20">
        <f t="shared" si="3"/>
        <v>21.759763100000001</v>
      </c>
      <c r="J25" s="33">
        <f t="shared" si="4"/>
        <v>29.375680185000004</v>
      </c>
    </row>
    <row r="26" spans="1:10" ht="15" customHeight="1">
      <c r="A26" s="9">
        <f t="shared" si="5"/>
        <v>22</v>
      </c>
      <c r="B26" s="16" t="s">
        <v>143</v>
      </c>
      <c r="C26" s="12">
        <v>10</v>
      </c>
      <c r="D26" s="18">
        <f>7.18*1.167</f>
        <v>8.3790599999999991</v>
      </c>
      <c r="E26" s="15">
        <f t="shared" si="6"/>
        <v>1.8433931999999997</v>
      </c>
      <c r="F26" s="18">
        <v>7.69</v>
      </c>
      <c r="G26" s="22">
        <f t="shared" si="7"/>
        <v>1.0473824999999999</v>
      </c>
      <c r="H26" s="22">
        <f t="shared" si="8"/>
        <v>2.4299273999999995</v>
      </c>
      <c r="I26" s="20">
        <f t="shared" si="3"/>
        <v>21.3897631</v>
      </c>
      <c r="J26" s="33">
        <f t="shared" si="4"/>
        <v>28.876180185000003</v>
      </c>
    </row>
    <row r="27" spans="1:10" ht="15" customHeight="1">
      <c r="A27" s="9">
        <f t="shared" si="5"/>
        <v>23</v>
      </c>
      <c r="B27" s="16" t="s">
        <v>110</v>
      </c>
      <c r="C27" s="12">
        <v>10</v>
      </c>
      <c r="D27" s="18">
        <f>7.18*1.167</f>
        <v>8.3790599999999991</v>
      </c>
      <c r="E27" s="15">
        <f t="shared" si="6"/>
        <v>1.8433931999999997</v>
      </c>
      <c r="F27" s="18">
        <v>8.98</v>
      </c>
      <c r="G27" s="22">
        <f t="shared" si="7"/>
        <v>1.0473824999999999</v>
      </c>
      <c r="H27" s="22">
        <f t="shared" si="8"/>
        <v>2.4299273999999995</v>
      </c>
      <c r="I27" s="20">
        <f t="shared" si="3"/>
        <v>22.679763100000002</v>
      </c>
      <c r="J27" s="33">
        <f t="shared" si="4"/>
        <v>30.617680185000005</v>
      </c>
    </row>
    <row r="28" spans="1:10" ht="15" customHeight="1">
      <c r="A28" s="9">
        <f t="shared" si="5"/>
        <v>24</v>
      </c>
      <c r="B28" s="16" t="s">
        <v>215</v>
      </c>
      <c r="C28" s="12">
        <v>10</v>
      </c>
      <c r="D28" s="18">
        <f>7.18*1.167</f>
        <v>8.3790599999999991</v>
      </c>
      <c r="E28" s="15">
        <f t="shared" si="6"/>
        <v>1.8433931999999997</v>
      </c>
      <c r="F28" s="18">
        <v>5.62</v>
      </c>
      <c r="G28" s="22">
        <f t="shared" si="7"/>
        <v>1.0473824999999999</v>
      </c>
      <c r="H28" s="22">
        <f t="shared" si="8"/>
        <v>2.4299273999999995</v>
      </c>
      <c r="I28" s="20">
        <f t="shared" si="3"/>
        <v>19.319763099999999</v>
      </c>
      <c r="J28" s="33">
        <f t="shared" si="4"/>
        <v>26.081680185</v>
      </c>
    </row>
    <row r="29" spans="1:10" ht="15" customHeight="1">
      <c r="A29" s="9">
        <f t="shared" si="5"/>
        <v>25</v>
      </c>
      <c r="B29" s="16" t="s">
        <v>144</v>
      </c>
      <c r="C29" s="12">
        <v>5</v>
      </c>
      <c r="D29" s="18">
        <f>4.46*1.167</f>
        <v>5.2048199999999998</v>
      </c>
      <c r="E29" s="15">
        <f t="shared" si="6"/>
        <v>1.1450604</v>
      </c>
      <c r="F29" s="18">
        <v>6.67</v>
      </c>
      <c r="G29" s="22">
        <f t="shared" si="7"/>
        <v>0.65060249999999997</v>
      </c>
      <c r="H29" s="22">
        <f t="shared" si="8"/>
        <v>1.5093977999999999</v>
      </c>
      <c r="I29" s="20">
        <f t="shared" si="3"/>
        <v>15.1798807</v>
      </c>
      <c r="J29" s="33">
        <f t="shared" si="4"/>
        <v>20.492838945000003</v>
      </c>
    </row>
    <row r="30" spans="1:10" ht="15" customHeight="1">
      <c r="A30" s="9">
        <f t="shared" si="5"/>
        <v>26</v>
      </c>
      <c r="B30" s="16" t="s">
        <v>145</v>
      </c>
      <c r="C30" s="12">
        <v>5</v>
      </c>
      <c r="D30" s="18">
        <f>4.46*1.167</f>
        <v>5.2048199999999998</v>
      </c>
      <c r="E30" s="15">
        <f t="shared" si="6"/>
        <v>1.1450604</v>
      </c>
      <c r="F30" s="18">
        <v>7.16</v>
      </c>
      <c r="G30" s="22">
        <f t="shared" si="7"/>
        <v>0.65060249999999997</v>
      </c>
      <c r="H30" s="22">
        <f t="shared" si="8"/>
        <v>1.5093977999999999</v>
      </c>
      <c r="I30" s="20">
        <f t="shared" si="3"/>
        <v>15.6698807</v>
      </c>
      <c r="J30" s="33">
        <f t="shared" si="4"/>
        <v>21.154338945000003</v>
      </c>
    </row>
    <row r="31" spans="1:10" ht="15" customHeight="1">
      <c r="A31" s="9">
        <f t="shared" si="5"/>
        <v>27</v>
      </c>
      <c r="B31" s="16" t="s">
        <v>146</v>
      </c>
      <c r="C31" s="12">
        <v>5</v>
      </c>
      <c r="D31" s="18">
        <f>3.61*1.167</f>
        <v>4.2128699999999997</v>
      </c>
      <c r="E31" s="15">
        <f t="shared" si="6"/>
        <v>0.92683139999999997</v>
      </c>
      <c r="F31" s="18">
        <v>8.61</v>
      </c>
      <c r="G31" s="22">
        <f t="shared" si="7"/>
        <v>0.52660874999999996</v>
      </c>
      <c r="H31" s="22">
        <f t="shared" si="8"/>
        <v>1.2217322999999998</v>
      </c>
      <c r="I31" s="20">
        <f t="shared" si="3"/>
        <v>15.498042449999998</v>
      </c>
      <c r="J31" s="33">
        <f t="shared" si="4"/>
        <v>20.9223573075</v>
      </c>
    </row>
    <row r="32" spans="1:10" ht="15" customHeight="1">
      <c r="A32" s="9">
        <f t="shared" si="5"/>
        <v>28</v>
      </c>
      <c r="B32" s="16" t="s">
        <v>111</v>
      </c>
      <c r="C32" s="12">
        <v>5</v>
      </c>
      <c r="D32" s="18">
        <f>3.61*1.167</f>
        <v>4.2128699999999997</v>
      </c>
      <c r="E32" s="15">
        <f t="shared" si="6"/>
        <v>0.92683139999999997</v>
      </c>
      <c r="F32" s="18">
        <v>9.42</v>
      </c>
      <c r="G32" s="22">
        <f t="shared" si="7"/>
        <v>0.52660874999999996</v>
      </c>
      <c r="H32" s="22">
        <f t="shared" si="8"/>
        <v>1.2217322999999998</v>
      </c>
      <c r="I32" s="20">
        <f t="shared" si="3"/>
        <v>16.308042449999999</v>
      </c>
      <c r="J32" s="33">
        <f t="shared" si="4"/>
        <v>22.015857307499999</v>
      </c>
    </row>
    <row r="33" spans="1:10" ht="15" customHeight="1">
      <c r="A33" s="9">
        <f t="shared" si="5"/>
        <v>29</v>
      </c>
      <c r="B33" s="16" t="s">
        <v>147</v>
      </c>
      <c r="C33" s="12">
        <v>15</v>
      </c>
      <c r="D33" s="18">
        <f>10.8*1.167</f>
        <v>12.603600000000002</v>
      </c>
      <c r="E33" s="15">
        <f t="shared" si="6"/>
        <v>2.7727920000000004</v>
      </c>
      <c r="F33" s="18">
        <v>19.13</v>
      </c>
      <c r="G33" s="22">
        <f t="shared" si="7"/>
        <v>1.5754500000000002</v>
      </c>
      <c r="H33" s="22">
        <f t="shared" si="8"/>
        <v>3.6550440000000002</v>
      </c>
      <c r="I33" s="20">
        <f t="shared" si="3"/>
        <v>39.736886000000013</v>
      </c>
      <c r="J33" s="33">
        <f t="shared" si="4"/>
        <v>53.644796100000022</v>
      </c>
    </row>
    <row r="34" spans="1:10" ht="15" customHeight="1">
      <c r="A34" s="9">
        <f t="shared" si="5"/>
        <v>30</v>
      </c>
      <c r="B34" s="16" t="s">
        <v>148</v>
      </c>
      <c r="C34" s="12">
        <v>5</v>
      </c>
      <c r="D34" s="18">
        <f t="shared" ref="D34:D39" si="9">3.61*1.167</f>
        <v>4.2128699999999997</v>
      </c>
      <c r="E34" s="15">
        <f t="shared" si="6"/>
        <v>0.92683139999999997</v>
      </c>
      <c r="F34" s="18">
        <v>11.5</v>
      </c>
      <c r="G34" s="22">
        <f t="shared" si="7"/>
        <v>0.52660874999999996</v>
      </c>
      <c r="H34" s="22">
        <f t="shared" si="8"/>
        <v>1.2217322999999998</v>
      </c>
      <c r="I34" s="20">
        <f t="shared" si="3"/>
        <v>18.38804245</v>
      </c>
      <c r="J34" s="33">
        <f t="shared" si="4"/>
        <v>24.823857307500003</v>
      </c>
    </row>
    <row r="35" spans="1:10" ht="15" customHeight="1">
      <c r="A35" s="9">
        <f t="shared" si="5"/>
        <v>31</v>
      </c>
      <c r="B35" s="16" t="s">
        <v>149</v>
      </c>
      <c r="C35" s="12">
        <v>5</v>
      </c>
      <c r="D35" s="18">
        <f t="shared" si="9"/>
        <v>4.2128699999999997</v>
      </c>
      <c r="E35" s="15">
        <f t="shared" si="6"/>
        <v>0.92683139999999997</v>
      </c>
      <c r="F35" s="18">
        <v>9.82</v>
      </c>
      <c r="G35" s="22">
        <f t="shared" si="7"/>
        <v>0.52660874999999996</v>
      </c>
      <c r="H35" s="22">
        <f t="shared" si="8"/>
        <v>1.2217322999999998</v>
      </c>
      <c r="I35" s="20">
        <f t="shared" si="3"/>
        <v>16.708042450000001</v>
      </c>
      <c r="J35" s="33">
        <f t="shared" si="4"/>
        <v>22.555857307500002</v>
      </c>
    </row>
    <row r="36" spans="1:10" ht="15" customHeight="1">
      <c r="A36" s="9">
        <f t="shared" si="5"/>
        <v>32</v>
      </c>
      <c r="B36" s="16" t="s">
        <v>150</v>
      </c>
      <c r="C36" s="12">
        <v>5</v>
      </c>
      <c r="D36" s="18">
        <f t="shared" si="9"/>
        <v>4.2128699999999997</v>
      </c>
      <c r="E36" s="15">
        <f t="shared" si="6"/>
        <v>0.92683139999999997</v>
      </c>
      <c r="F36" s="18">
        <v>14.01</v>
      </c>
      <c r="G36" s="22">
        <f t="shared" si="7"/>
        <v>0.52660874999999996</v>
      </c>
      <c r="H36" s="22">
        <f t="shared" si="8"/>
        <v>1.2217322999999998</v>
      </c>
      <c r="I36" s="20">
        <f t="shared" si="3"/>
        <v>20.898042449999998</v>
      </c>
      <c r="J36" s="33">
        <f t="shared" si="4"/>
        <v>28.2123573075</v>
      </c>
    </row>
    <row r="37" spans="1:10" ht="15" customHeight="1">
      <c r="A37" s="9">
        <f t="shared" si="5"/>
        <v>33</v>
      </c>
      <c r="B37" s="16" t="s">
        <v>151</v>
      </c>
      <c r="C37" s="12">
        <v>5</v>
      </c>
      <c r="D37" s="18">
        <f t="shared" si="9"/>
        <v>4.2128699999999997</v>
      </c>
      <c r="E37" s="15">
        <f t="shared" si="6"/>
        <v>0.92683139999999997</v>
      </c>
      <c r="F37" s="18">
        <v>10</v>
      </c>
      <c r="G37" s="22">
        <f t="shared" si="7"/>
        <v>0.52660874999999996</v>
      </c>
      <c r="H37" s="22">
        <f t="shared" si="8"/>
        <v>1.2217322999999998</v>
      </c>
      <c r="I37" s="20">
        <f t="shared" si="3"/>
        <v>16.88804245</v>
      </c>
      <c r="J37" s="33">
        <f t="shared" si="4"/>
        <v>22.798857307500001</v>
      </c>
    </row>
    <row r="38" spans="1:10" ht="15" customHeight="1">
      <c r="A38" s="9">
        <f t="shared" si="5"/>
        <v>34</v>
      </c>
      <c r="B38" s="16" t="s">
        <v>152</v>
      </c>
      <c r="C38" s="12">
        <v>5</v>
      </c>
      <c r="D38" s="18">
        <f t="shared" si="9"/>
        <v>4.2128699999999997</v>
      </c>
      <c r="E38" s="15">
        <f t="shared" si="6"/>
        <v>0.92683139999999997</v>
      </c>
      <c r="F38" s="18">
        <v>11.48</v>
      </c>
      <c r="G38" s="22">
        <f t="shared" si="7"/>
        <v>0.52660874999999996</v>
      </c>
      <c r="H38" s="22">
        <f t="shared" si="8"/>
        <v>1.2217322999999998</v>
      </c>
      <c r="I38" s="20">
        <f t="shared" si="3"/>
        <v>18.368042450000001</v>
      </c>
      <c r="J38" s="33">
        <f t="shared" si="4"/>
        <v>24.796857307500002</v>
      </c>
    </row>
    <row r="39" spans="1:10" ht="15" customHeight="1">
      <c r="A39" s="9">
        <f t="shared" si="5"/>
        <v>35</v>
      </c>
      <c r="B39" s="16" t="s">
        <v>153</v>
      </c>
      <c r="C39" s="12">
        <v>5</v>
      </c>
      <c r="D39" s="18">
        <f t="shared" si="9"/>
        <v>4.2128699999999997</v>
      </c>
      <c r="E39" s="15">
        <f t="shared" si="6"/>
        <v>0.92683139999999997</v>
      </c>
      <c r="F39" s="18">
        <v>12.71</v>
      </c>
      <c r="G39" s="22">
        <f t="shared" si="7"/>
        <v>0.52660874999999996</v>
      </c>
      <c r="H39" s="22">
        <f t="shared" si="8"/>
        <v>1.2217322999999998</v>
      </c>
      <c r="I39" s="20">
        <f t="shared" si="3"/>
        <v>19.598042450000001</v>
      </c>
      <c r="J39" s="33">
        <f t="shared" si="4"/>
        <v>26.457357307500004</v>
      </c>
    </row>
    <row r="40" spans="1:10" ht="15" customHeight="1">
      <c r="A40" s="9">
        <f t="shared" si="5"/>
        <v>36</v>
      </c>
      <c r="B40" s="16" t="s">
        <v>219</v>
      </c>
      <c r="C40" s="12">
        <v>10</v>
      </c>
      <c r="D40" s="18">
        <f>7.18*1.167</f>
        <v>8.3790599999999991</v>
      </c>
      <c r="E40" s="15">
        <f t="shared" si="6"/>
        <v>1.8433931999999997</v>
      </c>
      <c r="F40" s="18">
        <v>21</v>
      </c>
      <c r="G40" s="22">
        <f t="shared" si="7"/>
        <v>1.0473824999999999</v>
      </c>
      <c r="H40" s="22">
        <f t="shared" si="8"/>
        <v>2.4299273999999995</v>
      </c>
      <c r="I40" s="20">
        <f t="shared" si="3"/>
        <v>34.699763099999991</v>
      </c>
      <c r="J40" s="33">
        <f t="shared" si="4"/>
        <v>46.844680184999994</v>
      </c>
    </row>
    <row r="41" spans="1:10" ht="15" customHeight="1">
      <c r="A41" s="9">
        <f t="shared" si="5"/>
        <v>37</v>
      </c>
      <c r="B41" s="16" t="s">
        <v>220</v>
      </c>
      <c r="C41" s="12">
        <v>5</v>
      </c>
      <c r="D41" s="18">
        <f>3.61*1.167</f>
        <v>4.2128699999999997</v>
      </c>
      <c r="E41" s="15">
        <f t="shared" si="6"/>
        <v>0.92683139999999997</v>
      </c>
      <c r="F41" s="18">
        <v>11.7</v>
      </c>
      <c r="G41" s="22">
        <f t="shared" si="7"/>
        <v>0.52660874999999996</v>
      </c>
      <c r="H41" s="22">
        <f t="shared" si="8"/>
        <v>1.2217322999999998</v>
      </c>
      <c r="I41" s="20">
        <f t="shared" si="3"/>
        <v>18.58804245</v>
      </c>
      <c r="J41" s="33">
        <f t="shared" si="4"/>
        <v>25.093857307500002</v>
      </c>
    </row>
    <row r="42" spans="1:10" ht="15" customHeight="1">
      <c r="A42" s="9">
        <f t="shared" si="5"/>
        <v>38</v>
      </c>
      <c r="B42" s="16" t="s">
        <v>221</v>
      </c>
      <c r="C42" s="12">
        <v>5</v>
      </c>
      <c r="D42" s="18">
        <f>3.61*1.167</f>
        <v>4.2128699999999997</v>
      </c>
      <c r="E42" s="15">
        <f t="shared" si="6"/>
        <v>0.92683139999999997</v>
      </c>
      <c r="F42" s="18">
        <v>11.64</v>
      </c>
      <c r="G42" s="22">
        <f t="shared" si="7"/>
        <v>0.52660874999999996</v>
      </c>
      <c r="H42" s="22">
        <f t="shared" si="8"/>
        <v>1.2217322999999998</v>
      </c>
      <c r="I42" s="20">
        <f t="shared" si="3"/>
        <v>18.528042450000001</v>
      </c>
      <c r="J42" s="33">
        <f t="shared" si="4"/>
        <v>25.012857307500003</v>
      </c>
    </row>
    <row r="43" spans="1:10" ht="15" customHeight="1">
      <c r="A43" s="9">
        <f t="shared" si="5"/>
        <v>39</v>
      </c>
      <c r="B43" s="16" t="s">
        <v>154</v>
      </c>
      <c r="C43" s="12">
        <v>5</v>
      </c>
      <c r="D43" s="18">
        <f>7.18*1.167</f>
        <v>8.3790599999999991</v>
      </c>
      <c r="E43" s="15">
        <f t="shared" si="6"/>
        <v>1.8433931999999997</v>
      </c>
      <c r="F43" s="18">
        <v>14.42</v>
      </c>
      <c r="G43" s="22">
        <f t="shared" si="7"/>
        <v>1.0473824999999999</v>
      </c>
      <c r="H43" s="22">
        <f t="shared" si="8"/>
        <v>2.4299273999999995</v>
      </c>
      <c r="I43" s="20">
        <f t="shared" si="3"/>
        <v>28.1197631</v>
      </c>
      <c r="J43" s="33">
        <f t="shared" si="4"/>
        <v>37.961680185000006</v>
      </c>
    </row>
    <row r="44" spans="1:10" ht="15" customHeight="1">
      <c r="A44" s="9">
        <f t="shared" si="5"/>
        <v>40</v>
      </c>
      <c r="B44" s="16" t="s">
        <v>155</v>
      </c>
      <c r="C44" s="12">
        <v>5</v>
      </c>
      <c r="D44" s="18">
        <f>3.61*1.167</f>
        <v>4.2128699999999997</v>
      </c>
      <c r="E44" s="15">
        <f t="shared" si="6"/>
        <v>0.92683139999999997</v>
      </c>
      <c r="F44" s="18">
        <v>9.92</v>
      </c>
      <c r="G44" s="22">
        <f t="shared" si="7"/>
        <v>0.52660874999999996</v>
      </c>
      <c r="H44" s="22">
        <f t="shared" si="8"/>
        <v>1.2217322999999998</v>
      </c>
      <c r="I44" s="20">
        <f t="shared" si="3"/>
        <v>16.808042449999999</v>
      </c>
      <c r="J44" s="33">
        <f t="shared" si="4"/>
        <v>22.6908573075</v>
      </c>
    </row>
    <row r="45" spans="1:10" ht="15" customHeight="1">
      <c r="A45" s="9">
        <f t="shared" si="5"/>
        <v>41</v>
      </c>
      <c r="B45" s="16" t="s">
        <v>222</v>
      </c>
      <c r="C45" s="12">
        <v>5</v>
      </c>
      <c r="D45" s="18">
        <f>3.61*1.167</f>
        <v>4.2128699999999997</v>
      </c>
      <c r="E45" s="15">
        <f t="shared" si="6"/>
        <v>0.92683139999999997</v>
      </c>
      <c r="F45" s="18">
        <v>12.97</v>
      </c>
      <c r="G45" s="22">
        <f t="shared" si="7"/>
        <v>0.52660874999999996</v>
      </c>
      <c r="H45" s="22">
        <f t="shared" si="8"/>
        <v>1.2217322999999998</v>
      </c>
      <c r="I45" s="20">
        <f t="shared" si="3"/>
        <v>19.858042449999999</v>
      </c>
      <c r="J45" s="33">
        <f t="shared" si="4"/>
        <v>26.8083573075</v>
      </c>
    </row>
    <row r="46" spans="1:10" ht="15" customHeight="1">
      <c r="A46" s="9">
        <f t="shared" si="5"/>
        <v>42</v>
      </c>
      <c r="B46" s="16" t="s">
        <v>223</v>
      </c>
      <c r="C46" s="12">
        <v>5</v>
      </c>
      <c r="D46" s="18">
        <f>3.61*1.167</f>
        <v>4.2128699999999997</v>
      </c>
      <c r="E46" s="15">
        <f t="shared" si="6"/>
        <v>0.92683139999999997</v>
      </c>
      <c r="F46" s="18">
        <v>10.220000000000001</v>
      </c>
      <c r="G46" s="22">
        <f t="shared" si="7"/>
        <v>0.52660874999999996</v>
      </c>
      <c r="H46" s="22">
        <f t="shared" si="8"/>
        <v>1.2217322999999998</v>
      </c>
      <c r="I46" s="20">
        <f t="shared" si="3"/>
        <v>17.108042449999999</v>
      </c>
      <c r="J46" s="33">
        <f t="shared" si="4"/>
        <v>23.095857307500001</v>
      </c>
    </row>
    <row r="47" spans="1:10" ht="15" customHeight="1">
      <c r="A47" s="9">
        <f t="shared" si="5"/>
        <v>43</v>
      </c>
      <c r="B47" s="16" t="s">
        <v>156</v>
      </c>
      <c r="C47" s="12">
        <v>10</v>
      </c>
      <c r="D47" s="18">
        <f>7.18*1.167</f>
        <v>8.3790599999999991</v>
      </c>
      <c r="E47" s="15">
        <f t="shared" si="6"/>
        <v>1.8433931999999997</v>
      </c>
      <c r="F47" s="18">
        <v>11.04</v>
      </c>
      <c r="G47" s="22">
        <f t="shared" si="7"/>
        <v>1.0473824999999999</v>
      </c>
      <c r="H47" s="22">
        <f t="shared" si="8"/>
        <v>2.4299273999999995</v>
      </c>
      <c r="I47" s="20">
        <f t="shared" si="3"/>
        <v>24.739763099999998</v>
      </c>
      <c r="J47" s="33">
        <f t="shared" si="4"/>
        <v>33.398680184999996</v>
      </c>
    </row>
    <row r="48" spans="1:10" ht="15" customHeight="1">
      <c r="A48" s="9">
        <f t="shared" si="5"/>
        <v>44</v>
      </c>
      <c r="B48" s="16" t="s">
        <v>157</v>
      </c>
      <c r="C48" s="12">
        <v>10</v>
      </c>
      <c r="D48" s="18">
        <f>7.18*1.167</f>
        <v>8.3790599999999991</v>
      </c>
      <c r="E48" s="15">
        <f t="shared" si="6"/>
        <v>1.8433931999999997</v>
      </c>
      <c r="F48" s="18">
        <v>10.24</v>
      </c>
      <c r="G48" s="22">
        <f t="shared" si="7"/>
        <v>1.0473824999999999</v>
      </c>
      <c r="H48" s="22">
        <f t="shared" si="8"/>
        <v>2.4299273999999995</v>
      </c>
      <c r="I48" s="20">
        <f t="shared" si="3"/>
        <v>23.9397631</v>
      </c>
      <c r="J48" s="33">
        <f t="shared" si="4"/>
        <v>32.318680185000005</v>
      </c>
    </row>
    <row r="49" spans="1:10" ht="15" customHeight="1">
      <c r="A49" s="9">
        <f t="shared" si="5"/>
        <v>45</v>
      </c>
      <c r="B49" s="16" t="s">
        <v>158</v>
      </c>
      <c r="C49" s="12">
        <v>10</v>
      </c>
      <c r="D49" s="18">
        <f>7.18*1.167</f>
        <v>8.3790599999999991</v>
      </c>
      <c r="E49" s="15">
        <f t="shared" si="6"/>
        <v>1.8433931999999997</v>
      </c>
      <c r="F49" s="18">
        <v>13.49</v>
      </c>
      <c r="G49" s="22">
        <f t="shared" si="7"/>
        <v>1.0473824999999999</v>
      </c>
      <c r="H49" s="22">
        <f t="shared" si="8"/>
        <v>2.4299273999999995</v>
      </c>
      <c r="I49" s="20">
        <f t="shared" si="3"/>
        <v>27.1897631</v>
      </c>
      <c r="J49" s="33">
        <f t="shared" si="4"/>
        <v>36.706180185000001</v>
      </c>
    </row>
    <row r="50" spans="1:10" ht="15" customHeight="1">
      <c r="A50" s="9">
        <f t="shared" si="5"/>
        <v>46</v>
      </c>
      <c r="B50" s="16" t="s">
        <v>159</v>
      </c>
      <c r="C50" s="12">
        <v>5</v>
      </c>
      <c r="D50" s="18">
        <f>3.61*1.167</f>
        <v>4.2128699999999997</v>
      </c>
      <c r="E50" s="15">
        <f t="shared" si="6"/>
        <v>0.92683139999999997</v>
      </c>
      <c r="F50" s="18">
        <v>12.22</v>
      </c>
      <c r="G50" s="22">
        <f t="shared" si="7"/>
        <v>0.52660874999999996</v>
      </c>
      <c r="H50" s="22">
        <f t="shared" si="8"/>
        <v>1.2217322999999998</v>
      </c>
      <c r="I50" s="20">
        <f t="shared" si="3"/>
        <v>19.108042449999999</v>
      </c>
      <c r="J50" s="33">
        <f t="shared" si="4"/>
        <v>25.7958573075</v>
      </c>
    </row>
    <row r="51" spans="1:10" ht="15" customHeight="1">
      <c r="A51" s="9">
        <f t="shared" si="5"/>
        <v>47</v>
      </c>
      <c r="B51" s="16" t="s">
        <v>160</v>
      </c>
      <c r="C51" s="12">
        <v>5</v>
      </c>
      <c r="D51" s="18">
        <f>3.61*1.167</f>
        <v>4.2128699999999997</v>
      </c>
      <c r="E51" s="15">
        <f t="shared" si="6"/>
        <v>0.92683139999999997</v>
      </c>
      <c r="F51" s="18">
        <v>10.36</v>
      </c>
      <c r="G51" s="22">
        <f t="shared" si="7"/>
        <v>0.52660874999999996</v>
      </c>
      <c r="H51" s="22">
        <f t="shared" si="8"/>
        <v>1.2217322999999998</v>
      </c>
      <c r="I51" s="20">
        <f t="shared" si="3"/>
        <v>17.24804245</v>
      </c>
      <c r="J51" s="33">
        <f t="shared" si="4"/>
        <v>23.284857307500001</v>
      </c>
    </row>
    <row r="52" spans="1:10" ht="15" customHeight="1">
      <c r="A52" s="9">
        <f t="shared" si="5"/>
        <v>48</v>
      </c>
      <c r="B52" s="16" t="s">
        <v>224</v>
      </c>
      <c r="C52" s="12">
        <v>10</v>
      </c>
      <c r="D52" s="18">
        <f>7.18*1.167</f>
        <v>8.3790599999999991</v>
      </c>
      <c r="E52" s="15">
        <f t="shared" si="6"/>
        <v>1.8433931999999997</v>
      </c>
      <c r="F52" s="18">
        <v>15</v>
      </c>
      <c r="G52" s="22">
        <f t="shared" si="7"/>
        <v>1.0473824999999999</v>
      </c>
      <c r="H52" s="22">
        <f t="shared" si="8"/>
        <v>2.4299273999999995</v>
      </c>
      <c r="I52" s="20">
        <f t="shared" si="3"/>
        <v>28.699763099999998</v>
      </c>
      <c r="J52" s="33">
        <f t="shared" si="4"/>
        <v>38.744680185</v>
      </c>
    </row>
    <row r="53" spans="1:10" ht="15" customHeight="1">
      <c r="A53" s="9">
        <f t="shared" si="5"/>
        <v>49</v>
      </c>
      <c r="B53" s="16" t="s">
        <v>225</v>
      </c>
      <c r="C53" s="12">
        <v>10</v>
      </c>
      <c r="D53" s="18">
        <f>7.18*1.167</f>
        <v>8.3790599999999991</v>
      </c>
      <c r="E53" s="15">
        <f t="shared" si="6"/>
        <v>1.8433931999999997</v>
      </c>
      <c r="F53" s="18">
        <v>24</v>
      </c>
      <c r="G53" s="22">
        <f t="shared" si="7"/>
        <v>1.0473824999999999</v>
      </c>
      <c r="H53" s="22">
        <f t="shared" si="8"/>
        <v>2.4299273999999995</v>
      </c>
      <c r="I53" s="20">
        <f t="shared" si="3"/>
        <v>37.699763099999991</v>
      </c>
      <c r="J53" s="33">
        <f t="shared" si="4"/>
        <v>50.894680184999991</v>
      </c>
    </row>
    <row r="54" spans="1:10" ht="15" customHeight="1">
      <c r="A54" s="9">
        <f t="shared" si="5"/>
        <v>50</v>
      </c>
      <c r="B54" s="16" t="s">
        <v>161</v>
      </c>
      <c r="C54" s="12">
        <v>5</v>
      </c>
      <c r="D54" s="18">
        <f>4.46*1.167</f>
        <v>5.2048199999999998</v>
      </c>
      <c r="E54" s="15">
        <f t="shared" si="6"/>
        <v>1.1450604</v>
      </c>
      <c r="F54" s="18">
        <v>207.39</v>
      </c>
      <c r="G54" s="22">
        <f t="shared" si="7"/>
        <v>0.65060249999999997</v>
      </c>
      <c r="H54" s="22">
        <f t="shared" si="8"/>
        <v>1.5093977999999999</v>
      </c>
      <c r="I54" s="20">
        <f t="shared" si="3"/>
        <v>215.89988069999995</v>
      </c>
      <c r="J54" s="33">
        <f t="shared" si="4"/>
        <v>291.46483894499994</v>
      </c>
    </row>
    <row r="55" spans="1:10" ht="15" customHeight="1">
      <c r="A55" s="9">
        <f t="shared" si="5"/>
        <v>51</v>
      </c>
      <c r="B55" s="16" t="s">
        <v>162</v>
      </c>
      <c r="C55" s="12">
        <v>15</v>
      </c>
      <c r="D55" s="18">
        <f>13.38*1.167</f>
        <v>15.614460000000001</v>
      </c>
      <c r="E55" s="15">
        <f t="shared" si="6"/>
        <v>3.4351812000000002</v>
      </c>
      <c r="F55" s="18">
        <v>122.64</v>
      </c>
      <c r="G55" s="22">
        <f t="shared" si="7"/>
        <v>1.9518075000000001</v>
      </c>
      <c r="H55" s="22">
        <f t="shared" si="8"/>
        <v>4.5281934000000001</v>
      </c>
      <c r="I55" s="20">
        <f t="shared" si="3"/>
        <v>148.1696421</v>
      </c>
      <c r="J55" s="33">
        <f t="shared" si="4"/>
        <v>200.02901683500002</v>
      </c>
    </row>
    <row r="56" spans="1:10" ht="15" customHeight="1">
      <c r="A56" s="9">
        <f t="shared" si="5"/>
        <v>52</v>
      </c>
      <c r="B56" s="16" t="s">
        <v>163</v>
      </c>
      <c r="C56" s="12">
        <v>15</v>
      </c>
      <c r="D56" s="18">
        <f>13.38*1.167</f>
        <v>15.614460000000001</v>
      </c>
      <c r="E56" s="15">
        <f t="shared" si="6"/>
        <v>3.4351812000000002</v>
      </c>
      <c r="F56" s="18">
        <v>118.64</v>
      </c>
      <c r="G56" s="22">
        <f t="shared" si="7"/>
        <v>1.9518075000000001</v>
      </c>
      <c r="H56" s="22">
        <f t="shared" si="8"/>
        <v>4.5281934000000001</v>
      </c>
      <c r="I56" s="20">
        <f t="shared" si="3"/>
        <v>144.1696421</v>
      </c>
      <c r="J56" s="33">
        <f t="shared" si="4"/>
        <v>194.62901683500002</v>
      </c>
    </row>
    <row r="57" spans="1:10" ht="15" customHeight="1">
      <c r="A57" s="9">
        <f t="shared" si="5"/>
        <v>53</v>
      </c>
      <c r="B57" s="16" t="s">
        <v>212</v>
      </c>
      <c r="C57" s="12">
        <v>5</v>
      </c>
      <c r="D57" s="18">
        <f>4.46*1.167</f>
        <v>5.2048199999999998</v>
      </c>
      <c r="E57" s="15">
        <f t="shared" si="6"/>
        <v>1.1450604</v>
      </c>
      <c r="F57" s="18">
        <v>25.22</v>
      </c>
      <c r="G57" s="22">
        <f t="shared" si="7"/>
        <v>0.65060249999999997</v>
      </c>
      <c r="H57" s="22">
        <f t="shared" si="8"/>
        <v>1.5093977999999999</v>
      </c>
      <c r="I57" s="20">
        <f t="shared" si="3"/>
        <v>33.729880700000002</v>
      </c>
      <c r="J57" s="33">
        <f t="shared" si="4"/>
        <v>45.535338945000007</v>
      </c>
    </row>
    <row r="58" spans="1:10" ht="15" customHeight="1">
      <c r="A58" s="9">
        <f t="shared" si="5"/>
        <v>54</v>
      </c>
      <c r="B58" s="16" t="s">
        <v>164</v>
      </c>
      <c r="C58" s="12">
        <v>5</v>
      </c>
      <c r="D58" s="18">
        <f>4.46*1.167</f>
        <v>5.2048199999999998</v>
      </c>
      <c r="E58" s="15">
        <f t="shared" si="6"/>
        <v>1.1450604</v>
      </c>
      <c r="F58" s="18">
        <v>28.77</v>
      </c>
      <c r="G58" s="22">
        <f t="shared" si="7"/>
        <v>0.65060249999999997</v>
      </c>
      <c r="H58" s="22">
        <f t="shared" si="8"/>
        <v>1.5093977999999999</v>
      </c>
      <c r="I58" s="20">
        <f t="shared" si="3"/>
        <v>37.2798807</v>
      </c>
      <c r="J58" s="33">
        <f t="shared" si="4"/>
        <v>50.327838945000003</v>
      </c>
    </row>
    <row r="59" spans="1:10" ht="15" customHeight="1">
      <c r="A59" s="9">
        <f t="shared" si="5"/>
        <v>55</v>
      </c>
      <c r="B59" s="16" t="s">
        <v>213</v>
      </c>
      <c r="C59" s="12">
        <v>8</v>
      </c>
      <c r="D59" s="18">
        <f>7.14*1.167</f>
        <v>8.3323800000000006</v>
      </c>
      <c r="E59" s="15">
        <f t="shared" si="6"/>
        <v>1.8331236000000002</v>
      </c>
      <c r="F59" s="18">
        <v>20.62</v>
      </c>
      <c r="G59" s="22">
        <f t="shared" si="7"/>
        <v>1.0415475000000001</v>
      </c>
      <c r="H59" s="22">
        <f t="shared" si="8"/>
        <v>2.4163901999999999</v>
      </c>
      <c r="I59" s="20">
        <f t="shared" si="3"/>
        <v>34.243441300000001</v>
      </c>
      <c r="J59" s="33">
        <f t="shared" si="4"/>
        <v>46.228645755000002</v>
      </c>
    </row>
    <row r="60" spans="1:10" ht="15" customHeight="1">
      <c r="A60" s="9">
        <f t="shared" si="5"/>
        <v>56</v>
      </c>
      <c r="B60" s="16" t="s">
        <v>214</v>
      </c>
      <c r="C60" s="12">
        <v>5</v>
      </c>
      <c r="D60" s="18">
        <f>4.46*1.167</f>
        <v>5.2048199999999998</v>
      </c>
      <c r="E60" s="15">
        <f t="shared" si="6"/>
        <v>1.1450604</v>
      </c>
      <c r="F60" s="18">
        <v>21.02</v>
      </c>
      <c r="G60" s="22">
        <f t="shared" si="7"/>
        <v>0.65060249999999997</v>
      </c>
      <c r="H60" s="22">
        <f t="shared" si="8"/>
        <v>1.5093977999999999</v>
      </c>
      <c r="I60" s="20">
        <f t="shared" si="3"/>
        <v>29.5298807</v>
      </c>
      <c r="J60" s="33">
        <f t="shared" si="4"/>
        <v>39.865338945000005</v>
      </c>
    </row>
    <row r="61" spans="1:10" ht="15" customHeight="1">
      <c r="A61" s="9">
        <f t="shared" si="5"/>
        <v>57</v>
      </c>
      <c r="B61" s="16" t="s">
        <v>216</v>
      </c>
      <c r="C61" s="12">
        <v>8</v>
      </c>
      <c r="D61" s="18">
        <f>7.14*1.167</f>
        <v>8.3323800000000006</v>
      </c>
      <c r="E61" s="15">
        <f t="shared" si="6"/>
        <v>1.8331236000000002</v>
      </c>
      <c r="F61" s="18">
        <v>25.34</v>
      </c>
      <c r="G61" s="22">
        <f t="shared" si="7"/>
        <v>1.0415475000000001</v>
      </c>
      <c r="H61" s="22">
        <f t="shared" si="8"/>
        <v>2.4163901999999999</v>
      </c>
      <c r="I61" s="20">
        <f t="shared" si="3"/>
        <v>38.9634413</v>
      </c>
      <c r="J61" s="33">
        <f t="shared" si="4"/>
        <v>52.600645755000002</v>
      </c>
    </row>
    <row r="62" spans="1:10" ht="15" customHeight="1">
      <c r="A62" s="9">
        <f t="shared" si="5"/>
        <v>58</v>
      </c>
      <c r="B62" s="16" t="s">
        <v>165</v>
      </c>
      <c r="C62" s="12">
        <v>10</v>
      </c>
      <c r="D62" s="18">
        <f>8.93*1.167</f>
        <v>10.42131</v>
      </c>
      <c r="E62" s="15">
        <f t="shared" si="6"/>
        <v>2.2926882000000002</v>
      </c>
      <c r="F62" s="18">
        <v>32.76</v>
      </c>
      <c r="G62" s="22">
        <f t="shared" si="7"/>
        <v>1.30266375</v>
      </c>
      <c r="H62" s="22">
        <f t="shared" si="8"/>
        <v>3.0221798999999998</v>
      </c>
      <c r="I62" s="20">
        <f t="shared" si="3"/>
        <v>49.798841849999995</v>
      </c>
      <c r="J62" s="33">
        <f t="shared" si="4"/>
        <v>67.228436497499999</v>
      </c>
    </row>
    <row r="63" spans="1:10" ht="15" customHeight="1">
      <c r="A63" s="9">
        <f t="shared" si="5"/>
        <v>59</v>
      </c>
      <c r="B63" s="16" t="s">
        <v>166</v>
      </c>
      <c r="C63" s="12">
        <v>6</v>
      </c>
      <c r="D63" s="18">
        <f>5.36*1.167</f>
        <v>6.2551200000000007</v>
      </c>
      <c r="E63" s="15">
        <f t="shared" si="6"/>
        <v>1.3761264000000002</v>
      </c>
      <c r="F63" s="18">
        <v>54.2</v>
      </c>
      <c r="G63" s="22">
        <f t="shared" si="7"/>
        <v>0.78189000000000008</v>
      </c>
      <c r="H63" s="22">
        <f t="shared" si="8"/>
        <v>1.8139848000000001</v>
      </c>
      <c r="I63" s="20">
        <f t="shared" si="3"/>
        <v>64.427121200000002</v>
      </c>
      <c r="J63" s="33">
        <f t="shared" si="4"/>
        <v>86.976613620000009</v>
      </c>
    </row>
    <row r="64" spans="1:10" ht="15" customHeight="1">
      <c r="A64" s="9">
        <f t="shared" si="5"/>
        <v>60</v>
      </c>
      <c r="B64" s="16" t="s">
        <v>167</v>
      </c>
      <c r="C64" s="12">
        <v>10</v>
      </c>
      <c r="D64" s="18">
        <f>7.14*1.167</f>
        <v>8.3323800000000006</v>
      </c>
      <c r="E64" s="15">
        <f t="shared" si="6"/>
        <v>1.8331236000000002</v>
      </c>
      <c r="F64" s="18">
        <v>53.25</v>
      </c>
      <c r="G64" s="22">
        <f t="shared" si="7"/>
        <v>1.0415475000000001</v>
      </c>
      <c r="H64" s="22">
        <f t="shared" si="8"/>
        <v>2.4163901999999999</v>
      </c>
      <c r="I64" s="20">
        <f t="shared" si="3"/>
        <v>66.873441299999996</v>
      </c>
      <c r="J64" s="33">
        <f t="shared" si="4"/>
        <v>90.279145755000002</v>
      </c>
    </row>
    <row r="65" spans="1:10" ht="15" customHeight="1">
      <c r="A65" s="9">
        <f t="shared" si="5"/>
        <v>61</v>
      </c>
      <c r="B65" s="16" t="s">
        <v>168</v>
      </c>
      <c r="C65" s="12">
        <v>15</v>
      </c>
      <c r="D65" s="18">
        <f>13.38*1.167</f>
        <v>15.614460000000001</v>
      </c>
      <c r="E65" s="15">
        <f t="shared" si="6"/>
        <v>3.4351812000000002</v>
      </c>
      <c r="F65" s="18">
        <v>54.14</v>
      </c>
      <c r="G65" s="22">
        <f t="shared" si="7"/>
        <v>1.9518075000000001</v>
      </c>
      <c r="H65" s="22">
        <f t="shared" si="8"/>
        <v>4.5281934000000001</v>
      </c>
      <c r="I65" s="20">
        <f t="shared" si="3"/>
        <v>79.669642100000004</v>
      </c>
      <c r="J65" s="33">
        <f t="shared" si="4"/>
        <v>107.55401683500001</v>
      </c>
    </row>
    <row r="66" spans="1:10" ht="15" customHeight="1">
      <c r="A66" s="9">
        <f t="shared" si="5"/>
        <v>62</v>
      </c>
      <c r="B66" s="16" t="s">
        <v>169</v>
      </c>
      <c r="C66" s="12">
        <v>10</v>
      </c>
      <c r="D66" s="18">
        <f>8.93*1.167</f>
        <v>10.42131</v>
      </c>
      <c r="E66" s="15">
        <f t="shared" si="6"/>
        <v>2.2926882000000002</v>
      </c>
      <c r="F66" s="18">
        <v>16.14</v>
      </c>
      <c r="G66" s="22">
        <f t="shared" si="7"/>
        <v>1.30266375</v>
      </c>
      <c r="H66" s="22">
        <f t="shared" si="8"/>
        <v>3.0221798999999998</v>
      </c>
      <c r="I66" s="20">
        <f t="shared" si="3"/>
        <v>33.178841849999998</v>
      </c>
      <c r="J66" s="33">
        <f t="shared" si="4"/>
        <v>44.791436497500001</v>
      </c>
    </row>
    <row r="67" spans="1:10" ht="15" customHeight="1">
      <c r="A67" s="9">
        <f t="shared" si="5"/>
        <v>63</v>
      </c>
      <c r="B67" s="16" t="s">
        <v>170</v>
      </c>
      <c r="C67" s="12">
        <v>5</v>
      </c>
      <c r="D67" s="18">
        <f>4.46*1.167</f>
        <v>5.2048199999999998</v>
      </c>
      <c r="E67" s="15">
        <f t="shared" si="6"/>
        <v>1.1450604</v>
      </c>
      <c r="F67" s="18">
        <v>8.5399999999999991</v>
      </c>
      <c r="G67" s="22">
        <f t="shared" si="7"/>
        <v>0.65060249999999997</v>
      </c>
      <c r="H67" s="22">
        <f t="shared" si="8"/>
        <v>1.5093977999999999</v>
      </c>
      <c r="I67" s="20">
        <f t="shared" si="3"/>
        <v>17.049880699999999</v>
      </c>
      <c r="J67" s="33">
        <f t="shared" si="4"/>
        <v>23.017338944999999</v>
      </c>
    </row>
    <row r="68" spans="1:10" ht="15" customHeight="1">
      <c r="A68" s="9">
        <f t="shared" si="5"/>
        <v>64</v>
      </c>
      <c r="B68" s="16" t="s">
        <v>226</v>
      </c>
      <c r="C68" s="12">
        <v>40</v>
      </c>
      <c r="D68" s="18">
        <f>28.25*1.167</f>
        <v>32.967750000000002</v>
      </c>
      <c r="E68" s="15">
        <f t="shared" si="6"/>
        <v>7.2529050000000002</v>
      </c>
      <c r="F68" s="18">
        <v>14.1</v>
      </c>
      <c r="G68" s="22">
        <f t="shared" si="7"/>
        <v>4.1209687500000003</v>
      </c>
      <c r="H68" s="22">
        <f t="shared" si="8"/>
        <v>9.5606475</v>
      </c>
      <c r="I68" s="20">
        <f t="shared" si="3"/>
        <v>68.002271250000007</v>
      </c>
      <c r="J68" s="33">
        <f t="shared" si="4"/>
        <v>91.803066187500022</v>
      </c>
    </row>
    <row r="69" spans="1:10" ht="15" customHeight="1">
      <c r="A69" s="9">
        <f t="shared" si="5"/>
        <v>65</v>
      </c>
      <c r="B69" s="16" t="s">
        <v>227</v>
      </c>
      <c r="C69" s="12">
        <v>10</v>
      </c>
      <c r="D69" s="18">
        <f>8.93*1.167</f>
        <v>10.42131</v>
      </c>
      <c r="E69" s="15">
        <f t="shared" si="6"/>
        <v>2.2926882000000002</v>
      </c>
      <c r="F69" s="18">
        <v>10.3</v>
      </c>
      <c r="G69" s="22">
        <f t="shared" si="7"/>
        <v>1.30266375</v>
      </c>
      <c r="H69" s="22">
        <f t="shared" si="8"/>
        <v>3.0221798999999998</v>
      </c>
      <c r="I69" s="20">
        <f t="shared" ref="I69:I131" si="10">D69+E69+F69+G69+H69</f>
        <v>27.338841850000005</v>
      </c>
      <c r="J69" s="33">
        <f t="shared" ref="J69:J131" si="11">I69*1.35</f>
        <v>36.907436497500008</v>
      </c>
    </row>
    <row r="70" spans="1:10" ht="15" customHeight="1">
      <c r="A70" s="9">
        <f t="shared" si="5"/>
        <v>66</v>
      </c>
      <c r="B70" s="16" t="s">
        <v>171</v>
      </c>
      <c r="C70" s="12">
        <v>20</v>
      </c>
      <c r="D70" s="18">
        <f>14.09*1.167</f>
        <v>16.44303</v>
      </c>
      <c r="E70" s="15">
        <f t="shared" si="6"/>
        <v>3.6174666000000002</v>
      </c>
      <c r="F70" s="18">
        <v>14.3</v>
      </c>
      <c r="G70" s="22">
        <f t="shared" si="7"/>
        <v>2.05537875</v>
      </c>
      <c r="H70" s="22">
        <f t="shared" si="8"/>
        <v>4.7684787000000002</v>
      </c>
      <c r="I70" s="20">
        <f t="shared" si="10"/>
        <v>41.18435405000001</v>
      </c>
      <c r="J70" s="33">
        <f t="shared" si="11"/>
        <v>55.598877967500016</v>
      </c>
    </row>
    <row r="71" spans="1:10" ht="15" customHeight="1">
      <c r="A71" s="9">
        <f t="shared" ref="A71:A134" si="12">A70+1</f>
        <v>67</v>
      </c>
      <c r="B71" s="16" t="s">
        <v>172</v>
      </c>
      <c r="C71" s="12">
        <v>5</v>
      </c>
      <c r="D71" s="18">
        <f>3.61*1.167</f>
        <v>4.2128699999999997</v>
      </c>
      <c r="E71" s="15">
        <f t="shared" si="6"/>
        <v>0.92683139999999997</v>
      </c>
      <c r="F71" s="18">
        <v>74.2</v>
      </c>
      <c r="G71" s="22">
        <f t="shared" si="7"/>
        <v>0.52660874999999996</v>
      </c>
      <c r="H71" s="22">
        <f t="shared" si="8"/>
        <v>1.2217322999999998</v>
      </c>
      <c r="I71" s="20">
        <f t="shared" si="10"/>
        <v>81.088042449999989</v>
      </c>
      <c r="J71" s="33">
        <f t="shared" si="11"/>
        <v>109.46885730749999</v>
      </c>
    </row>
    <row r="72" spans="1:10" ht="15" customHeight="1">
      <c r="A72" s="9">
        <f t="shared" si="12"/>
        <v>68</v>
      </c>
      <c r="B72" s="16" t="s">
        <v>173</v>
      </c>
      <c r="C72" s="12">
        <v>10</v>
      </c>
      <c r="D72" s="18">
        <f>7.18*1.167</f>
        <v>8.3790599999999991</v>
      </c>
      <c r="E72" s="15">
        <f t="shared" si="6"/>
        <v>1.8433931999999997</v>
      </c>
      <c r="F72" s="18">
        <v>11.4</v>
      </c>
      <c r="G72" s="22">
        <f t="shared" si="7"/>
        <v>1.0473824999999999</v>
      </c>
      <c r="H72" s="22">
        <f t="shared" si="8"/>
        <v>2.4299273999999995</v>
      </c>
      <c r="I72" s="20">
        <f t="shared" si="10"/>
        <v>25.099763100000001</v>
      </c>
      <c r="J72" s="33">
        <f t="shared" si="11"/>
        <v>33.884680185000001</v>
      </c>
    </row>
    <row r="73" spans="1:10" ht="15" customHeight="1">
      <c r="A73" s="9">
        <f t="shared" si="12"/>
        <v>69</v>
      </c>
      <c r="B73" s="16" t="s">
        <v>174</v>
      </c>
      <c r="C73" s="12">
        <v>10</v>
      </c>
      <c r="D73" s="18">
        <f>8.15*1.167</f>
        <v>9.5110500000000009</v>
      </c>
      <c r="E73" s="15">
        <f t="shared" si="6"/>
        <v>2.0924310000000004</v>
      </c>
      <c r="F73" s="18">
        <v>63.14</v>
      </c>
      <c r="G73" s="22">
        <f t="shared" si="7"/>
        <v>1.1888812500000001</v>
      </c>
      <c r="H73" s="22">
        <f t="shared" si="8"/>
        <v>2.7582045000000002</v>
      </c>
      <c r="I73" s="20">
        <f t="shared" si="10"/>
        <v>78.690566750000002</v>
      </c>
      <c r="J73" s="33">
        <f t="shared" si="11"/>
        <v>106.23226511250002</v>
      </c>
    </row>
    <row r="74" spans="1:10" ht="15" customHeight="1">
      <c r="A74" s="9">
        <f t="shared" si="12"/>
        <v>70</v>
      </c>
      <c r="B74" s="16" t="s">
        <v>175</v>
      </c>
      <c r="C74" s="12">
        <v>10</v>
      </c>
      <c r="D74" s="18">
        <f>8.15*1.167</f>
        <v>9.5110500000000009</v>
      </c>
      <c r="E74" s="15">
        <f t="shared" si="6"/>
        <v>2.0924310000000004</v>
      </c>
      <c r="F74" s="18">
        <v>67.14</v>
      </c>
      <c r="G74" s="22">
        <f t="shared" si="7"/>
        <v>1.1888812500000001</v>
      </c>
      <c r="H74" s="22">
        <f t="shared" si="8"/>
        <v>2.7582045000000002</v>
      </c>
      <c r="I74" s="20">
        <f t="shared" si="10"/>
        <v>82.690566750000002</v>
      </c>
      <c r="J74" s="33">
        <f t="shared" si="11"/>
        <v>111.63226511250001</v>
      </c>
    </row>
    <row r="75" spans="1:10" ht="15" customHeight="1">
      <c r="A75" s="9">
        <f t="shared" si="12"/>
        <v>71</v>
      </c>
      <c r="B75" s="16" t="s">
        <v>228</v>
      </c>
      <c r="C75" s="12">
        <v>60</v>
      </c>
      <c r="D75" s="18">
        <f>48.97*1.167</f>
        <v>57.14799</v>
      </c>
      <c r="E75" s="15">
        <f t="shared" si="6"/>
        <v>12.5725578</v>
      </c>
      <c r="F75" s="18">
        <v>26.14</v>
      </c>
      <c r="G75" s="22">
        <f t="shared" si="7"/>
        <v>7.14349875</v>
      </c>
      <c r="H75" s="22">
        <f t="shared" si="8"/>
        <v>16.572917099999998</v>
      </c>
      <c r="I75" s="20">
        <f t="shared" si="10"/>
        <v>119.57696365000001</v>
      </c>
      <c r="J75" s="33">
        <f t="shared" si="11"/>
        <v>161.42890092750002</v>
      </c>
    </row>
    <row r="76" spans="1:10" ht="15" customHeight="1">
      <c r="A76" s="9">
        <f t="shared" si="12"/>
        <v>72</v>
      </c>
      <c r="B76" s="16" t="s">
        <v>112</v>
      </c>
      <c r="C76" s="12">
        <v>60</v>
      </c>
      <c r="D76" s="18">
        <f>48.97*1.167</f>
        <v>57.14799</v>
      </c>
      <c r="E76" s="15">
        <f t="shared" si="6"/>
        <v>12.5725578</v>
      </c>
      <c r="F76" s="18">
        <v>25.64</v>
      </c>
      <c r="G76" s="22">
        <f t="shared" si="7"/>
        <v>7.14349875</v>
      </c>
      <c r="H76" s="22">
        <f t="shared" si="8"/>
        <v>16.572917099999998</v>
      </c>
      <c r="I76" s="20">
        <f t="shared" si="10"/>
        <v>119.07696365000001</v>
      </c>
      <c r="J76" s="33">
        <f t="shared" si="11"/>
        <v>160.75390092750001</v>
      </c>
    </row>
    <row r="77" spans="1:10" ht="15" customHeight="1">
      <c r="A77" s="9">
        <f t="shared" si="12"/>
        <v>73</v>
      </c>
      <c r="B77" s="16" t="s">
        <v>217</v>
      </c>
      <c r="C77" s="12">
        <v>45</v>
      </c>
      <c r="D77" s="18">
        <f>36.73*1.167</f>
        <v>42.863909999999997</v>
      </c>
      <c r="E77" s="15">
        <f t="shared" ref="E77:E109" si="13">D77*0.22</f>
        <v>9.4300601999999998</v>
      </c>
      <c r="F77" s="18">
        <v>40.64</v>
      </c>
      <c r="G77" s="22">
        <f t="shared" ref="G77:G109" si="14">0.125*D77</f>
        <v>5.3579887499999996</v>
      </c>
      <c r="H77" s="22">
        <f t="shared" ref="H77:H139" si="15">D77*0.29</f>
        <v>12.430533899999999</v>
      </c>
      <c r="I77" s="20">
        <f t="shared" si="10"/>
        <v>110.72249285000001</v>
      </c>
      <c r="J77" s="33">
        <f t="shared" si="11"/>
        <v>149.47536534750003</v>
      </c>
    </row>
    <row r="78" spans="1:10" ht="15" customHeight="1">
      <c r="A78" s="9">
        <f t="shared" si="12"/>
        <v>74</v>
      </c>
      <c r="B78" s="16" t="s">
        <v>113</v>
      </c>
      <c r="C78" s="12">
        <v>25</v>
      </c>
      <c r="D78" s="18">
        <f>20.39*1.167</f>
        <v>23.79513</v>
      </c>
      <c r="E78" s="15">
        <f t="shared" si="13"/>
        <v>5.2349285999999999</v>
      </c>
      <c r="F78" s="18">
        <v>14.64</v>
      </c>
      <c r="G78" s="22">
        <f t="shared" si="14"/>
        <v>2.97439125</v>
      </c>
      <c r="H78" s="22">
        <f t="shared" si="15"/>
        <v>6.9005877</v>
      </c>
      <c r="I78" s="20">
        <f t="shared" si="10"/>
        <v>53.545037550000004</v>
      </c>
      <c r="J78" s="33">
        <f t="shared" si="11"/>
        <v>72.285800692500004</v>
      </c>
    </row>
    <row r="79" spans="1:10" ht="15" customHeight="1">
      <c r="A79" s="9">
        <f t="shared" si="12"/>
        <v>75</v>
      </c>
      <c r="B79" s="16" t="s">
        <v>229</v>
      </c>
      <c r="C79" s="12">
        <v>10</v>
      </c>
      <c r="D79" s="18">
        <f>8.15*1.167</f>
        <v>9.5110500000000009</v>
      </c>
      <c r="E79" s="15">
        <f t="shared" si="13"/>
        <v>2.0924310000000004</v>
      </c>
      <c r="F79" s="18">
        <v>31.14</v>
      </c>
      <c r="G79" s="22">
        <f t="shared" si="14"/>
        <v>1.1888812500000001</v>
      </c>
      <c r="H79" s="22">
        <f t="shared" si="15"/>
        <v>2.7582045000000002</v>
      </c>
      <c r="I79" s="20">
        <f t="shared" si="10"/>
        <v>46.690566750000002</v>
      </c>
      <c r="J79" s="33">
        <f t="shared" si="11"/>
        <v>63.032265112500006</v>
      </c>
    </row>
    <row r="80" spans="1:10" ht="15" customHeight="1">
      <c r="A80" s="9">
        <f t="shared" si="12"/>
        <v>76</v>
      </c>
      <c r="B80" s="16" t="s">
        <v>230</v>
      </c>
      <c r="C80" s="12">
        <v>30</v>
      </c>
      <c r="D80" s="18">
        <f>24.49*1.167</f>
        <v>28.579829999999998</v>
      </c>
      <c r="E80" s="15">
        <f t="shared" si="13"/>
        <v>6.2875625999999993</v>
      </c>
      <c r="F80" s="18">
        <v>18.64</v>
      </c>
      <c r="G80" s="22">
        <f t="shared" si="14"/>
        <v>3.5724787499999997</v>
      </c>
      <c r="H80" s="22">
        <f t="shared" si="15"/>
        <v>8.2881506999999992</v>
      </c>
      <c r="I80" s="20">
        <f t="shared" si="10"/>
        <v>65.368022049999993</v>
      </c>
      <c r="J80" s="33">
        <f t="shared" si="11"/>
        <v>88.246829767500003</v>
      </c>
    </row>
    <row r="81" spans="1:10" ht="15" customHeight="1">
      <c r="A81" s="9">
        <f t="shared" si="12"/>
        <v>77</v>
      </c>
      <c r="B81" s="16" t="s">
        <v>114</v>
      </c>
      <c r="C81" s="12">
        <v>30</v>
      </c>
      <c r="D81" s="18">
        <f>24.49*1.167</f>
        <v>28.579829999999998</v>
      </c>
      <c r="E81" s="15">
        <f t="shared" si="13"/>
        <v>6.2875625999999993</v>
      </c>
      <c r="F81" s="18">
        <v>40.700000000000003</v>
      </c>
      <c r="G81" s="22">
        <f t="shared" si="14"/>
        <v>3.5724787499999997</v>
      </c>
      <c r="H81" s="22">
        <f t="shared" si="15"/>
        <v>8.2881506999999992</v>
      </c>
      <c r="I81" s="20">
        <f t="shared" si="10"/>
        <v>87.42802205000001</v>
      </c>
      <c r="J81" s="33">
        <f t="shared" si="11"/>
        <v>118.02782976750002</v>
      </c>
    </row>
    <row r="82" spans="1:10" ht="15" customHeight="1">
      <c r="A82" s="9">
        <f t="shared" si="12"/>
        <v>78</v>
      </c>
      <c r="B82" s="16" t="s">
        <v>115</v>
      </c>
      <c r="C82" s="12">
        <v>5</v>
      </c>
      <c r="D82" s="18">
        <f>4.09*1.167</f>
        <v>4.7730300000000003</v>
      </c>
      <c r="E82" s="15">
        <f t="shared" si="13"/>
        <v>1.0500666000000001</v>
      </c>
      <c r="F82" s="18">
        <v>5.3</v>
      </c>
      <c r="G82" s="22">
        <f t="shared" si="14"/>
        <v>0.59662875000000004</v>
      </c>
      <c r="H82" s="22">
        <f t="shared" si="15"/>
        <v>1.3841787000000001</v>
      </c>
      <c r="I82" s="20">
        <f t="shared" si="10"/>
        <v>13.103904050000001</v>
      </c>
      <c r="J82" s="33">
        <f t="shared" si="11"/>
        <v>17.690270467500003</v>
      </c>
    </row>
    <row r="83" spans="1:10" ht="15" customHeight="1">
      <c r="A83" s="9">
        <f t="shared" si="12"/>
        <v>79</v>
      </c>
      <c r="B83" s="16" t="s">
        <v>116</v>
      </c>
      <c r="C83" s="12">
        <v>5</v>
      </c>
      <c r="D83" s="18">
        <f>4.09*1.167</f>
        <v>4.7730300000000003</v>
      </c>
      <c r="E83" s="15">
        <f t="shared" si="13"/>
        <v>1.0500666000000001</v>
      </c>
      <c r="F83" s="18">
        <v>5.3</v>
      </c>
      <c r="G83" s="22">
        <f t="shared" si="14"/>
        <v>0.59662875000000004</v>
      </c>
      <c r="H83" s="22">
        <f t="shared" si="15"/>
        <v>1.3841787000000001</v>
      </c>
      <c r="I83" s="20">
        <f t="shared" si="10"/>
        <v>13.103904050000001</v>
      </c>
      <c r="J83" s="33">
        <f t="shared" si="11"/>
        <v>17.690270467500003</v>
      </c>
    </row>
    <row r="84" spans="1:10" ht="15" customHeight="1">
      <c r="A84" s="9">
        <f t="shared" si="12"/>
        <v>80</v>
      </c>
      <c r="B84" s="16" t="s">
        <v>117</v>
      </c>
      <c r="C84" s="12">
        <v>5</v>
      </c>
      <c r="D84" s="18">
        <f>4.09*1.167</f>
        <v>4.7730300000000003</v>
      </c>
      <c r="E84" s="15">
        <f t="shared" si="13"/>
        <v>1.0500666000000001</v>
      </c>
      <c r="F84" s="18">
        <v>5.3</v>
      </c>
      <c r="G84" s="22">
        <f t="shared" si="14"/>
        <v>0.59662875000000004</v>
      </c>
      <c r="H84" s="22">
        <f t="shared" si="15"/>
        <v>1.3841787000000001</v>
      </c>
      <c r="I84" s="20">
        <f t="shared" si="10"/>
        <v>13.103904050000001</v>
      </c>
      <c r="J84" s="33">
        <f t="shared" si="11"/>
        <v>17.690270467500003</v>
      </c>
    </row>
    <row r="85" spans="1:10" ht="15" customHeight="1">
      <c r="A85" s="9">
        <f t="shared" si="12"/>
        <v>81</v>
      </c>
      <c r="B85" s="16" t="s">
        <v>118</v>
      </c>
      <c r="C85" s="12">
        <v>40</v>
      </c>
      <c r="D85" s="18">
        <f>32.63*1.167</f>
        <v>38.079210000000003</v>
      </c>
      <c r="E85" s="15">
        <f t="shared" si="13"/>
        <v>8.3774262000000004</v>
      </c>
      <c r="F85" s="18">
        <v>26.3</v>
      </c>
      <c r="G85" s="22">
        <f t="shared" si="14"/>
        <v>4.7599012500000004</v>
      </c>
      <c r="H85" s="22">
        <f t="shared" si="15"/>
        <v>11.0429709</v>
      </c>
      <c r="I85" s="20">
        <f t="shared" si="10"/>
        <v>88.559508350000002</v>
      </c>
      <c r="J85" s="33">
        <f t="shared" si="11"/>
        <v>119.55533627250001</v>
      </c>
    </row>
    <row r="86" spans="1:10" ht="15" customHeight="1">
      <c r="A86" s="9">
        <f t="shared" si="12"/>
        <v>82</v>
      </c>
      <c r="B86" s="16" t="s">
        <v>119</v>
      </c>
      <c r="C86" s="12">
        <v>30</v>
      </c>
      <c r="D86" s="18">
        <f>24.49*1.167</f>
        <v>28.579829999999998</v>
      </c>
      <c r="E86" s="15">
        <f t="shared" si="13"/>
        <v>6.2875625999999993</v>
      </c>
      <c r="F86" s="18">
        <v>14.3</v>
      </c>
      <c r="G86" s="22">
        <f t="shared" si="14"/>
        <v>3.5724787499999997</v>
      </c>
      <c r="H86" s="22">
        <f t="shared" si="15"/>
        <v>8.2881506999999992</v>
      </c>
      <c r="I86" s="20">
        <f t="shared" si="10"/>
        <v>61.028022050000004</v>
      </c>
      <c r="J86" s="33">
        <f t="shared" si="11"/>
        <v>82.387829767500008</v>
      </c>
    </row>
    <row r="87" spans="1:10" ht="15" customHeight="1">
      <c r="A87" s="9">
        <f t="shared" si="12"/>
        <v>83</v>
      </c>
      <c r="B87" s="16" t="s">
        <v>120</v>
      </c>
      <c r="C87" s="12">
        <v>30</v>
      </c>
      <c r="D87" s="18">
        <f>24.49*1.167</f>
        <v>28.579829999999998</v>
      </c>
      <c r="E87" s="15">
        <f t="shared" si="13"/>
        <v>6.2875625999999993</v>
      </c>
      <c r="F87" s="18">
        <v>14.3</v>
      </c>
      <c r="G87" s="22">
        <f t="shared" si="14"/>
        <v>3.5724787499999997</v>
      </c>
      <c r="H87" s="22">
        <f t="shared" si="15"/>
        <v>8.2881506999999992</v>
      </c>
      <c r="I87" s="20">
        <f t="shared" si="10"/>
        <v>61.028022050000004</v>
      </c>
      <c r="J87" s="33">
        <f t="shared" si="11"/>
        <v>82.387829767500008</v>
      </c>
    </row>
    <row r="88" spans="1:10" ht="15" customHeight="1">
      <c r="A88" s="9">
        <f t="shared" si="12"/>
        <v>84</v>
      </c>
      <c r="B88" s="16" t="s">
        <v>121</v>
      </c>
      <c r="C88" s="12">
        <v>10</v>
      </c>
      <c r="D88" s="18">
        <f>8.15*1.167</f>
        <v>9.5110500000000009</v>
      </c>
      <c r="E88" s="15">
        <f t="shared" si="13"/>
        <v>2.0924310000000004</v>
      </c>
      <c r="F88" s="18">
        <v>7.64</v>
      </c>
      <c r="G88" s="22">
        <f t="shared" si="14"/>
        <v>1.1888812500000001</v>
      </c>
      <c r="H88" s="22">
        <f t="shared" si="15"/>
        <v>2.7582045000000002</v>
      </c>
      <c r="I88" s="20">
        <f t="shared" si="10"/>
        <v>23.190566750000006</v>
      </c>
      <c r="J88" s="33">
        <f t="shared" si="11"/>
        <v>31.307265112500009</v>
      </c>
    </row>
    <row r="89" spans="1:10" ht="15" customHeight="1">
      <c r="A89" s="9">
        <f t="shared" si="12"/>
        <v>85</v>
      </c>
      <c r="B89" s="16" t="s">
        <v>122</v>
      </c>
      <c r="C89" s="12">
        <v>10</v>
      </c>
      <c r="D89" s="18">
        <f>8.15*1.167</f>
        <v>9.5110500000000009</v>
      </c>
      <c r="E89" s="15">
        <f t="shared" si="13"/>
        <v>2.0924310000000004</v>
      </c>
      <c r="F89" s="18">
        <v>7.64</v>
      </c>
      <c r="G89" s="22">
        <f t="shared" si="14"/>
        <v>1.1888812500000001</v>
      </c>
      <c r="H89" s="22">
        <f t="shared" si="15"/>
        <v>2.7582045000000002</v>
      </c>
      <c r="I89" s="20">
        <f t="shared" si="10"/>
        <v>23.190566750000006</v>
      </c>
      <c r="J89" s="33">
        <f t="shared" si="11"/>
        <v>31.307265112500009</v>
      </c>
    </row>
    <row r="90" spans="1:10" ht="15" customHeight="1">
      <c r="A90" s="9">
        <f t="shared" si="12"/>
        <v>86</v>
      </c>
      <c r="B90" s="16" t="s">
        <v>123</v>
      </c>
      <c r="C90" s="12">
        <v>10</v>
      </c>
      <c r="D90" s="18">
        <f>8.15*1.167</f>
        <v>9.5110500000000009</v>
      </c>
      <c r="E90" s="15">
        <f t="shared" si="13"/>
        <v>2.0924310000000004</v>
      </c>
      <c r="F90" s="18">
        <v>7.64</v>
      </c>
      <c r="G90" s="22">
        <f t="shared" si="14"/>
        <v>1.1888812500000001</v>
      </c>
      <c r="H90" s="22">
        <f t="shared" si="15"/>
        <v>2.7582045000000002</v>
      </c>
      <c r="I90" s="20">
        <f t="shared" si="10"/>
        <v>23.190566750000006</v>
      </c>
      <c r="J90" s="33">
        <f t="shared" si="11"/>
        <v>31.307265112500009</v>
      </c>
    </row>
    <row r="91" spans="1:10" ht="15" customHeight="1">
      <c r="A91" s="9">
        <f t="shared" si="12"/>
        <v>87</v>
      </c>
      <c r="B91" s="16" t="s">
        <v>124</v>
      </c>
      <c r="C91" s="12">
        <v>10</v>
      </c>
      <c r="D91" s="18">
        <f>7.18*1.167</f>
        <v>8.3790599999999991</v>
      </c>
      <c r="E91" s="15">
        <f t="shared" si="13"/>
        <v>1.8433931999999997</v>
      </c>
      <c r="F91" s="18">
        <v>15.39</v>
      </c>
      <c r="G91" s="22">
        <f t="shared" si="14"/>
        <v>1.0473824999999999</v>
      </c>
      <c r="H91" s="22">
        <f t="shared" si="15"/>
        <v>2.4299273999999995</v>
      </c>
      <c r="I91" s="20">
        <f t="shared" si="10"/>
        <v>29.089763099999999</v>
      </c>
      <c r="J91" s="33">
        <f t="shared" si="11"/>
        <v>39.271180184999999</v>
      </c>
    </row>
    <row r="92" spans="1:10" ht="15" customHeight="1">
      <c r="A92" s="9">
        <f t="shared" si="12"/>
        <v>88</v>
      </c>
      <c r="B92" s="16" t="s">
        <v>125</v>
      </c>
      <c r="C92" s="12">
        <v>10</v>
      </c>
      <c r="D92" s="18">
        <f>7.18*1.167</f>
        <v>8.3790599999999991</v>
      </c>
      <c r="E92" s="15">
        <f t="shared" si="13"/>
        <v>1.8433931999999997</v>
      </c>
      <c r="F92" s="18">
        <v>4.7300000000000004</v>
      </c>
      <c r="G92" s="22">
        <f t="shared" si="14"/>
        <v>1.0473824999999999</v>
      </c>
      <c r="H92" s="22">
        <f t="shared" si="15"/>
        <v>2.4299273999999995</v>
      </c>
      <c r="I92" s="20">
        <f t="shared" si="10"/>
        <v>18.429763099999999</v>
      </c>
      <c r="J92" s="33">
        <f t="shared" si="11"/>
        <v>24.880180185</v>
      </c>
    </row>
    <row r="93" spans="1:10" ht="15" customHeight="1">
      <c r="A93" s="9">
        <f t="shared" si="12"/>
        <v>89</v>
      </c>
      <c r="B93" s="16" t="s">
        <v>176</v>
      </c>
      <c r="C93" s="12">
        <v>15</v>
      </c>
      <c r="D93" s="18">
        <f>10.8*1.167</f>
        <v>12.603600000000002</v>
      </c>
      <c r="E93" s="15">
        <f t="shared" si="13"/>
        <v>2.7727920000000004</v>
      </c>
      <c r="F93" s="18">
        <v>34.1</v>
      </c>
      <c r="G93" s="22">
        <f t="shared" si="14"/>
        <v>1.5754500000000002</v>
      </c>
      <c r="H93" s="22">
        <f t="shared" si="15"/>
        <v>3.6550440000000002</v>
      </c>
      <c r="I93" s="20">
        <f t="shared" si="10"/>
        <v>54.706886000000011</v>
      </c>
      <c r="J93" s="33">
        <f t="shared" si="11"/>
        <v>73.854296100000013</v>
      </c>
    </row>
    <row r="94" spans="1:10" ht="15" customHeight="1">
      <c r="A94" s="9">
        <f t="shared" si="12"/>
        <v>90</v>
      </c>
      <c r="B94" s="16" t="s">
        <v>126</v>
      </c>
      <c r="C94" s="12">
        <v>15</v>
      </c>
      <c r="D94" s="18">
        <f>10.8*1.167</f>
        <v>12.603600000000002</v>
      </c>
      <c r="E94" s="15">
        <f t="shared" si="13"/>
        <v>2.7727920000000004</v>
      </c>
      <c r="F94" s="18">
        <v>8.5</v>
      </c>
      <c r="G94" s="22">
        <f t="shared" si="14"/>
        <v>1.5754500000000002</v>
      </c>
      <c r="H94" s="22">
        <f t="shared" si="15"/>
        <v>3.6550440000000002</v>
      </c>
      <c r="I94" s="20">
        <f t="shared" si="10"/>
        <v>29.106886000000003</v>
      </c>
      <c r="J94" s="33">
        <f t="shared" si="11"/>
        <v>39.294296100000004</v>
      </c>
    </row>
    <row r="95" spans="1:10" ht="15" customHeight="1">
      <c r="A95" s="9">
        <f t="shared" si="12"/>
        <v>91</v>
      </c>
      <c r="B95" s="16" t="s">
        <v>127</v>
      </c>
      <c r="C95" s="12">
        <v>120</v>
      </c>
      <c r="D95" s="18">
        <f>83.07*1.167</f>
        <v>96.942689999999999</v>
      </c>
      <c r="E95" s="15">
        <f t="shared" si="13"/>
        <v>21.327391800000001</v>
      </c>
      <c r="F95" s="18">
        <v>160</v>
      </c>
      <c r="G95" s="22">
        <f t="shared" si="14"/>
        <v>12.11783625</v>
      </c>
      <c r="H95" s="22">
        <f t="shared" si="15"/>
        <v>28.113380099999997</v>
      </c>
      <c r="I95" s="20">
        <f t="shared" si="10"/>
        <v>318.50129814999997</v>
      </c>
      <c r="J95" s="33">
        <f t="shared" si="11"/>
        <v>429.97675250250001</v>
      </c>
    </row>
    <row r="96" spans="1:10" ht="15" customHeight="1">
      <c r="A96" s="9">
        <f t="shared" si="12"/>
        <v>92</v>
      </c>
      <c r="B96" s="23" t="s">
        <v>128</v>
      </c>
      <c r="C96" s="12">
        <v>30</v>
      </c>
      <c r="D96" s="18">
        <f>21.31*1.167</f>
        <v>24.868769999999998</v>
      </c>
      <c r="E96" s="15">
        <f t="shared" si="13"/>
        <v>5.4711293999999997</v>
      </c>
      <c r="F96" s="18">
        <v>12.9</v>
      </c>
      <c r="G96" s="22">
        <f t="shared" si="14"/>
        <v>3.1085962499999997</v>
      </c>
      <c r="H96" s="22">
        <f t="shared" si="15"/>
        <v>7.2119432999999988</v>
      </c>
      <c r="I96" s="20">
        <f t="shared" si="10"/>
        <v>53.560438949999998</v>
      </c>
      <c r="J96" s="33">
        <f t="shared" si="11"/>
        <v>72.306592582500002</v>
      </c>
    </row>
    <row r="97" spans="1:10" ht="15" customHeight="1">
      <c r="A97" s="9">
        <f t="shared" si="12"/>
        <v>93</v>
      </c>
      <c r="B97" s="23" t="s">
        <v>129</v>
      </c>
      <c r="C97" s="12">
        <v>80</v>
      </c>
      <c r="D97" s="18">
        <f>56.49*1.167</f>
        <v>65.923830000000009</v>
      </c>
      <c r="E97" s="15">
        <f t="shared" si="13"/>
        <v>14.503242600000002</v>
      </c>
      <c r="F97" s="24">
        <v>209.04</v>
      </c>
      <c r="G97" s="22">
        <f t="shared" si="14"/>
        <v>8.2404787500000012</v>
      </c>
      <c r="H97" s="22">
        <f t="shared" si="15"/>
        <v>19.117910700000003</v>
      </c>
      <c r="I97" s="20">
        <f t="shared" si="10"/>
        <v>316.82546205</v>
      </c>
      <c r="J97" s="33">
        <f t="shared" si="11"/>
        <v>427.71437376750004</v>
      </c>
    </row>
    <row r="98" spans="1:10" ht="15" customHeight="1">
      <c r="A98" s="9">
        <f t="shared" si="12"/>
        <v>94</v>
      </c>
      <c r="B98" s="23" t="s">
        <v>231</v>
      </c>
      <c r="C98" s="12">
        <v>90</v>
      </c>
      <c r="D98" s="18">
        <f>63.68*1.167</f>
        <v>74.31456</v>
      </c>
      <c r="E98" s="15">
        <f t="shared" si="13"/>
        <v>16.349203200000002</v>
      </c>
      <c r="F98" s="24">
        <v>228.04</v>
      </c>
      <c r="G98" s="22">
        <f t="shared" si="14"/>
        <v>9.28932</v>
      </c>
      <c r="H98" s="22">
        <f t="shared" si="15"/>
        <v>21.5512224</v>
      </c>
      <c r="I98" s="20">
        <f t="shared" si="10"/>
        <v>349.54430560000003</v>
      </c>
      <c r="J98" s="33">
        <f t="shared" si="11"/>
        <v>471.88481256000006</v>
      </c>
    </row>
    <row r="99" spans="1:10" ht="15" customHeight="1">
      <c r="A99" s="9">
        <f t="shared" si="12"/>
        <v>95</v>
      </c>
      <c r="B99" s="23" t="s">
        <v>1</v>
      </c>
      <c r="C99" s="12">
        <v>95</v>
      </c>
      <c r="D99" s="18">
        <f>67.29*1.167</f>
        <v>78.52743000000001</v>
      </c>
      <c r="E99" s="15">
        <f t="shared" si="13"/>
        <v>17.276034600000003</v>
      </c>
      <c r="F99" s="24">
        <v>262.54000000000002</v>
      </c>
      <c r="G99" s="22">
        <f t="shared" si="14"/>
        <v>9.8159287500000012</v>
      </c>
      <c r="H99" s="22">
        <f t="shared" si="15"/>
        <v>22.7729547</v>
      </c>
      <c r="I99" s="20">
        <f t="shared" si="10"/>
        <v>390.93234805000009</v>
      </c>
      <c r="J99" s="33">
        <f t="shared" si="11"/>
        <v>527.7586698675002</v>
      </c>
    </row>
    <row r="100" spans="1:10" ht="15" customHeight="1">
      <c r="A100" s="9">
        <f t="shared" si="12"/>
        <v>96</v>
      </c>
      <c r="B100" s="23" t="s">
        <v>2</v>
      </c>
      <c r="C100" s="12">
        <v>100</v>
      </c>
      <c r="D100" s="18">
        <f>70.61*1.167</f>
        <v>82.401870000000002</v>
      </c>
      <c r="E100" s="15">
        <f t="shared" si="13"/>
        <v>18.128411400000001</v>
      </c>
      <c r="F100" s="24">
        <v>281.04000000000002</v>
      </c>
      <c r="G100" s="22">
        <f t="shared" si="14"/>
        <v>10.30023375</v>
      </c>
      <c r="H100" s="22">
        <f t="shared" si="15"/>
        <v>23.8965423</v>
      </c>
      <c r="I100" s="20">
        <f t="shared" si="10"/>
        <v>415.76705745000004</v>
      </c>
      <c r="J100" s="33">
        <f t="shared" si="11"/>
        <v>561.28552755750013</v>
      </c>
    </row>
    <row r="101" spans="1:10" ht="30" customHeight="1">
      <c r="A101" s="9">
        <f t="shared" si="12"/>
        <v>97</v>
      </c>
      <c r="B101" s="23" t="s">
        <v>232</v>
      </c>
      <c r="C101" s="12">
        <v>15</v>
      </c>
      <c r="D101" s="25">
        <f>8.93*1.167</f>
        <v>10.42131</v>
      </c>
      <c r="E101" s="15">
        <f t="shared" si="13"/>
        <v>2.2926882000000002</v>
      </c>
      <c r="F101" s="24">
        <v>62.94</v>
      </c>
      <c r="G101" s="22">
        <f t="shared" si="14"/>
        <v>1.30266375</v>
      </c>
      <c r="H101" s="22">
        <f t="shared" si="15"/>
        <v>3.0221798999999998</v>
      </c>
      <c r="I101" s="20">
        <f t="shared" si="10"/>
        <v>79.978841849999995</v>
      </c>
      <c r="J101" s="33">
        <f t="shared" si="11"/>
        <v>107.97143649749999</v>
      </c>
    </row>
    <row r="102" spans="1:10" ht="15" customHeight="1">
      <c r="A102" s="9">
        <f t="shared" si="12"/>
        <v>98</v>
      </c>
      <c r="B102" s="23" t="s">
        <v>3</v>
      </c>
      <c r="C102" s="12">
        <v>30</v>
      </c>
      <c r="D102" s="18">
        <f>14.37*1.167</f>
        <v>16.76979</v>
      </c>
      <c r="E102" s="15">
        <f t="shared" si="13"/>
        <v>3.6893538000000001</v>
      </c>
      <c r="F102" s="24">
        <v>52.35</v>
      </c>
      <c r="G102" s="22">
        <f t="shared" si="14"/>
        <v>2.0962237500000001</v>
      </c>
      <c r="H102" s="22">
        <f t="shared" si="15"/>
        <v>4.8632390999999995</v>
      </c>
      <c r="I102" s="20">
        <f t="shared" si="10"/>
        <v>79.768606649999995</v>
      </c>
      <c r="J102" s="33">
        <f t="shared" si="11"/>
        <v>107.68761897749999</v>
      </c>
    </row>
    <row r="103" spans="1:10" ht="15" customHeight="1">
      <c r="A103" s="9">
        <f t="shared" si="12"/>
        <v>99</v>
      </c>
      <c r="B103" s="23" t="s">
        <v>4</v>
      </c>
      <c r="C103" s="12">
        <v>25</v>
      </c>
      <c r="D103" s="18">
        <f>17.99*1.167</f>
        <v>20.994329999999998</v>
      </c>
      <c r="E103" s="15">
        <f t="shared" si="13"/>
        <v>4.6187525999999997</v>
      </c>
      <c r="F103" s="24">
        <v>36.29</v>
      </c>
      <c r="G103" s="22">
        <f t="shared" si="14"/>
        <v>2.6242912499999997</v>
      </c>
      <c r="H103" s="22">
        <f t="shared" si="15"/>
        <v>6.0883556999999993</v>
      </c>
      <c r="I103" s="20">
        <f t="shared" si="10"/>
        <v>70.615729549999998</v>
      </c>
      <c r="J103" s="33">
        <f t="shared" si="11"/>
        <v>95.331234892500007</v>
      </c>
    </row>
    <row r="104" spans="1:10" ht="15" customHeight="1">
      <c r="A104" s="9">
        <f t="shared" si="12"/>
        <v>100</v>
      </c>
      <c r="B104" s="23" t="s">
        <v>5</v>
      </c>
      <c r="C104" s="12">
        <v>45</v>
      </c>
      <c r="D104" s="18">
        <f>32.4*1.167</f>
        <v>37.8108</v>
      </c>
      <c r="E104" s="15">
        <f t="shared" si="13"/>
        <v>8.3183760000000007</v>
      </c>
      <c r="F104" s="24">
        <v>92.14</v>
      </c>
      <c r="G104" s="22">
        <f t="shared" si="14"/>
        <v>4.7263500000000001</v>
      </c>
      <c r="H104" s="22">
        <f t="shared" si="15"/>
        <v>10.965131999999999</v>
      </c>
      <c r="I104" s="20">
        <f t="shared" si="10"/>
        <v>153.96065800000002</v>
      </c>
      <c r="J104" s="33">
        <f t="shared" si="11"/>
        <v>207.84688830000005</v>
      </c>
    </row>
    <row r="105" spans="1:10" ht="15" customHeight="1">
      <c r="A105" s="9">
        <f t="shared" si="12"/>
        <v>101</v>
      </c>
      <c r="B105" s="23" t="s">
        <v>6</v>
      </c>
      <c r="C105" s="12">
        <v>10</v>
      </c>
      <c r="D105" s="25">
        <f>7.18*1.167</f>
        <v>8.3790599999999991</v>
      </c>
      <c r="E105" s="15">
        <f t="shared" si="13"/>
        <v>1.8433931999999997</v>
      </c>
      <c r="F105" s="24">
        <v>8.7200000000000006</v>
      </c>
      <c r="G105" s="22">
        <f t="shared" si="14"/>
        <v>1.0473824999999999</v>
      </c>
      <c r="H105" s="22">
        <f t="shared" si="15"/>
        <v>2.4299273999999995</v>
      </c>
      <c r="I105" s="20">
        <f t="shared" si="10"/>
        <v>22.419763100000001</v>
      </c>
      <c r="J105" s="33">
        <f t="shared" si="11"/>
        <v>30.266680185000002</v>
      </c>
    </row>
    <row r="106" spans="1:10" ht="15" customHeight="1">
      <c r="A106" s="9">
        <f t="shared" si="12"/>
        <v>102</v>
      </c>
      <c r="B106" s="23" t="s">
        <v>7</v>
      </c>
      <c r="C106" s="12">
        <v>7</v>
      </c>
      <c r="D106" s="25">
        <f>5.03*1.167</f>
        <v>5.8700100000000006</v>
      </c>
      <c r="E106" s="15">
        <f t="shared" si="13"/>
        <v>1.2914022000000001</v>
      </c>
      <c r="F106" s="24">
        <v>26.42</v>
      </c>
      <c r="G106" s="22">
        <f t="shared" si="14"/>
        <v>0.73375125000000008</v>
      </c>
      <c r="H106" s="22">
        <f t="shared" si="15"/>
        <v>1.7023029000000001</v>
      </c>
      <c r="I106" s="20">
        <f t="shared" si="10"/>
        <v>36.017466349999999</v>
      </c>
      <c r="J106" s="33">
        <f t="shared" si="11"/>
        <v>48.623579572500006</v>
      </c>
    </row>
    <row r="107" spans="1:10" ht="15" customHeight="1">
      <c r="A107" s="9">
        <f t="shared" si="12"/>
        <v>103</v>
      </c>
      <c r="B107" s="23" t="s">
        <v>8</v>
      </c>
      <c r="C107" s="12">
        <v>15</v>
      </c>
      <c r="D107" s="18">
        <f>7.18*1.167</f>
        <v>8.3790599999999991</v>
      </c>
      <c r="E107" s="15">
        <f t="shared" si="13"/>
        <v>1.8433931999999997</v>
      </c>
      <c r="F107" s="24">
        <v>12.92</v>
      </c>
      <c r="G107" s="22">
        <f t="shared" si="14"/>
        <v>1.0473824999999999</v>
      </c>
      <c r="H107" s="22">
        <f t="shared" si="15"/>
        <v>2.4299273999999995</v>
      </c>
      <c r="I107" s="20">
        <f t="shared" si="10"/>
        <v>26.6197631</v>
      </c>
      <c r="J107" s="33">
        <f t="shared" si="11"/>
        <v>35.936680185</v>
      </c>
    </row>
    <row r="108" spans="1:10" ht="15" customHeight="1">
      <c r="A108" s="9">
        <f t="shared" si="12"/>
        <v>104</v>
      </c>
      <c r="B108" s="23" t="s">
        <v>9</v>
      </c>
      <c r="C108" s="12">
        <v>10</v>
      </c>
      <c r="D108" s="18">
        <f>7.18*1.167</f>
        <v>8.3790599999999991</v>
      </c>
      <c r="E108" s="15">
        <f t="shared" si="13"/>
        <v>1.8433931999999997</v>
      </c>
      <c r="F108" s="24">
        <v>12.49</v>
      </c>
      <c r="G108" s="22">
        <f t="shared" si="14"/>
        <v>1.0473824999999999</v>
      </c>
      <c r="H108" s="22">
        <f t="shared" si="15"/>
        <v>2.4299273999999995</v>
      </c>
      <c r="I108" s="20">
        <f t="shared" si="10"/>
        <v>26.1897631</v>
      </c>
      <c r="J108" s="33">
        <f t="shared" si="11"/>
        <v>35.356180184999999</v>
      </c>
    </row>
    <row r="109" spans="1:10" ht="15" customHeight="1">
      <c r="A109" s="9">
        <f t="shared" si="12"/>
        <v>105</v>
      </c>
      <c r="B109" s="23" t="s">
        <v>233</v>
      </c>
      <c r="C109" s="12">
        <v>120</v>
      </c>
      <c r="D109" s="18">
        <f>17.99*1.167</f>
        <v>20.994329999999998</v>
      </c>
      <c r="E109" s="15">
        <f t="shared" si="13"/>
        <v>4.6187525999999997</v>
      </c>
      <c r="F109" s="24">
        <v>59.94</v>
      </c>
      <c r="G109" s="22">
        <f t="shared" si="14"/>
        <v>2.6242912499999997</v>
      </c>
      <c r="H109" s="22">
        <f t="shared" si="15"/>
        <v>6.0883556999999993</v>
      </c>
      <c r="I109" s="20">
        <f t="shared" si="10"/>
        <v>94.265729549999989</v>
      </c>
      <c r="J109" s="33">
        <f t="shared" si="11"/>
        <v>127.25873489249999</v>
      </c>
    </row>
    <row r="110" spans="1:10" ht="15" customHeight="1">
      <c r="A110" s="9">
        <f>A109+1</f>
        <v>106</v>
      </c>
      <c r="B110" s="16" t="s">
        <v>10</v>
      </c>
      <c r="C110" s="12">
        <v>52</v>
      </c>
      <c r="D110" s="18">
        <f>29.19*1.167</f>
        <v>34.064730000000004</v>
      </c>
      <c r="E110" s="15">
        <f>D110*0.22</f>
        <v>7.4942406000000013</v>
      </c>
      <c r="F110" s="26">
        <v>15.3</v>
      </c>
      <c r="G110" s="26">
        <v>11.03</v>
      </c>
      <c r="H110" s="22">
        <f t="shared" si="15"/>
        <v>9.8787716999999997</v>
      </c>
      <c r="I110" s="20">
        <f t="shared" si="10"/>
        <v>77.767742300000009</v>
      </c>
      <c r="J110" s="33">
        <f t="shared" si="11"/>
        <v>104.98645210500001</v>
      </c>
    </row>
    <row r="111" spans="1:10" ht="15" customHeight="1">
      <c r="A111" s="9">
        <f t="shared" si="12"/>
        <v>107</v>
      </c>
      <c r="B111" s="16" t="s">
        <v>11</v>
      </c>
      <c r="C111" s="12">
        <v>52</v>
      </c>
      <c r="D111" s="18">
        <f>29.19*1.167</f>
        <v>34.064730000000004</v>
      </c>
      <c r="E111" s="15">
        <f t="shared" ref="E111:E165" si="16">D111*0.22</f>
        <v>7.4942406000000013</v>
      </c>
      <c r="F111" s="26">
        <v>61.2</v>
      </c>
      <c r="G111" s="26">
        <v>11.03</v>
      </c>
      <c r="H111" s="22">
        <f t="shared" si="15"/>
        <v>9.8787716999999997</v>
      </c>
      <c r="I111" s="20">
        <f t="shared" si="10"/>
        <v>123.66774230000001</v>
      </c>
      <c r="J111" s="33">
        <f t="shared" si="11"/>
        <v>166.95145210500004</v>
      </c>
    </row>
    <row r="112" spans="1:10" ht="15" customHeight="1">
      <c r="A112" s="9">
        <f t="shared" si="12"/>
        <v>108</v>
      </c>
      <c r="B112" s="16" t="s">
        <v>12</v>
      </c>
      <c r="C112" s="12">
        <v>52</v>
      </c>
      <c r="D112" s="18">
        <f>29.19*1.167</f>
        <v>34.064730000000004</v>
      </c>
      <c r="E112" s="15">
        <f t="shared" si="16"/>
        <v>7.4942406000000013</v>
      </c>
      <c r="F112" s="26">
        <v>61.2</v>
      </c>
      <c r="G112" s="26">
        <v>11.03</v>
      </c>
      <c r="H112" s="22">
        <f t="shared" si="15"/>
        <v>9.8787716999999997</v>
      </c>
      <c r="I112" s="20">
        <f t="shared" si="10"/>
        <v>123.66774230000001</v>
      </c>
      <c r="J112" s="33">
        <f t="shared" si="11"/>
        <v>166.95145210500004</v>
      </c>
    </row>
    <row r="113" spans="1:10" ht="15" customHeight="1">
      <c r="A113" s="9">
        <f t="shared" si="12"/>
        <v>109</v>
      </c>
      <c r="B113" s="16" t="s">
        <v>13</v>
      </c>
      <c r="C113" s="12">
        <v>185</v>
      </c>
      <c r="D113" s="18">
        <f>94.27*1.167</f>
        <v>110.01309000000001</v>
      </c>
      <c r="E113" s="15">
        <f t="shared" si="16"/>
        <v>24.202879800000002</v>
      </c>
      <c r="F113" s="26">
        <v>686.8</v>
      </c>
      <c r="G113" s="26">
        <v>33.090000000000003</v>
      </c>
      <c r="H113" s="22">
        <f t="shared" si="15"/>
        <v>31.903796100000001</v>
      </c>
      <c r="I113" s="20">
        <f t="shared" si="10"/>
        <v>886.00976590000005</v>
      </c>
      <c r="J113" s="33">
        <f t="shared" si="11"/>
        <v>1196.1131839650002</v>
      </c>
    </row>
    <row r="114" spans="1:10" ht="15" customHeight="1">
      <c r="A114" s="9">
        <f t="shared" si="12"/>
        <v>110</v>
      </c>
      <c r="B114" s="16" t="s">
        <v>14</v>
      </c>
      <c r="C114" s="12">
        <v>185</v>
      </c>
      <c r="D114" s="18">
        <f>94.27*1.167</f>
        <v>110.01309000000001</v>
      </c>
      <c r="E114" s="15">
        <f t="shared" si="16"/>
        <v>24.202879800000002</v>
      </c>
      <c r="F114" s="26">
        <v>940.8</v>
      </c>
      <c r="G114" s="26">
        <v>33.090000000000003</v>
      </c>
      <c r="H114" s="22">
        <f t="shared" si="15"/>
        <v>31.903796100000001</v>
      </c>
      <c r="I114" s="20">
        <f t="shared" si="10"/>
        <v>1140.0097658999998</v>
      </c>
      <c r="J114" s="33">
        <f t="shared" si="11"/>
        <v>1539.0131839649998</v>
      </c>
    </row>
    <row r="115" spans="1:10" ht="15" customHeight="1">
      <c r="A115" s="9">
        <f t="shared" si="12"/>
        <v>111</v>
      </c>
      <c r="B115" s="16" t="s">
        <v>15</v>
      </c>
      <c r="C115" s="12">
        <v>185</v>
      </c>
      <c r="D115" s="18">
        <f>94.27*1.167</f>
        <v>110.01309000000001</v>
      </c>
      <c r="E115" s="15">
        <f t="shared" si="16"/>
        <v>24.202879800000002</v>
      </c>
      <c r="F115" s="26">
        <v>1036.92</v>
      </c>
      <c r="G115" s="26">
        <v>33.090000000000003</v>
      </c>
      <c r="H115" s="22">
        <f t="shared" si="15"/>
        <v>31.903796100000001</v>
      </c>
      <c r="I115" s="20">
        <f t="shared" si="10"/>
        <v>1236.1297658999999</v>
      </c>
      <c r="J115" s="33">
        <f t="shared" si="11"/>
        <v>1668.775183965</v>
      </c>
    </row>
    <row r="116" spans="1:10" ht="15" customHeight="1">
      <c r="A116" s="9">
        <f t="shared" si="12"/>
        <v>112</v>
      </c>
      <c r="B116" s="16" t="s">
        <v>16</v>
      </c>
      <c r="C116" s="12">
        <v>185</v>
      </c>
      <c r="D116" s="18">
        <f>94.27*1.167</f>
        <v>110.01309000000001</v>
      </c>
      <c r="E116" s="15">
        <f t="shared" si="16"/>
        <v>24.202879800000002</v>
      </c>
      <c r="F116" s="26">
        <v>1598.8</v>
      </c>
      <c r="G116" s="26">
        <v>33.090000000000003</v>
      </c>
      <c r="H116" s="22">
        <f t="shared" si="15"/>
        <v>31.903796100000001</v>
      </c>
      <c r="I116" s="20">
        <f t="shared" si="10"/>
        <v>1798.0097658999998</v>
      </c>
      <c r="J116" s="33">
        <f t="shared" si="11"/>
        <v>2427.313183965</v>
      </c>
    </row>
    <row r="117" spans="1:10" ht="15" customHeight="1">
      <c r="A117" s="9">
        <f t="shared" si="12"/>
        <v>113</v>
      </c>
      <c r="B117" s="16" t="s">
        <v>17</v>
      </c>
      <c r="C117" s="12">
        <v>44</v>
      </c>
      <c r="D117" s="18">
        <f>25.25*1.167</f>
        <v>29.466750000000001</v>
      </c>
      <c r="E117" s="15">
        <f t="shared" si="16"/>
        <v>6.482685</v>
      </c>
      <c r="F117" s="26">
        <v>61.2</v>
      </c>
      <c r="G117" s="26">
        <v>11.03</v>
      </c>
      <c r="H117" s="22">
        <f t="shared" si="15"/>
        <v>8.5453574999999997</v>
      </c>
      <c r="I117" s="20">
        <f t="shared" si="10"/>
        <v>116.72479250000001</v>
      </c>
      <c r="J117" s="33">
        <f t="shared" si="11"/>
        <v>157.57846987500002</v>
      </c>
    </row>
    <row r="118" spans="1:10" ht="15" customHeight="1">
      <c r="A118" s="9">
        <f t="shared" si="12"/>
        <v>114</v>
      </c>
      <c r="B118" s="16" t="s">
        <v>18</v>
      </c>
      <c r="C118" s="12">
        <v>79</v>
      </c>
      <c r="D118" s="18">
        <f>44.71*1.167</f>
        <v>52.176570000000005</v>
      </c>
      <c r="E118" s="15">
        <f t="shared" si="16"/>
        <v>11.478845400000001</v>
      </c>
      <c r="F118" s="26">
        <v>122.4</v>
      </c>
      <c r="G118" s="26">
        <v>44.12</v>
      </c>
      <c r="H118" s="22">
        <f t="shared" si="15"/>
        <v>15.131205300000001</v>
      </c>
      <c r="I118" s="20">
        <f t="shared" si="10"/>
        <v>245.30662070000002</v>
      </c>
      <c r="J118" s="33">
        <f t="shared" si="11"/>
        <v>331.16393794500004</v>
      </c>
    </row>
    <row r="119" spans="1:10" ht="15" customHeight="1">
      <c r="A119" s="9">
        <f t="shared" si="12"/>
        <v>115</v>
      </c>
      <c r="B119" s="16" t="s">
        <v>19</v>
      </c>
      <c r="C119" s="12">
        <v>79</v>
      </c>
      <c r="D119" s="18">
        <f>44.71*1.167</f>
        <v>52.176570000000005</v>
      </c>
      <c r="E119" s="15">
        <f t="shared" si="16"/>
        <v>11.478845400000001</v>
      </c>
      <c r="F119" s="26">
        <v>122.4</v>
      </c>
      <c r="G119" s="26">
        <v>22.06</v>
      </c>
      <c r="H119" s="22">
        <f t="shared" si="15"/>
        <v>15.131205300000001</v>
      </c>
      <c r="I119" s="20">
        <f t="shared" si="10"/>
        <v>223.24662070000002</v>
      </c>
      <c r="J119" s="33">
        <f t="shared" si="11"/>
        <v>301.38293794500004</v>
      </c>
    </row>
    <row r="120" spans="1:10" ht="15" customHeight="1">
      <c r="A120" s="9">
        <f t="shared" si="12"/>
        <v>116</v>
      </c>
      <c r="B120" s="16" t="s">
        <v>20</v>
      </c>
      <c r="C120" s="12">
        <v>79</v>
      </c>
      <c r="D120" s="18">
        <f>44.71*1.167</f>
        <v>52.176570000000005</v>
      </c>
      <c r="E120" s="15">
        <f t="shared" si="16"/>
        <v>11.478845400000001</v>
      </c>
      <c r="F120" s="26">
        <v>61.2</v>
      </c>
      <c r="G120" s="26">
        <v>22.06</v>
      </c>
      <c r="H120" s="22">
        <f t="shared" si="15"/>
        <v>15.131205300000001</v>
      </c>
      <c r="I120" s="20">
        <f t="shared" si="10"/>
        <v>162.04662070000001</v>
      </c>
      <c r="J120" s="33">
        <f t="shared" si="11"/>
        <v>218.76293794500003</v>
      </c>
    </row>
    <row r="121" spans="1:10" ht="15.75">
      <c r="A121" s="9">
        <f t="shared" si="12"/>
        <v>117</v>
      </c>
      <c r="B121" s="16" t="s">
        <v>21</v>
      </c>
      <c r="C121" s="12">
        <v>79</v>
      </c>
      <c r="D121" s="18">
        <f>44.71*1.167</f>
        <v>52.176570000000005</v>
      </c>
      <c r="E121" s="15">
        <f t="shared" si="16"/>
        <v>11.478845400000001</v>
      </c>
      <c r="F121" s="26">
        <v>16.850000000000001</v>
      </c>
      <c r="G121" s="26">
        <v>22.06</v>
      </c>
      <c r="H121" s="22">
        <f t="shared" si="15"/>
        <v>15.131205300000001</v>
      </c>
      <c r="I121" s="20">
        <f t="shared" si="10"/>
        <v>117.69662070000001</v>
      </c>
      <c r="J121" s="33">
        <f t="shared" si="11"/>
        <v>158.89043794500003</v>
      </c>
    </row>
    <row r="122" spans="1:10" ht="19.899999999999999" customHeight="1">
      <c r="A122" s="9">
        <f t="shared" si="12"/>
        <v>118</v>
      </c>
      <c r="B122" s="16" t="s">
        <v>22</v>
      </c>
      <c r="C122" s="12">
        <v>67</v>
      </c>
      <c r="D122" s="18">
        <f>37.88*1.167</f>
        <v>44.205960000000005</v>
      </c>
      <c r="E122" s="15">
        <f t="shared" si="16"/>
        <v>9.7253112000000019</v>
      </c>
      <c r="F122" s="26">
        <v>76.2</v>
      </c>
      <c r="G122" s="26">
        <v>22.06</v>
      </c>
      <c r="H122" s="22">
        <f t="shared" si="15"/>
        <v>12.819728400000001</v>
      </c>
      <c r="I122" s="20">
        <f t="shared" si="10"/>
        <v>165.01099960000002</v>
      </c>
      <c r="J122" s="33">
        <f t="shared" si="11"/>
        <v>222.76484946000005</v>
      </c>
    </row>
    <row r="123" spans="1:10" ht="28.9" customHeight="1">
      <c r="A123" s="9">
        <f t="shared" si="12"/>
        <v>119</v>
      </c>
      <c r="B123" s="16" t="s">
        <v>23</v>
      </c>
      <c r="C123" s="12">
        <v>103</v>
      </c>
      <c r="D123" s="18">
        <f>58.38*1.167</f>
        <v>68.129460000000009</v>
      </c>
      <c r="E123" s="15">
        <f t="shared" si="16"/>
        <v>14.988481200000003</v>
      </c>
      <c r="F123" s="26">
        <v>56.2</v>
      </c>
      <c r="G123" s="26">
        <v>22.06</v>
      </c>
      <c r="H123" s="22">
        <f t="shared" si="15"/>
        <v>19.757543399999999</v>
      </c>
      <c r="I123" s="20">
        <f t="shared" si="10"/>
        <v>181.13548460000001</v>
      </c>
      <c r="J123" s="33">
        <f t="shared" si="11"/>
        <v>244.53290421000003</v>
      </c>
    </row>
    <row r="124" spans="1:10" ht="15" customHeight="1">
      <c r="A124" s="9">
        <f t="shared" si="12"/>
        <v>120</v>
      </c>
      <c r="B124" s="16" t="s">
        <v>24</v>
      </c>
      <c r="C124" s="12">
        <v>54</v>
      </c>
      <c r="D124" s="18">
        <f>31.04*1.167</f>
        <v>36.223680000000002</v>
      </c>
      <c r="E124" s="15">
        <f t="shared" si="16"/>
        <v>7.9692096000000001</v>
      </c>
      <c r="F124" s="26">
        <v>56.2</v>
      </c>
      <c r="G124" s="26">
        <v>22.06</v>
      </c>
      <c r="H124" s="22">
        <f t="shared" si="15"/>
        <v>10.5048672</v>
      </c>
      <c r="I124" s="20">
        <f t="shared" si="10"/>
        <v>132.9577568</v>
      </c>
      <c r="J124" s="33">
        <f t="shared" si="11"/>
        <v>179.49297168000001</v>
      </c>
    </row>
    <row r="125" spans="1:10" ht="15" customHeight="1">
      <c r="A125" s="9">
        <f t="shared" si="12"/>
        <v>121</v>
      </c>
      <c r="B125" s="16" t="s">
        <v>25</v>
      </c>
      <c r="C125" s="12">
        <v>69</v>
      </c>
      <c r="D125" s="18">
        <f>38.92*1.167</f>
        <v>45.419640000000001</v>
      </c>
      <c r="E125" s="15">
        <f t="shared" si="16"/>
        <v>9.9923207999999999</v>
      </c>
      <c r="F125" s="26">
        <v>112.4</v>
      </c>
      <c r="G125" s="26">
        <v>22.06</v>
      </c>
      <c r="H125" s="22">
        <f t="shared" si="15"/>
        <v>13.1716956</v>
      </c>
      <c r="I125" s="20">
        <f t="shared" si="10"/>
        <v>203.0436564</v>
      </c>
      <c r="J125" s="33">
        <f t="shared" si="11"/>
        <v>274.10893614000003</v>
      </c>
    </row>
    <row r="126" spans="1:10" ht="15" customHeight="1">
      <c r="A126" s="9">
        <f t="shared" si="12"/>
        <v>122</v>
      </c>
      <c r="B126" s="16" t="s">
        <v>26</v>
      </c>
      <c r="C126" s="12">
        <v>39</v>
      </c>
      <c r="D126" s="18">
        <f>22.36*1.167</f>
        <v>26.09412</v>
      </c>
      <c r="E126" s="15">
        <f t="shared" si="16"/>
        <v>5.7407063999999997</v>
      </c>
      <c r="F126" s="26">
        <v>56.2</v>
      </c>
      <c r="G126" s="26">
        <v>22.06</v>
      </c>
      <c r="H126" s="22">
        <f t="shared" si="15"/>
        <v>7.5672947999999991</v>
      </c>
      <c r="I126" s="20">
        <f t="shared" si="10"/>
        <v>117.6621212</v>
      </c>
      <c r="J126" s="33">
        <f t="shared" si="11"/>
        <v>158.84386362000001</v>
      </c>
    </row>
    <row r="127" spans="1:10" ht="15" customHeight="1">
      <c r="A127" s="9">
        <f t="shared" si="12"/>
        <v>123</v>
      </c>
      <c r="B127" s="16" t="s">
        <v>177</v>
      </c>
      <c r="C127" s="12">
        <v>82</v>
      </c>
      <c r="D127" s="18">
        <f>46.56*1.167</f>
        <v>54.335520000000002</v>
      </c>
      <c r="E127" s="15">
        <f t="shared" si="16"/>
        <v>11.953814400000001</v>
      </c>
      <c r="F127" s="26">
        <v>0</v>
      </c>
      <c r="G127" s="27">
        <v>412.8</v>
      </c>
      <c r="H127" s="22">
        <f t="shared" si="15"/>
        <v>15.757300799999999</v>
      </c>
      <c r="I127" s="20">
        <f t="shared" si="10"/>
        <v>494.84663519999998</v>
      </c>
      <c r="J127" s="33">
        <f t="shared" si="11"/>
        <v>668.04295752000007</v>
      </c>
    </row>
    <row r="128" spans="1:10" ht="15.75">
      <c r="A128" s="9">
        <f t="shared" si="12"/>
        <v>124</v>
      </c>
      <c r="B128" s="16" t="s">
        <v>178</v>
      </c>
      <c r="C128" s="12">
        <v>149</v>
      </c>
      <c r="D128" s="18">
        <f>78.68*1.167</f>
        <v>91.81956000000001</v>
      </c>
      <c r="E128" s="15">
        <f t="shared" si="16"/>
        <v>20.200303200000004</v>
      </c>
      <c r="F128" s="26">
        <v>864.12</v>
      </c>
      <c r="G128" s="27">
        <v>412.8</v>
      </c>
      <c r="H128" s="22">
        <f t="shared" si="15"/>
        <v>26.627672400000002</v>
      </c>
      <c r="I128" s="20">
        <f t="shared" si="10"/>
        <v>1415.5675355999999</v>
      </c>
      <c r="J128" s="33">
        <f t="shared" si="11"/>
        <v>1911.01617306</v>
      </c>
    </row>
    <row r="129" spans="1:10" ht="30" customHeight="1">
      <c r="A129" s="9">
        <f t="shared" si="12"/>
        <v>125</v>
      </c>
      <c r="B129" s="16" t="s">
        <v>179</v>
      </c>
      <c r="C129" s="12">
        <v>192</v>
      </c>
      <c r="D129" s="18">
        <f>110.49*1.167</f>
        <v>128.94183000000001</v>
      </c>
      <c r="E129" s="15">
        <f t="shared" si="16"/>
        <v>28.367202600000002</v>
      </c>
      <c r="F129" s="26">
        <v>515</v>
      </c>
      <c r="G129" s="26">
        <v>1920</v>
      </c>
      <c r="H129" s="22">
        <f t="shared" si="15"/>
        <v>37.3931307</v>
      </c>
      <c r="I129" s="20">
        <f t="shared" si="10"/>
        <v>2629.7021632999999</v>
      </c>
      <c r="J129" s="33">
        <f t="shared" si="11"/>
        <v>3550.0979204550003</v>
      </c>
    </row>
    <row r="130" spans="1:10" ht="27.6" customHeight="1">
      <c r="A130" s="9">
        <f t="shared" si="12"/>
        <v>126</v>
      </c>
      <c r="B130" s="16" t="s">
        <v>180</v>
      </c>
      <c r="C130" s="12">
        <v>192</v>
      </c>
      <c r="D130" s="18">
        <f>110.49*1.167</f>
        <v>128.94183000000001</v>
      </c>
      <c r="E130" s="15">
        <f t="shared" si="16"/>
        <v>28.367202600000002</v>
      </c>
      <c r="F130" s="26">
        <v>769</v>
      </c>
      <c r="G130" s="26">
        <v>1920</v>
      </c>
      <c r="H130" s="22">
        <f t="shared" si="15"/>
        <v>37.3931307</v>
      </c>
      <c r="I130" s="20">
        <f t="shared" si="10"/>
        <v>2883.7021632999999</v>
      </c>
      <c r="J130" s="33">
        <f t="shared" si="11"/>
        <v>3892.997920455</v>
      </c>
    </row>
    <row r="131" spans="1:10" ht="27" customHeight="1">
      <c r="A131" s="9">
        <f t="shared" si="12"/>
        <v>127</v>
      </c>
      <c r="B131" s="16" t="s">
        <v>181</v>
      </c>
      <c r="C131" s="12">
        <v>192</v>
      </c>
      <c r="D131" s="18">
        <f>110.49*1.167</f>
        <v>128.94183000000001</v>
      </c>
      <c r="E131" s="15">
        <f t="shared" si="16"/>
        <v>28.367202600000002</v>
      </c>
      <c r="F131" s="26">
        <v>912</v>
      </c>
      <c r="G131" s="26">
        <v>1920</v>
      </c>
      <c r="H131" s="22">
        <f t="shared" si="15"/>
        <v>37.3931307</v>
      </c>
      <c r="I131" s="20">
        <f t="shared" si="10"/>
        <v>3026.7021632999999</v>
      </c>
      <c r="J131" s="33">
        <f t="shared" si="11"/>
        <v>4086.0479204550002</v>
      </c>
    </row>
    <row r="132" spans="1:10" ht="31.5">
      <c r="A132" s="9">
        <f t="shared" si="12"/>
        <v>128</v>
      </c>
      <c r="B132" s="16" t="s">
        <v>182</v>
      </c>
      <c r="C132" s="12">
        <v>192</v>
      </c>
      <c r="D132" s="18">
        <f>110.49*1.167</f>
        <v>128.94183000000001</v>
      </c>
      <c r="E132" s="15">
        <f t="shared" si="16"/>
        <v>28.367202600000002</v>
      </c>
      <c r="F132" s="26">
        <v>1427</v>
      </c>
      <c r="G132" s="26">
        <v>1920</v>
      </c>
      <c r="H132" s="22">
        <f t="shared" si="15"/>
        <v>37.3931307</v>
      </c>
      <c r="I132" s="20">
        <f t="shared" ref="I132:I193" si="17">D132+E132+F132+G132+H132</f>
        <v>3541.7021632999999</v>
      </c>
      <c r="J132" s="33">
        <f t="shared" ref="J132:J193" si="18">I132*1.35</f>
        <v>4781.2979204550002</v>
      </c>
    </row>
    <row r="133" spans="1:10" ht="15" customHeight="1">
      <c r="A133" s="9">
        <f t="shared" si="12"/>
        <v>129</v>
      </c>
      <c r="B133" s="16" t="s">
        <v>27</v>
      </c>
      <c r="C133" s="12">
        <v>97</v>
      </c>
      <c r="D133" s="18">
        <f>55.25*1.167</f>
        <v>64.476749999999996</v>
      </c>
      <c r="E133" s="15">
        <f t="shared" si="16"/>
        <v>14.184885</v>
      </c>
      <c r="F133" s="26">
        <v>0</v>
      </c>
      <c r="G133" s="26">
        <v>566.4</v>
      </c>
      <c r="H133" s="22">
        <f t="shared" si="15"/>
        <v>18.698257499999997</v>
      </c>
      <c r="I133" s="20">
        <f t="shared" si="17"/>
        <v>663.75989249999998</v>
      </c>
      <c r="J133" s="33">
        <f t="shared" si="18"/>
        <v>896.075854875</v>
      </c>
    </row>
    <row r="134" spans="1:10" ht="15" customHeight="1">
      <c r="A134" s="9">
        <f t="shared" si="12"/>
        <v>130</v>
      </c>
      <c r="B134" s="16" t="s">
        <v>183</v>
      </c>
      <c r="C134" s="12">
        <v>253</v>
      </c>
      <c r="D134" s="18">
        <f>135.39*1.167</f>
        <v>158.00012999999998</v>
      </c>
      <c r="E134" s="15">
        <f t="shared" si="16"/>
        <v>34.760028599999998</v>
      </c>
      <c r="F134" s="26">
        <v>515</v>
      </c>
      <c r="G134" s="26">
        <v>729.6</v>
      </c>
      <c r="H134" s="22">
        <f t="shared" si="15"/>
        <v>45.820037699999993</v>
      </c>
      <c r="I134" s="20">
        <f t="shared" si="17"/>
        <v>1483.1801963</v>
      </c>
      <c r="J134" s="33">
        <f t="shared" si="18"/>
        <v>2002.2932650050002</v>
      </c>
    </row>
    <row r="135" spans="1:10" ht="15" customHeight="1">
      <c r="A135" s="9">
        <f t="shared" ref="A135:A198" si="19">A134+1</f>
        <v>131</v>
      </c>
      <c r="B135" s="16" t="s">
        <v>184</v>
      </c>
      <c r="C135" s="12">
        <v>253</v>
      </c>
      <c r="D135" s="18">
        <f>135.39*1.167</f>
        <v>158.00012999999998</v>
      </c>
      <c r="E135" s="15">
        <f t="shared" si="16"/>
        <v>34.760028599999998</v>
      </c>
      <c r="F135" s="26">
        <v>769</v>
      </c>
      <c r="G135" s="26">
        <v>729.6</v>
      </c>
      <c r="H135" s="22">
        <f t="shared" si="15"/>
        <v>45.820037699999993</v>
      </c>
      <c r="I135" s="20">
        <f t="shared" si="17"/>
        <v>1737.1801963</v>
      </c>
      <c r="J135" s="33">
        <f t="shared" si="18"/>
        <v>2345.1932650050003</v>
      </c>
    </row>
    <row r="136" spans="1:10" ht="15" customHeight="1">
      <c r="A136" s="9">
        <f t="shared" si="19"/>
        <v>132</v>
      </c>
      <c r="B136" s="16" t="s">
        <v>185</v>
      </c>
      <c r="C136" s="12">
        <v>253</v>
      </c>
      <c r="D136" s="18">
        <f>135.39*1.167</f>
        <v>158.00012999999998</v>
      </c>
      <c r="E136" s="15">
        <f t="shared" si="16"/>
        <v>34.760028599999998</v>
      </c>
      <c r="F136" s="26">
        <v>912</v>
      </c>
      <c r="G136" s="26">
        <v>729.6</v>
      </c>
      <c r="H136" s="22">
        <f t="shared" si="15"/>
        <v>45.820037699999993</v>
      </c>
      <c r="I136" s="20">
        <f t="shared" si="17"/>
        <v>1880.1801963</v>
      </c>
      <c r="J136" s="33">
        <f t="shared" si="18"/>
        <v>2538.243265005</v>
      </c>
    </row>
    <row r="137" spans="1:10" ht="15" customHeight="1">
      <c r="A137" s="9">
        <f t="shared" si="19"/>
        <v>133</v>
      </c>
      <c r="B137" s="16" t="s">
        <v>186</v>
      </c>
      <c r="C137" s="12">
        <v>253</v>
      </c>
      <c r="D137" s="18">
        <f>135.39*1.167</f>
        <v>158.00012999999998</v>
      </c>
      <c r="E137" s="15">
        <f t="shared" si="16"/>
        <v>34.760028599999998</v>
      </c>
      <c r="F137" s="26">
        <v>1427</v>
      </c>
      <c r="G137" s="26">
        <v>729.6</v>
      </c>
      <c r="H137" s="22">
        <f t="shared" si="15"/>
        <v>45.820037699999993</v>
      </c>
      <c r="I137" s="20">
        <f t="shared" si="17"/>
        <v>2395.1801962999998</v>
      </c>
      <c r="J137" s="33">
        <f t="shared" si="18"/>
        <v>3233.493265005</v>
      </c>
    </row>
    <row r="138" spans="1:10" ht="15" customHeight="1">
      <c r="A138" s="9">
        <f t="shared" si="19"/>
        <v>134</v>
      </c>
      <c r="B138" s="16" t="s">
        <v>28</v>
      </c>
      <c r="C138" s="12">
        <v>37</v>
      </c>
      <c r="D138" s="18">
        <f>20.84*1.167</f>
        <v>24.32028</v>
      </c>
      <c r="E138" s="15">
        <f t="shared" si="16"/>
        <v>5.3504616</v>
      </c>
      <c r="F138" s="26">
        <v>0</v>
      </c>
      <c r="G138" s="26">
        <v>121.48</v>
      </c>
      <c r="H138" s="22">
        <f t="shared" si="15"/>
        <v>7.0528811999999999</v>
      </c>
      <c r="I138" s="20">
        <f t="shared" si="17"/>
        <v>158.20362280000001</v>
      </c>
      <c r="J138" s="33">
        <f t="shared" si="18"/>
        <v>213.57489078000003</v>
      </c>
    </row>
    <row r="139" spans="1:10" ht="15" customHeight="1">
      <c r="A139" s="9">
        <f t="shared" si="19"/>
        <v>135</v>
      </c>
      <c r="B139" s="16" t="s">
        <v>29</v>
      </c>
      <c r="C139" s="12">
        <v>75</v>
      </c>
      <c r="D139" s="18">
        <f>41.84*1.167</f>
        <v>48.827280000000009</v>
      </c>
      <c r="E139" s="15">
        <f t="shared" si="16"/>
        <v>10.742001600000002</v>
      </c>
      <c r="F139" s="26">
        <v>67</v>
      </c>
      <c r="G139" s="26">
        <v>364.44</v>
      </c>
      <c r="H139" s="22">
        <f t="shared" si="15"/>
        <v>14.159911200000002</v>
      </c>
      <c r="I139" s="20">
        <f t="shared" si="17"/>
        <v>505.16919280000002</v>
      </c>
      <c r="J139" s="33">
        <f t="shared" si="18"/>
        <v>681.97841028000005</v>
      </c>
    </row>
    <row r="140" spans="1:10" ht="15" customHeight="1">
      <c r="A140" s="9">
        <f t="shared" si="19"/>
        <v>136</v>
      </c>
      <c r="B140" s="16" t="s">
        <v>30</v>
      </c>
      <c r="C140" s="12">
        <v>67</v>
      </c>
      <c r="D140" s="18">
        <f>41.69*1.167</f>
        <v>48.652229999999996</v>
      </c>
      <c r="E140" s="15">
        <f t="shared" si="16"/>
        <v>10.703490599999999</v>
      </c>
      <c r="F140" s="26">
        <v>224</v>
      </c>
      <c r="G140" s="26">
        <v>364.44</v>
      </c>
      <c r="H140" s="22">
        <f t="shared" ref="H140:H201" si="20">D140*0.29</f>
        <v>14.109146699999998</v>
      </c>
      <c r="I140" s="20">
        <f t="shared" si="17"/>
        <v>661.90486729999998</v>
      </c>
      <c r="J140" s="33">
        <f t="shared" si="18"/>
        <v>893.571570855</v>
      </c>
    </row>
    <row r="141" spans="1:10" ht="15" customHeight="1">
      <c r="A141" s="9">
        <f t="shared" si="19"/>
        <v>137</v>
      </c>
      <c r="B141" s="16" t="s">
        <v>31</v>
      </c>
      <c r="C141" s="12">
        <v>89</v>
      </c>
      <c r="D141" s="18">
        <f>50.5*1.167</f>
        <v>58.933500000000002</v>
      </c>
      <c r="E141" s="15">
        <f t="shared" si="16"/>
        <v>12.96537</v>
      </c>
      <c r="F141" s="26">
        <v>224</v>
      </c>
      <c r="G141" s="26">
        <v>364.44</v>
      </c>
      <c r="H141" s="22">
        <f t="shared" si="20"/>
        <v>17.090714999999999</v>
      </c>
      <c r="I141" s="20">
        <f t="shared" si="17"/>
        <v>677.42958500000009</v>
      </c>
      <c r="J141" s="33">
        <f t="shared" si="18"/>
        <v>914.52993975000015</v>
      </c>
    </row>
    <row r="142" spans="1:10" ht="31.5">
      <c r="A142" s="9">
        <f t="shared" si="19"/>
        <v>138</v>
      </c>
      <c r="B142" s="16" t="s">
        <v>187</v>
      </c>
      <c r="C142" s="12">
        <v>266</v>
      </c>
      <c r="D142" s="18">
        <f>135.39*1.167</f>
        <v>158.00012999999998</v>
      </c>
      <c r="E142" s="15">
        <f t="shared" si="16"/>
        <v>34.760028599999998</v>
      </c>
      <c r="F142" s="26">
        <v>515</v>
      </c>
      <c r="G142" s="26">
        <v>1728</v>
      </c>
      <c r="H142" s="22">
        <f t="shared" si="20"/>
        <v>45.820037699999993</v>
      </c>
      <c r="I142" s="20">
        <f t="shared" si="17"/>
        <v>2481.5801962999999</v>
      </c>
      <c r="J142" s="33">
        <f t="shared" si="18"/>
        <v>3350.1332650049999</v>
      </c>
    </row>
    <row r="143" spans="1:10" ht="31.5">
      <c r="A143" s="9">
        <f t="shared" si="19"/>
        <v>139</v>
      </c>
      <c r="B143" s="16" t="s">
        <v>188</v>
      </c>
      <c r="C143" s="12">
        <v>266</v>
      </c>
      <c r="D143" s="18">
        <f>135.39*1.167</f>
        <v>158.00012999999998</v>
      </c>
      <c r="E143" s="15">
        <f t="shared" si="16"/>
        <v>34.760028599999998</v>
      </c>
      <c r="F143" s="26">
        <v>769</v>
      </c>
      <c r="G143" s="26">
        <v>1728</v>
      </c>
      <c r="H143" s="22">
        <f t="shared" si="20"/>
        <v>45.820037699999993</v>
      </c>
      <c r="I143" s="20">
        <f t="shared" si="17"/>
        <v>2735.5801962999999</v>
      </c>
      <c r="J143" s="33">
        <f t="shared" si="18"/>
        <v>3693.033265005</v>
      </c>
    </row>
    <row r="144" spans="1:10" ht="31.5">
      <c r="A144" s="9">
        <f t="shared" si="19"/>
        <v>140</v>
      </c>
      <c r="B144" s="16" t="s">
        <v>189</v>
      </c>
      <c r="C144" s="12">
        <v>266</v>
      </c>
      <c r="D144" s="18">
        <f>135.39*1.167</f>
        <v>158.00012999999998</v>
      </c>
      <c r="E144" s="15">
        <f t="shared" si="16"/>
        <v>34.760028599999998</v>
      </c>
      <c r="F144" s="26">
        <v>912</v>
      </c>
      <c r="G144" s="26">
        <v>1728</v>
      </c>
      <c r="H144" s="22">
        <f t="shared" si="20"/>
        <v>45.820037699999993</v>
      </c>
      <c r="I144" s="20">
        <f t="shared" si="17"/>
        <v>2878.5801962999999</v>
      </c>
      <c r="J144" s="33">
        <f t="shared" si="18"/>
        <v>3886.0832650050002</v>
      </c>
    </row>
    <row r="145" spans="1:10" ht="31.5">
      <c r="A145" s="9">
        <f t="shared" si="19"/>
        <v>141</v>
      </c>
      <c r="B145" s="16" t="s">
        <v>190</v>
      </c>
      <c r="C145" s="12">
        <v>266</v>
      </c>
      <c r="D145" s="18">
        <f>135.39*1.167</f>
        <v>158.00012999999998</v>
      </c>
      <c r="E145" s="15">
        <f t="shared" si="16"/>
        <v>34.760028599999998</v>
      </c>
      <c r="F145" s="26">
        <v>1427</v>
      </c>
      <c r="G145" s="26">
        <v>1728</v>
      </c>
      <c r="H145" s="22">
        <f t="shared" si="20"/>
        <v>45.820037699999993</v>
      </c>
      <c r="I145" s="20">
        <f t="shared" si="17"/>
        <v>3393.5801962999999</v>
      </c>
      <c r="J145" s="33">
        <f t="shared" si="18"/>
        <v>4581.3332650050006</v>
      </c>
    </row>
    <row r="146" spans="1:10" ht="15.75">
      <c r="A146" s="9">
        <f t="shared" si="19"/>
        <v>142</v>
      </c>
      <c r="B146" s="16" t="s">
        <v>191</v>
      </c>
      <c r="C146" s="12">
        <v>97</v>
      </c>
      <c r="D146" s="18">
        <f>55.25*1.167</f>
        <v>64.476749999999996</v>
      </c>
      <c r="E146" s="15">
        <f t="shared" si="16"/>
        <v>14.184885</v>
      </c>
      <c r="F146" s="26">
        <v>0</v>
      </c>
      <c r="G146" s="26">
        <v>864</v>
      </c>
      <c r="H146" s="22">
        <f t="shared" si="20"/>
        <v>18.698257499999997</v>
      </c>
      <c r="I146" s="20">
        <f t="shared" si="17"/>
        <v>961.35989249999989</v>
      </c>
      <c r="J146" s="33">
        <f t="shared" si="18"/>
        <v>1297.835854875</v>
      </c>
    </row>
    <row r="147" spans="1:10" ht="31.5">
      <c r="A147" s="9">
        <f t="shared" si="19"/>
        <v>143</v>
      </c>
      <c r="B147" s="16" t="s">
        <v>192</v>
      </c>
      <c r="C147" s="12">
        <v>253</v>
      </c>
      <c r="D147" s="18">
        <f>135.39*1.167</f>
        <v>158.00012999999998</v>
      </c>
      <c r="E147" s="15">
        <f t="shared" si="16"/>
        <v>34.760028599999998</v>
      </c>
      <c r="F147" s="26">
        <v>515</v>
      </c>
      <c r="G147" s="26">
        <v>1920</v>
      </c>
      <c r="H147" s="22">
        <f t="shared" si="20"/>
        <v>45.820037699999993</v>
      </c>
      <c r="I147" s="20">
        <f t="shared" si="17"/>
        <v>2673.5801962999999</v>
      </c>
      <c r="J147" s="33">
        <f t="shared" si="18"/>
        <v>3609.3332650050002</v>
      </c>
    </row>
    <row r="148" spans="1:10" ht="31.5">
      <c r="A148" s="9">
        <f t="shared" si="19"/>
        <v>144</v>
      </c>
      <c r="B148" s="16" t="s">
        <v>193</v>
      </c>
      <c r="C148" s="12">
        <v>253</v>
      </c>
      <c r="D148" s="18">
        <f>135.39*1.167</f>
        <v>158.00012999999998</v>
      </c>
      <c r="E148" s="15">
        <f t="shared" si="16"/>
        <v>34.760028599999998</v>
      </c>
      <c r="F148" s="26">
        <v>769</v>
      </c>
      <c r="G148" s="26">
        <v>1920</v>
      </c>
      <c r="H148" s="22">
        <f t="shared" si="20"/>
        <v>45.820037699999993</v>
      </c>
      <c r="I148" s="20">
        <f t="shared" si="17"/>
        <v>2927.5801962999999</v>
      </c>
      <c r="J148" s="33">
        <f t="shared" si="18"/>
        <v>3952.2332650050002</v>
      </c>
    </row>
    <row r="149" spans="1:10" ht="31.5">
      <c r="A149" s="9">
        <f t="shared" si="19"/>
        <v>145</v>
      </c>
      <c r="B149" s="16" t="s">
        <v>205</v>
      </c>
      <c r="C149" s="12">
        <v>253</v>
      </c>
      <c r="D149" s="18">
        <f>1.167*135.39</f>
        <v>158.00012999999998</v>
      </c>
      <c r="E149" s="15">
        <f t="shared" si="16"/>
        <v>34.760028599999998</v>
      </c>
      <c r="F149" s="26">
        <v>912</v>
      </c>
      <c r="G149" s="26">
        <v>1920</v>
      </c>
      <c r="H149" s="22">
        <f t="shared" si="20"/>
        <v>45.820037699999993</v>
      </c>
      <c r="I149" s="20">
        <f t="shared" si="17"/>
        <v>3070.5801962999999</v>
      </c>
      <c r="J149" s="33">
        <f t="shared" si="18"/>
        <v>4145.2832650050004</v>
      </c>
    </row>
    <row r="150" spans="1:10" ht="31.5">
      <c r="A150" s="9">
        <f t="shared" si="19"/>
        <v>146</v>
      </c>
      <c r="B150" s="16" t="s">
        <v>194</v>
      </c>
      <c r="C150" s="12">
        <v>253</v>
      </c>
      <c r="D150" s="18">
        <f>1.167*135.39</f>
        <v>158.00012999999998</v>
      </c>
      <c r="E150" s="15">
        <f t="shared" si="16"/>
        <v>34.760028599999998</v>
      </c>
      <c r="F150" s="26">
        <v>1427</v>
      </c>
      <c r="G150" s="26">
        <v>1920</v>
      </c>
      <c r="H150" s="22">
        <f t="shared" si="20"/>
        <v>45.820037699999993</v>
      </c>
      <c r="I150" s="20">
        <f t="shared" si="17"/>
        <v>3585.5801962999999</v>
      </c>
      <c r="J150" s="33">
        <f t="shared" si="18"/>
        <v>4840.5332650050004</v>
      </c>
    </row>
    <row r="151" spans="1:10" ht="15" customHeight="1">
      <c r="A151" s="9">
        <f t="shared" si="19"/>
        <v>147</v>
      </c>
      <c r="B151" s="28" t="s">
        <v>195</v>
      </c>
      <c r="C151" s="12">
        <v>97</v>
      </c>
      <c r="D151" s="18">
        <f>1.167*55.25</f>
        <v>64.476749999999996</v>
      </c>
      <c r="E151" s="15">
        <f t="shared" si="16"/>
        <v>14.184885</v>
      </c>
      <c r="F151" s="26">
        <v>0</v>
      </c>
      <c r="G151" s="26">
        <v>864</v>
      </c>
      <c r="H151" s="22">
        <f t="shared" si="20"/>
        <v>18.698257499999997</v>
      </c>
      <c r="I151" s="20">
        <f t="shared" si="17"/>
        <v>961.35989249999989</v>
      </c>
      <c r="J151" s="33">
        <f t="shared" si="18"/>
        <v>1297.835854875</v>
      </c>
    </row>
    <row r="152" spans="1:10" ht="15" customHeight="1">
      <c r="A152" s="9">
        <f t="shared" si="19"/>
        <v>148</v>
      </c>
      <c r="B152" s="29" t="s">
        <v>206</v>
      </c>
      <c r="C152" s="12">
        <v>97</v>
      </c>
      <c r="D152" s="18">
        <f>1.167*55.25</f>
        <v>64.476749999999996</v>
      </c>
      <c r="E152" s="15">
        <f t="shared" si="16"/>
        <v>14.184885</v>
      </c>
      <c r="F152" s="26">
        <v>0</v>
      </c>
      <c r="G152" s="26">
        <v>480</v>
      </c>
      <c r="H152" s="22">
        <f t="shared" si="20"/>
        <v>18.698257499999997</v>
      </c>
      <c r="I152" s="20">
        <f t="shared" si="17"/>
        <v>577.35989249999989</v>
      </c>
      <c r="J152" s="33">
        <f t="shared" si="18"/>
        <v>779.4358548749999</v>
      </c>
    </row>
    <row r="153" spans="1:10" ht="15" customHeight="1">
      <c r="A153" s="9">
        <f t="shared" si="19"/>
        <v>149</v>
      </c>
      <c r="B153" s="29" t="s">
        <v>207</v>
      </c>
      <c r="C153" s="12">
        <v>97</v>
      </c>
      <c r="D153" s="18">
        <f>1.167*55.25</f>
        <v>64.476749999999996</v>
      </c>
      <c r="E153" s="15">
        <f t="shared" si="16"/>
        <v>14.184885</v>
      </c>
      <c r="F153" s="26">
        <v>0</v>
      </c>
      <c r="G153" s="26">
        <v>480</v>
      </c>
      <c r="H153" s="22">
        <f t="shared" si="20"/>
        <v>18.698257499999997</v>
      </c>
      <c r="I153" s="20">
        <f t="shared" si="17"/>
        <v>577.35989249999989</v>
      </c>
      <c r="J153" s="33">
        <f t="shared" si="18"/>
        <v>779.4358548749999</v>
      </c>
    </row>
    <row r="154" spans="1:10" ht="15" customHeight="1">
      <c r="A154" s="9">
        <f t="shared" si="19"/>
        <v>150</v>
      </c>
      <c r="B154" s="28" t="s">
        <v>210</v>
      </c>
      <c r="C154" s="12">
        <v>84</v>
      </c>
      <c r="D154" s="18">
        <f>1.167*48.41</f>
        <v>56.49447</v>
      </c>
      <c r="E154" s="15">
        <f t="shared" si="16"/>
        <v>12.4287834</v>
      </c>
      <c r="F154" s="26">
        <v>0</v>
      </c>
      <c r="G154" s="26">
        <v>384</v>
      </c>
      <c r="H154" s="22">
        <f t="shared" si="20"/>
        <v>16.383396299999998</v>
      </c>
      <c r="I154" s="20">
        <f t="shared" si="17"/>
        <v>469.30664970000004</v>
      </c>
      <c r="J154" s="33">
        <f t="shared" si="18"/>
        <v>633.56397709500004</v>
      </c>
    </row>
    <row r="155" spans="1:10" ht="15" customHeight="1">
      <c r="A155" s="9">
        <f t="shared" si="19"/>
        <v>151</v>
      </c>
      <c r="B155" s="29" t="s">
        <v>208</v>
      </c>
      <c r="C155" s="12">
        <v>97</v>
      </c>
      <c r="D155" s="18">
        <f t="shared" ref="D155:D160" si="21">1.167*55.25</f>
        <v>64.476749999999996</v>
      </c>
      <c r="E155" s="15">
        <f t="shared" si="16"/>
        <v>14.184885</v>
      </c>
      <c r="F155" s="26">
        <v>0</v>
      </c>
      <c r="G155" s="26">
        <v>672</v>
      </c>
      <c r="H155" s="22">
        <f t="shared" si="20"/>
        <v>18.698257499999997</v>
      </c>
      <c r="I155" s="20">
        <f t="shared" si="17"/>
        <v>769.35989249999989</v>
      </c>
      <c r="J155" s="33">
        <f t="shared" si="18"/>
        <v>1038.6358548749999</v>
      </c>
    </row>
    <row r="156" spans="1:10" ht="15" customHeight="1">
      <c r="A156" s="9">
        <f t="shared" si="19"/>
        <v>152</v>
      </c>
      <c r="B156" s="29" t="s">
        <v>196</v>
      </c>
      <c r="C156" s="12">
        <v>97</v>
      </c>
      <c r="D156" s="18">
        <f t="shared" si="21"/>
        <v>64.476749999999996</v>
      </c>
      <c r="E156" s="15">
        <f t="shared" si="16"/>
        <v>14.184885</v>
      </c>
      <c r="F156" s="26">
        <v>0</v>
      </c>
      <c r="G156" s="26">
        <v>480</v>
      </c>
      <c r="H156" s="22">
        <f t="shared" si="20"/>
        <v>18.698257499999997</v>
      </c>
      <c r="I156" s="20">
        <f t="shared" si="17"/>
        <v>577.35989249999989</v>
      </c>
      <c r="J156" s="33">
        <f t="shared" si="18"/>
        <v>779.4358548749999</v>
      </c>
    </row>
    <row r="157" spans="1:10" ht="15" customHeight="1">
      <c r="A157" s="9">
        <f t="shared" si="19"/>
        <v>153</v>
      </c>
      <c r="B157" s="29" t="s">
        <v>197</v>
      </c>
      <c r="C157" s="12">
        <v>97</v>
      </c>
      <c r="D157" s="18">
        <f t="shared" si="21"/>
        <v>64.476749999999996</v>
      </c>
      <c r="E157" s="15">
        <f t="shared" si="16"/>
        <v>14.184885</v>
      </c>
      <c r="F157" s="26">
        <v>0</v>
      </c>
      <c r="G157" s="26">
        <v>288</v>
      </c>
      <c r="H157" s="22">
        <f t="shared" si="20"/>
        <v>18.698257499999997</v>
      </c>
      <c r="I157" s="20">
        <f t="shared" si="17"/>
        <v>385.3598925</v>
      </c>
      <c r="J157" s="33">
        <f t="shared" si="18"/>
        <v>520.23585487500009</v>
      </c>
    </row>
    <row r="158" spans="1:10" ht="15" customHeight="1">
      <c r="A158" s="9">
        <f t="shared" si="19"/>
        <v>154</v>
      </c>
      <c r="B158" s="28" t="s">
        <v>198</v>
      </c>
      <c r="C158" s="12">
        <v>97</v>
      </c>
      <c r="D158" s="18">
        <f t="shared" si="21"/>
        <v>64.476749999999996</v>
      </c>
      <c r="E158" s="15">
        <f t="shared" si="16"/>
        <v>14.184885</v>
      </c>
      <c r="F158" s="26">
        <v>0</v>
      </c>
      <c r="G158" s="26">
        <v>432</v>
      </c>
      <c r="H158" s="22">
        <f t="shared" si="20"/>
        <v>18.698257499999997</v>
      </c>
      <c r="I158" s="20">
        <f t="shared" si="17"/>
        <v>529.3598925</v>
      </c>
      <c r="J158" s="33">
        <f t="shared" si="18"/>
        <v>714.63585487500006</v>
      </c>
    </row>
    <row r="159" spans="1:10" ht="15" customHeight="1">
      <c r="A159" s="9">
        <f t="shared" si="19"/>
        <v>155</v>
      </c>
      <c r="B159" s="28" t="s">
        <v>199</v>
      </c>
      <c r="C159" s="12">
        <v>97</v>
      </c>
      <c r="D159" s="18">
        <f t="shared" si="21"/>
        <v>64.476749999999996</v>
      </c>
      <c r="E159" s="15">
        <f t="shared" si="16"/>
        <v>14.184885</v>
      </c>
      <c r="F159" s="26">
        <v>0</v>
      </c>
      <c r="G159" s="26">
        <v>432</v>
      </c>
      <c r="H159" s="22">
        <f t="shared" si="20"/>
        <v>18.698257499999997</v>
      </c>
      <c r="I159" s="20">
        <f t="shared" si="17"/>
        <v>529.3598925</v>
      </c>
      <c r="J159" s="33">
        <f t="shared" si="18"/>
        <v>714.63585487500006</v>
      </c>
    </row>
    <row r="160" spans="1:10" ht="15" customHeight="1">
      <c r="A160" s="9">
        <f t="shared" si="19"/>
        <v>156</v>
      </c>
      <c r="B160" s="29" t="s">
        <v>200</v>
      </c>
      <c r="C160" s="12">
        <v>97</v>
      </c>
      <c r="D160" s="18">
        <f t="shared" si="21"/>
        <v>64.476749999999996</v>
      </c>
      <c r="E160" s="15">
        <f t="shared" si="16"/>
        <v>14.184885</v>
      </c>
      <c r="F160" s="26">
        <v>55</v>
      </c>
      <c r="G160" s="26">
        <v>336</v>
      </c>
      <c r="H160" s="22">
        <f t="shared" si="20"/>
        <v>18.698257499999997</v>
      </c>
      <c r="I160" s="20">
        <f t="shared" si="17"/>
        <v>488.3598925</v>
      </c>
      <c r="J160" s="33">
        <f t="shared" si="18"/>
        <v>659.28585487500004</v>
      </c>
    </row>
    <row r="161" spans="1:10" ht="15" customHeight="1">
      <c r="A161" s="9">
        <f t="shared" si="19"/>
        <v>157</v>
      </c>
      <c r="B161" s="28" t="s">
        <v>201</v>
      </c>
      <c r="C161" s="12">
        <v>253</v>
      </c>
      <c r="D161" s="18">
        <f>1.167*135.39</f>
        <v>158.00012999999998</v>
      </c>
      <c r="E161" s="15">
        <f t="shared" si="16"/>
        <v>34.760028599999998</v>
      </c>
      <c r="F161" s="26">
        <v>570</v>
      </c>
      <c r="G161" s="26">
        <v>864</v>
      </c>
      <c r="H161" s="22">
        <f t="shared" si="20"/>
        <v>45.820037699999993</v>
      </c>
      <c r="I161" s="20">
        <f t="shared" si="17"/>
        <v>1672.5801963000001</v>
      </c>
      <c r="J161" s="33">
        <f t="shared" si="18"/>
        <v>2257.9832650050002</v>
      </c>
    </row>
    <row r="162" spans="1:10" ht="15" customHeight="1">
      <c r="A162" s="9">
        <f t="shared" si="19"/>
        <v>158</v>
      </c>
      <c r="B162" s="28" t="s">
        <v>209</v>
      </c>
      <c r="C162" s="12">
        <v>253</v>
      </c>
      <c r="D162" s="18">
        <f>1.167*135.39</f>
        <v>158.00012999999998</v>
      </c>
      <c r="E162" s="15">
        <f t="shared" si="16"/>
        <v>34.760028599999998</v>
      </c>
      <c r="F162" s="26">
        <v>824</v>
      </c>
      <c r="G162" s="26">
        <v>864</v>
      </c>
      <c r="H162" s="22">
        <f t="shared" si="20"/>
        <v>45.820037699999993</v>
      </c>
      <c r="I162" s="20">
        <f t="shared" si="17"/>
        <v>1926.5801963000001</v>
      </c>
      <c r="J162" s="33">
        <f t="shared" si="18"/>
        <v>2600.8832650050003</v>
      </c>
    </row>
    <row r="163" spans="1:10" ht="15" customHeight="1">
      <c r="A163" s="9">
        <f t="shared" si="19"/>
        <v>159</v>
      </c>
      <c r="B163" s="28" t="s">
        <v>202</v>
      </c>
      <c r="C163" s="12">
        <v>253</v>
      </c>
      <c r="D163" s="18">
        <f>1.167*135.39</f>
        <v>158.00012999999998</v>
      </c>
      <c r="E163" s="15">
        <f t="shared" si="16"/>
        <v>34.760028599999998</v>
      </c>
      <c r="F163" s="26">
        <v>967</v>
      </c>
      <c r="G163" s="26">
        <v>864</v>
      </c>
      <c r="H163" s="22">
        <f t="shared" si="20"/>
        <v>45.820037699999993</v>
      </c>
      <c r="I163" s="20">
        <f t="shared" si="17"/>
        <v>2069.5801962999999</v>
      </c>
      <c r="J163" s="33">
        <f t="shared" si="18"/>
        <v>2793.9332650050001</v>
      </c>
    </row>
    <row r="164" spans="1:10" ht="15" customHeight="1">
      <c r="A164" s="9">
        <f t="shared" si="19"/>
        <v>160</v>
      </c>
      <c r="B164" s="28" t="s">
        <v>203</v>
      </c>
      <c r="C164" s="12">
        <v>253</v>
      </c>
      <c r="D164" s="18">
        <f>1.167*135.39</f>
        <v>158.00012999999998</v>
      </c>
      <c r="E164" s="15">
        <f t="shared" si="16"/>
        <v>34.760028599999998</v>
      </c>
      <c r="F164" s="26">
        <v>1482</v>
      </c>
      <c r="G164" s="26">
        <v>864</v>
      </c>
      <c r="H164" s="22">
        <f t="shared" si="20"/>
        <v>45.820037699999993</v>
      </c>
      <c r="I164" s="20">
        <f t="shared" si="17"/>
        <v>2584.5801962999999</v>
      </c>
      <c r="J164" s="33">
        <f t="shared" si="18"/>
        <v>3489.1832650050001</v>
      </c>
    </row>
    <row r="165" spans="1:10" ht="15" customHeight="1">
      <c r="A165" s="9">
        <f t="shared" si="19"/>
        <v>161</v>
      </c>
      <c r="B165" s="28" t="s">
        <v>32</v>
      </c>
      <c r="C165" s="12">
        <v>45</v>
      </c>
      <c r="D165" s="18">
        <f>1.167*49.73</f>
        <v>58.034909999999996</v>
      </c>
      <c r="E165" s="15">
        <f t="shared" si="16"/>
        <v>12.767680199999999</v>
      </c>
      <c r="F165" s="26">
        <v>206.5</v>
      </c>
      <c r="G165" s="26">
        <v>242.96</v>
      </c>
      <c r="H165" s="22">
        <f t="shared" si="20"/>
        <v>16.830123899999997</v>
      </c>
      <c r="I165" s="20">
        <f t="shared" si="17"/>
        <v>537.09271409999997</v>
      </c>
      <c r="J165" s="33">
        <f t="shared" si="18"/>
        <v>725.07516403500006</v>
      </c>
    </row>
    <row r="166" spans="1:10" ht="15" customHeight="1">
      <c r="A166" s="9">
        <f>A165+1</f>
        <v>162</v>
      </c>
      <c r="B166" s="16" t="s">
        <v>33</v>
      </c>
      <c r="C166" s="12">
        <v>50</v>
      </c>
      <c r="D166" s="18">
        <f>1.167*24.15</f>
        <v>28.183049999999998</v>
      </c>
      <c r="E166" s="15">
        <f>D166*0.22</f>
        <v>6.2002709999999999</v>
      </c>
      <c r="F166" s="30">
        <v>33.85</v>
      </c>
      <c r="G166" s="18">
        <f>D166*0.586</f>
        <v>16.515267299999998</v>
      </c>
      <c r="H166" s="22">
        <f t="shared" si="20"/>
        <v>8.1730844999999981</v>
      </c>
      <c r="I166" s="20">
        <f t="shared" si="17"/>
        <v>92.921672799999996</v>
      </c>
      <c r="J166" s="33">
        <f t="shared" si="18"/>
        <v>125.44425828</v>
      </c>
    </row>
    <row r="167" spans="1:10" ht="15" customHeight="1">
      <c r="A167" s="9">
        <f t="shared" si="19"/>
        <v>163</v>
      </c>
      <c r="B167" s="16" t="s">
        <v>34</v>
      </c>
      <c r="C167" s="12">
        <v>25</v>
      </c>
      <c r="D167" s="18">
        <f>1.167*12.08</f>
        <v>14.09736</v>
      </c>
      <c r="E167" s="15">
        <f t="shared" ref="E167:E189" si="22">D167*0.22</f>
        <v>3.1014192</v>
      </c>
      <c r="F167" s="30">
        <v>30.51</v>
      </c>
      <c r="G167" s="18">
        <f t="shared" ref="G167:G189" si="23">D167*0.586</f>
        <v>8.2610529599999989</v>
      </c>
      <c r="H167" s="22">
        <f t="shared" si="20"/>
        <v>4.0882344000000002</v>
      </c>
      <c r="I167" s="20">
        <f t="shared" si="17"/>
        <v>60.05806656</v>
      </c>
      <c r="J167" s="33">
        <f t="shared" si="18"/>
        <v>81.078389856000001</v>
      </c>
    </row>
    <row r="168" spans="1:10" ht="15" customHeight="1">
      <c r="A168" s="9">
        <f t="shared" si="19"/>
        <v>164</v>
      </c>
      <c r="B168" s="16" t="s">
        <v>35</v>
      </c>
      <c r="C168" s="12">
        <v>25</v>
      </c>
      <c r="D168" s="18">
        <f>1.167*12.08</f>
        <v>14.09736</v>
      </c>
      <c r="E168" s="15">
        <f t="shared" si="22"/>
        <v>3.1014192</v>
      </c>
      <c r="F168" s="30">
        <v>29.66</v>
      </c>
      <c r="G168" s="18">
        <f t="shared" si="23"/>
        <v>8.2610529599999989</v>
      </c>
      <c r="H168" s="22">
        <f t="shared" si="20"/>
        <v>4.0882344000000002</v>
      </c>
      <c r="I168" s="20">
        <f t="shared" si="17"/>
        <v>59.208066559999999</v>
      </c>
      <c r="J168" s="33">
        <f t="shared" si="18"/>
        <v>79.930889856000007</v>
      </c>
    </row>
    <row r="169" spans="1:10" ht="15" customHeight="1">
      <c r="A169" s="9">
        <f t="shared" si="19"/>
        <v>165</v>
      </c>
      <c r="B169" s="16" t="s">
        <v>36</v>
      </c>
      <c r="C169" s="12">
        <v>75</v>
      </c>
      <c r="D169" s="18">
        <f>1.167*36.23</f>
        <v>42.280409999999996</v>
      </c>
      <c r="E169" s="15">
        <f t="shared" si="22"/>
        <v>9.3016901999999995</v>
      </c>
      <c r="F169" s="30">
        <v>31.87</v>
      </c>
      <c r="G169" s="18">
        <f t="shared" si="23"/>
        <v>24.776320259999995</v>
      </c>
      <c r="H169" s="22">
        <f t="shared" si="20"/>
        <v>12.261318899999997</v>
      </c>
      <c r="I169" s="20">
        <f t="shared" si="17"/>
        <v>120.48973935999999</v>
      </c>
      <c r="J169" s="33">
        <f t="shared" si="18"/>
        <v>162.66114813599998</v>
      </c>
    </row>
    <row r="170" spans="1:10" ht="15" customHeight="1">
      <c r="A170" s="9">
        <f t="shared" si="19"/>
        <v>166</v>
      </c>
      <c r="B170" s="16" t="s">
        <v>37</v>
      </c>
      <c r="C170" s="12">
        <v>25</v>
      </c>
      <c r="D170" s="18">
        <f>1.167*12.08</f>
        <v>14.09736</v>
      </c>
      <c r="E170" s="15">
        <f t="shared" si="22"/>
        <v>3.1014192</v>
      </c>
      <c r="F170" s="30">
        <v>26.91</v>
      </c>
      <c r="G170" s="18">
        <f t="shared" si="23"/>
        <v>8.2610529599999989</v>
      </c>
      <c r="H170" s="22">
        <f t="shared" si="20"/>
        <v>4.0882344000000002</v>
      </c>
      <c r="I170" s="20">
        <f t="shared" si="17"/>
        <v>56.458066559999999</v>
      </c>
      <c r="J170" s="33">
        <f t="shared" si="18"/>
        <v>76.218389856000002</v>
      </c>
    </row>
    <row r="171" spans="1:10" ht="15" customHeight="1">
      <c r="A171" s="9">
        <f t="shared" si="19"/>
        <v>167</v>
      </c>
      <c r="B171" s="16" t="s">
        <v>38</v>
      </c>
      <c r="C171" s="12">
        <v>15</v>
      </c>
      <c r="D171" s="18">
        <f>1.167*6.56</f>
        <v>7.6555200000000001</v>
      </c>
      <c r="E171" s="15">
        <f t="shared" si="22"/>
        <v>1.6842144000000001</v>
      </c>
      <c r="F171" s="30">
        <v>26.91</v>
      </c>
      <c r="G171" s="18">
        <f t="shared" si="23"/>
        <v>4.4861347199999999</v>
      </c>
      <c r="H171" s="22">
        <f t="shared" si="20"/>
        <v>2.2201008</v>
      </c>
      <c r="I171" s="20">
        <f t="shared" si="17"/>
        <v>42.955969920000001</v>
      </c>
      <c r="J171" s="33">
        <f t="shared" si="18"/>
        <v>57.990559392000009</v>
      </c>
    </row>
    <row r="172" spans="1:10" ht="15" customHeight="1">
      <c r="A172" s="9">
        <f t="shared" si="19"/>
        <v>168</v>
      </c>
      <c r="B172" s="16" t="s">
        <v>39</v>
      </c>
      <c r="C172" s="12">
        <v>33</v>
      </c>
      <c r="D172" s="18">
        <f>1.167*15.7</f>
        <v>18.321899999999999</v>
      </c>
      <c r="E172" s="15">
        <f t="shared" si="22"/>
        <v>4.030818</v>
      </c>
      <c r="F172" s="30">
        <v>28.31</v>
      </c>
      <c r="G172" s="18">
        <f t="shared" si="23"/>
        <v>10.736633399999999</v>
      </c>
      <c r="H172" s="22">
        <f t="shared" si="20"/>
        <v>5.313350999999999</v>
      </c>
      <c r="I172" s="20">
        <f t="shared" si="17"/>
        <v>66.712702399999998</v>
      </c>
      <c r="J172" s="33">
        <f t="shared" si="18"/>
        <v>90.062148239999999</v>
      </c>
    </row>
    <row r="173" spans="1:10" ht="15" customHeight="1">
      <c r="A173" s="9">
        <f t="shared" si="19"/>
        <v>169</v>
      </c>
      <c r="B173" s="16" t="s">
        <v>40</v>
      </c>
      <c r="C173" s="12">
        <v>30</v>
      </c>
      <c r="D173" s="18">
        <f>1.167*14.49</f>
        <v>16.909829999999999</v>
      </c>
      <c r="E173" s="15">
        <f t="shared" si="22"/>
        <v>3.7201626000000001</v>
      </c>
      <c r="F173" s="30">
        <v>30.26</v>
      </c>
      <c r="G173" s="18">
        <f t="shared" si="23"/>
        <v>9.9091603799999994</v>
      </c>
      <c r="H173" s="22">
        <f t="shared" si="20"/>
        <v>4.9038506999999996</v>
      </c>
      <c r="I173" s="20">
        <f t="shared" si="17"/>
        <v>65.703003679999995</v>
      </c>
      <c r="J173" s="33">
        <f t="shared" si="18"/>
        <v>88.699054967999999</v>
      </c>
    </row>
    <row r="174" spans="1:10" ht="15" customHeight="1">
      <c r="A174" s="9">
        <f t="shared" si="19"/>
        <v>170</v>
      </c>
      <c r="B174" s="16" t="s">
        <v>41</v>
      </c>
      <c r="C174" s="12">
        <v>50</v>
      </c>
      <c r="D174" s="18">
        <f>1.167*24.15</f>
        <v>28.183049999999998</v>
      </c>
      <c r="E174" s="15">
        <f t="shared" si="22"/>
        <v>6.2002709999999999</v>
      </c>
      <c r="F174" s="30">
        <v>31.62</v>
      </c>
      <c r="G174" s="18">
        <f t="shared" si="23"/>
        <v>16.515267299999998</v>
      </c>
      <c r="H174" s="22">
        <f t="shared" si="20"/>
        <v>8.1730844999999981</v>
      </c>
      <c r="I174" s="20">
        <f t="shared" si="17"/>
        <v>90.691672800000006</v>
      </c>
      <c r="J174" s="33">
        <f t="shared" si="18"/>
        <v>122.43375828000002</v>
      </c>
    </row>
    <row r="175" spans="1:10" ht="15" customHeight="1">
      <c r="A175" s="9">
        <f t="shared" si="19"/>
        <v>171</v>
      </c>
      <c r="B175" s="16" t="s">
        <v>42</v>
      </c>
      <c r="C175" s="12">
        <v>38</v>
      </c>
      <c r="D175" s="18">
        <f>1.167*18.12</f>
        <v>21.146040000000003</v>
      </c>
      <c r="E175" s="15">
        <f t="shared" si="22"/>
        <v>4.6521288000000007</v>
      </c>
      <c r="F175" s="30">
        <v>30.26</v>
      </c>
      <c r="G175" s="18">
        <f t="shared" si="23"/>
        <v>12.391579440000001</v>
      </c>
      <c r="H175" s="22">
        <f t="shared" si="20"/>
        <v>6.1323516000000007</v>
      </c>
      <c r="I175" s="20">
        <f t="shared" si="17"/>
        <v>74.582099840000012</v>
      </c>
      <c r="J175" s="33">
        <f t="shared" si="18"/>
        <v>100.68583478400002</v>
      </c>
    </row>
    <row r="176" spans="1:10" ht="15" customHeight="1">
      <c r="A176" s="9">
        <f t="shared" si="19"/>
        <v>172</v>
      </c>
      <c r="B176" s="16" t="s">
        <v>43</v>
      </c>
      <c r="C176" s="12">
        <v>45</v>
      </c>
      <c r="D176" s="18">
        <f>1.167*21.74</f>
        <v>25.37058</v>
      </c>
      <c r="E176" s="15">
        <f t="shared" si="22"/>
        <v>5.5815276000000003</v>
      </c>
      <c r="F176" s="30">
        <v>31.74</v>
      </c>
      <c r="G176" s="18">
        <f t="shared" si="23"/>
        <v>14.867159879999999</v>
      </c>
      <c r="H176" s="22">
        <f t="shared" si="20"/>
        <v>7.3574681999999996</v>
      </c>
      <c r="I176" s="20">
        <f t="shared" si="17"/>
        <v>84.916735680000002</v>
      </c>
      <c r="J176" s="33">
        <f t="shared" si="18"/>
        <v>114.63759316800001</v>
      </c>
    </row>
    <row r="177" spans="1:10" ht="15" customHeight="1">
      <c r="A177" s="9">
        <f t="shared" si="19"/>
        <v>173</v>
      </c>
      <c r="B177" s="16" t="s">
        <v>44</v>
      </c>
      <c r="C177" s="12">
        <v>25</v>
      </c>
      <c r="D177" s="18">
        <f>1.167*12.08</f>
        <v>14.09736</v>
      </c>
      <c r="E177" s="15">
        <f t="shared" si="22"/>
        <v>3.1014192</v>
      </c>
      <c r="F177" s="30">
        <v>29.91</v>
      </c>
      <c r="G177" s="18">
        <f t="shared" si="23"/>
        <v>8.2610529599999989</v>
      </c>
      <c r="H177" s="22">
        <f t="shared" si="20"/>
        <v>4.0882344000000002</v>
      </c>
      <c r="I177" s="20">
        <f t="shared" si="17"/>
        <v>59.458066559999999</v>
      </c>
      <c r="J177" s="33">
        <f t="shared" si="18"/>
        <v>80.268389855999999</v>
      </c>
    </row>
    <row r="178" spans="1:10" ht="15" customHeight="1">
      <c r="A178" s="9">
        <f t="shared" si="19"/>
        <v>174</v>
      </c>
      <c r="B178" s="16" t="s">
        <v>45</v>
      </c>
      <c r="C178" s="12">
        <v>38</v>
      </c>
      <c r="D178" s="18">
        <f>1.167*18.12</f>
        <v>21.146040000000003</v>
      </c>
      <c r="E178" s="15">
        <f t="shared" si="22"/>
        <v>4.6521288000000007</v>
      </c>
      <c r="F178" s="30">
        <v>30.51</v>
      </c>
      <c r="G178" s="18">
        <f t="shared" si="23"/>
        <v>12.391579440000001</v>
      </c>
      <c r="H178" s="22">
        <f t="shared" si="20"/>
        <v>6.1323516000000007</v>
      </c>
      <c r="I178" s="20">
        <f t="shared" si="17"/>
        <v>74.832099840000012</v>
      </c>
      <c r="J178" s="33">
        <f t="shared" si="18"/>
        <v>101.02333478400003</v>
      </c>
    </row>
    <row r="179" spans="1:10" ht="15" customHeight="1">
      <c r="A179" s="9">
        <f t="shared" si="19"/>
        <v>175</v>
      </c>
      <c r="B179" s="16" t="s">
        <v>204</v>
      </c>
      <c r="C179" s="12">
        <v>25</v>
      </c>
      <c r="D179" s="18">
        <f>1.167*12.08</f>
        <v>14.09736</v>
      </c>
      <c r="E179" s="15">
        <f t="shared" si="22"/>
        <v>3.1014192</v>
      </c>
      <c r="F179" s="30">
        <v>30.26</v>
      </c>
      <c r="G179" s="18">
        <f t="shared" si="23"/>
        <v>8.2610529599999989</v>
      </c>
      <c r="H179" s="22">
        <f t="shared" si="20"/>
        <v>4.0882344000000002</v>
      </c>
      <c r="I179" s="20">
        <f t="shared" si="17"/>
        <v>59.80806656</v>
      </c>
      <c r="J179" s="33">
        <f t="shared" si="18"/>
        <v>80.74088985600001</v>
      </c>
    </row>
    <row r="180" spans="1:10" ht="15" customHeight="1">
      <c r="A180" s="9">
        <f t="shared" si="19"/>
        <v>176</v>
      </c>
      <c r="B180" s="16" t="s">
        <v>46</v>
      </c>
      <c r="C180" s="12">
        <v>25</v>
      </c>
      <c r="D180" s="18">
        <f>1.167*12.08</f>
        <v>14.09736</v>
      </c>
      <c r="E180" s="15">
        <f t="shared" si="22"/>
        <v>3.1014192</v>
      </c>
      <c r="F180" s="30">
        <v>30.51</v>
      </c>
      <c r="G180" s="18">
        <f t="shared" si="23"/>
        <v>8.2610529599999989</v>
      </c>
      <c r="H180" s="22">
        <f t="shared" si="20"/>
        <v>4.0882344000000002</v>
      </c>
      <c r="I180" s="20">
        <f t="shared" si="17"/>
        <v>60.05806656</v>
      </c>
      <c r="J180" s="33">
        <f t="shared" si="18"/>
        <v>81.078389856000001</v>
      </c>
    </row>
    <row r="181" spans="1:10" ht="15" customHeight="1">
      <c r="A181" s="9">
        <f t="shared" si="19"/>
        <v>177</v>
      </c>
      <c r="B181" s="16" t="s">
        <v>47</v>
      </c>
      <c r="C181" s="12">
        <v>25</v>
      </c>
      <c r="D181" s="18">
        <f>1.167*12.08</f>
        <v>14.09736</v>
      </c>
      <c r="E181" s="15">
        <f t="shared" si="22"/>
        <v>3.1014192</v>
      </c>
      <c r="F181" s="30">
        <v>29.66</v>
      </c>
      <c r="G181" s="18">
        <f t="shared" si="23"/>
        <v>8.2610529599999989</v>
      </c>
      <c r="H181" s="22">
        <f t="shared" si="20"/>
        <v>4.0882344000000002</v>
      </c>
      <c r="I181" s="20">
        <f t="shared" si="17"/>
        <v>59.208066559999999</v>
      </c>
      <c r="J181" s="33">
        <f t="shared" si="18"/>
        <v>79.930889856000007</v>
      </c>
    </row>
    <row r="182" spans="1:10" ht="15" customHeight="1">
      <c r="A182" s="9">
        <f t="shared" si="19"/>
        <v>178</v>
      </c>
      <c r="B182" s="16" t="s">
        <v>48</v>
      </c>
      <c r="C182" s="12">
        <v>25</v>
      </c>
      <c r="D182" s="18">
        <f>1.167*12.08</f>
        <v>14.09736</v>
      </c>
      <c r="E182" s="15">
        <f t="shared" si="22"/>
        <v>3.1014192</v>
      </c>
      <c r="F182" s="30">
        <v>29.66</v>
      </c>
      <c r="G182" s="18">
        <f t="shared" si="23"/>
        <v>8.2610529599999989</v>
      </c>
      <c r="H182" s="22">
        <f t="shared" si="20"/>
        <v>4.0882344000000002</v>
      </c>
      <c r="I182" s="20">
        <f t="shared" si="17"/>
        <v>59.208066559999999</v>
      </c>
      <c r="J182" s="33">
        <f t="shared" si="18"/>
        <v>79.930889856000007</v>
      </c>
    </row>
    <row r="183" spans="1:10" ht="15" customHeight="1">
      <c r="A183" s="9">
        <f t="shared" si="19"/>
        <v>179</v>
      </c>
      <c r="B183" s="16" t="s">
        <v>49</v>
      </c>
      <c r="C183" s="12">
        <v>62</v>
      </c>
      <c r="D183" s="18">
        <f>1.167*30.19</f>
        <v>35.231730000000006</v>
      </c>
      <c r="E183" s="15">
        <f t="shared" si="22"/>
        <v>7.750980600000001</v>
      </c>
      <c r="F183" s="30">
        <v>31.11</v>
      </c>
      <c r="G183" s="18">
        <f t="shared" si="23"/>
        <v>20.645793780000002</v>
      </c>
      <c r="H183" s="22">
        <f t="shared" si="20"/>
        <v>10.2172017</v>
      </c>
      <c r="I183" s="20">
        <f t="shared" si="17"/>
        <v>104.95570608000001</v>
      </c>
      <c r="J183" s="33">
        <f t="shared" si="18"/>
        <v>141.69020320800001</v>
      </c>
    </row>
    <row r="184" spans="1:10" ht="31.9" customHeight="1">
      <c r="A184" s="9">
        <f t="shared" si="19"/>
        <v>180</v>
      </c>
      <c r="B184" s="16" t="s">
        <v>50</v>
      </c>
      <c r="C184" s="12">
        <v>113</v>
      </c>
      <c r="D184" s="18">
        <f>1.167*54.35</f>
        <v>63.426450000000003</v>
      </c>
      <c r="E184" s="15">
        <f t="shared" si="22"/>
        <v>13.953819000000001</v>
      </c>
      <c r="F184" s="30">
        <v>31.11</v>
      </c>
      <c r="G184" s="18">
        <f t="shared" si="23"/>
        <v>37.1678997</v>
      </c>
      <c r="H184" s="22">
        <f t="shared" si="20"/>
        <v>18.393670499999999</v>
      </c>
      <c r="I184" s="20">
        <f t="shared" si="17"/>
        <v>164.05183920000002</v>
      </c>
      <c r="J184" s="33">
        <f t="shared" si="18"/>
        <v>221.46998292000004</v>
      </c>
    </row>
    <row r="185" spans="1:10" ht="16.149999999999999" customHeight="1">
      <c r="A185" s="9">
        <f t="shared" si="19"/>
        <v>181</v>
      </c>
      <c r="B185" s="16" t="s">
        <v>51</v>
      </c>
      <c r="C185" s="12">
        <v>63</v>
      </c>
      <c r="D185" s="18">
        <f>1.167*30.19</f>
        <v>35.231730000000006</v>
      </c>
      <c r="E185" s="15">
        <f t="shared" si="22"/>
        <v>7.750980600000001</v>
      </c>
      <c r="F185" s="30">
        <v>31.11</v>
      </c>
      <c r="G185" s="18">
        <f t="shared" si="23"/>
        <v>20.645793780000002</v>
      </c>
      <c r="H185" s="22">
        <f t="shared" si="20"/>
        <v>10.2172017</v>
      </c>
      <c r="I185" s="20">
        <f t="shared" si="17"/>
        <v>104.95570608000001</v>
      </c>
      <c r="J185" s="33">
        <f t="shared" si="18"/>
        <v>141.69020320800001</v>
      </c>
    </row>
    <row r="186" spans="1:10" ht="15" customHeight="1">
      <c r="A186" s="9">
        <f t="shared" si="19"/>
        <v>182</v>
      </c>
      <c r="B186" s="16" t="s">
        <v>52</v>
      </c>
      <c r="C186" s="12">
        <v>50</v>
      </c>
      <c r="D186" s="18">
        <f>1.167*24.15</f>
        <v>28.183049999999998</v>
      </c>
      <c r="E186" s="15">
        <f t="shared" si="22"/>
        <v>6.2002709999999999</v>
      </c>
      <c r="F186" s="30">
        <v>31.11</v>
      </c>
      <c r="G186" s="18">
        <f t="shared" si="23"/>
        <v>16.515267299999998</v>
      </c>
      <c r="H186" s="22">
        <f t="shared" si="20"/>
        <v>8.1730844999999981</v>
      </c>
      <c r="I186" s="20">
        <f t="shared" si="17"/>
        <v>90.181672799999987</v>
      </c>
      <c r="J186" s="33">
        <f t="shared" si="18"/>
        <v>121.74525827999999</v>
      </c>
    </row>
    <row r="187" spans="1:10" ht="15" customHeight="1">
      <c r="A187" s="9">
        <f t="shared" si="19"/>
        <v>183</v>
      </c>
      <c r="B187" s="16" t="s">
        <v>53</v>
      </c>
      <c r="C187" s="12">
        <v>63</v>
      </c>
      <c r="D187" s="18">
        <f>1.167*30.19</f>
        <v>35.231730000000006</v>
      </c>
      <c r="E187" s="15">
        <f t="shared" si="22"/>
        <v>7.750980600000001</v>
      </c>
      <c r="F187" s="30">
        <v>39.44</v>
      </c>
      <c r="G187" s="18">
        <f t="shared" si="23"/>
        <v>20.645793780000002</v>
      </c>
      <c r="H187" s="22">
        <f t="shared" si="20"/>
        <v>10.2172017</v>
      </c>
      <c r="I187" s="20">
        <f t="shared" si="17"/>
        <v>113.28570608000001</v>
      </c>
      <c r="J187" s="33">
        <f t="shared" si="18"/>
        <v>152.93570320800004</v>
      </c>
    </row>
    <row r="188" spans="1:10" ht="15" customHeight="1">
      <c r="A188" s="9">
        <f t="shared" si="19"/>
        <v>184</v>
      </c>
      <c r="B188" s="16" t="s">
        <v>54</v>
      </c>
      <c r="C188" s="12">
        <v>113</v>
      </c>
      <c r="D188" s="18">
        <f>1.167*54.35</f>
        <v>63.426450000000003</v>
      </c>
      <c r="E188" s="15">
        <f t="shared" si="22"/>
        <v>13.953819000000001</v>
      </c>
      <c r="F188" s="30">
        <v>99.28</v>
      </c>
      <c r="G188" s="18">
        <f t="shared" si="23"/>
        <v>37.1678997</v>
      </c>
      <c r="H188" s="22">
        <f t="shared" si="20"/>
        <v>18.393670499999999</v>
      </c>
      <c r="I188" s="20">
        <f t="shared" si="17"/>
        <v>232.22183919999998</v>
      </c>
      <c r="J188" s="33">
        <f t="shared" si="18"/>
        <v>313.49948291999999</v>
      </c>
    </row>
    <row r="189" spans="1:10" ht="15" customHeight="1">
      <c r="A189" s="9">
        <f t="shared" si="19"/>
        <v>185</v>
      </c>
      <c r="B189" s="16" t="s">
        <v>55</v>
      </c>
      <c r="C189" s="12">
        <v>133</v>
      </c>
      <c r="D189" s="18">
        <f>1.167*54.35</f>
        <v>63.426450000000003</v>
      </c>
      <c r="E189" s="15">
        <f t="shared" si="22"/>
        <v>13.953819000000001</v>
      </c>
      <c r="F189" s="30">
        <v>88.14</v>
      </c>
      <c r="G189" s="18">
        <f t="shared" si="23"/>
        <v>37.1678997</v>
      </c>
      <c r="H189" s="22">
        <f t="shared" si="20"/>
        <v>18.393670499999999</v>
      </c>
      <c r="I189" s="20">
        <f t="shared" si="17"/>
        <v>221.08183919999999</v>
      </c>
      <c r="J189" s="33">
        <f t="shared" si="18"/>
        <v>298.46048292</v>
      </c>
    </row>
    <row r="190" spans="1:10" ht="15" customHeight="1">
      <c r="A190" s="9">
        <f>A189+1</f>
        <v>186</v>
      </c>
      <c r="B190" s="16" t="s">
        <v>56</v>
      </c>
      <c r="C190" s="12">
        <v>13</v>
      </c>
      <c r="D190" s="18">
        <f>1.167*5.65</f>
        <v>6.5935500000000005</v>
      </c>
      <c r="E190" s="15">
        <f>D190*0.22</f>
        <v>1.4505810000000001</v>
      </c>
      <c r="F190" s="18">
        <v>10.45</v>
      </c>
      <c r="G190" s="22">
        <f>0.2262*D190</f>
        <v>1.4914610100000001</v>
      </c>
      <c r="H190" s="22">
        <f t="shared" si="20"/>
        <v>1.9121295</v>
      </c>
      <c r="I190" s="20">
        <f t="shared" si="17"/>
        <v>21.897721509999997</v>
      </c>
      <c r="J190" s="33">
        <f t="shared" si="18"/>
        <v>29.561924038499999</v>
      </c>
    </row>
    <row r="191" spans="1:10" ht="15" customHeight="1">
      <c r="A191" s="9">
        <f t="shared" si="19"/>
        <v>187</v>
      </c>
      <c r="B191" s="16" t="s">
        <v>57</v>
      </c>
      <c r="C191" s="12">
        <v>13</v>
      </c>
      <c r="D191" s="18">
        <f>1.167*5.65</f>
        <v>6.5935500000000005</v>
      </c>
      <c r="E191" s="15">
        <f t="shared" ref="E191:E224" si="24">D191*0.22</f>
        <v>1.4505810000000001</v>
      </c>
      <c r="F191" s="18">
        <v>5.35</v>
      </c>
      <c r="G191" s="22">
        <f t="shared" ref="G191:G224" si="25">0.2262*D191</f>
        <v>1.4914610100000001</v>
      </c>
      <c r="H191" s="22">
        <f t="shared" si="20"/>
        <v>1.9121295</v>
      </c>
      <c r="I191" s="20">
        <f t="shared" si="17"/>
        <v>16.797721509999999</v>
      </c>
      <c r="J191" s="33">
        <f t="shared" si="18"/>
        <v>22.676924038500001</v>
      </c>
    </row>
    <row r="192" spans="1:10" ht="15" customHeight="1">
      <c r="A192" s="9">
        <f t="shared" si="19"/>
        <v>188</v>
      </c>
      <c r="B192" s="16" t="s">
        <v>58</v>
      </c>
      <c r="C192" s="12">
        <v>3</v>
      </c>
      <c r="D192" s="18">
        <f>1.167*1.12</f>
        <v>1.3070400000000002</v>
      </c>
      <c r="E192" s="15">
        <f t="shared" si="24"/>
        <v>0.28754880000000005</v>
      </c>
      <c r="F192" s="18">
        <v>9.44</v>
      </c>
      <c r="G192" s="22">
        <f t="shared" si="25"/>
        <v>0.29565244800000007</v>
      </c>
      <c r="H192" s="22">
        <f t="shared" si="20"/>
        <v>0.37904160000000003</v>
      </c>
      <c r="I192" s="20">
        <f t="shared" si="17"/>
        <v>11.709282848000001</v>
      </c>
      <c r="J192" s="33">
        <f t="shared" si="18"/>
        <v>15.807531844800002</v>
      </c>
    </row>
    <row r="193" spans="1:10" ht="15" customHeight="1">
      <c r="A193" s="9">
        <f t="shared" si="19"/>
        <v>189</v>
      </c>
      <c r="B193" s="16" t="s">
        <v>59</v>
      </c>
      <c r="C193" s="12">
        <v>20</v>
      </c>
      <c r="D193" s="18">
        <f>1.167*8.51</f>
        <v>9.9311699999999998</v>
      </c>
      <c r="E193" s="15">
        <f t="shared" si="24"/>
        <v>2.1848573999999998</v>
      </c>
      <c r="F193" s="18">
        <v>2.2400000000000002</v>
      </c>
      <c r="G193" s="22">
        <f t="shared" si="25"/>
        <v>2.2464306540000001</v>
      </c>
      <c r="H193" s="22">
        <f t="shared" si="20"/>
        <v>2.8800393</v>
      </c>
      <c r="I193" s="20">
        <f t="shared" si="17"/>
        <v>19.482497353999999</v>
      </c>
      <c r="J193" s="33">
        <f t="shared" si="18"/>
        <v>26.301371427900001</v>
      </c>
    </row>
    <row r="194" spans="1:10" ht="15" customHeight="1">
      <c r="A194" s="9">
        <f t="shared" si="19"/>
        <v>190</v>
      </c>
      <c r="B194" s="16" t="s">
        <v>60</v>
      </c>
      <c r="C194" s="12">
        <v>26</v>
      </c>
      <c r="D194" s="18">
        <f>1.167*11.31</f>
        <v>13.198770000000001</v>
      </c>
      <c r="E194" s="15">
        <f t="shared" si="24"/>
        <v>2.9037294000000005</v>
      </c>
      <c r="F194" s="18">
        <v>4.3600000000000003</v>
      </c>
      <c r="G194" s="22">
        <f t="shared" si="25"/>
        <v>2.9855617740000007</v>
      </c>
      <c r="H194" s="22">
        <f t="shared" si="20"/>
        <v>3.8276433000000001</v>
      </c>
      <c r="I194" s="20">
        <f t="shared" ref="I194:I231" si="26">D194+E194+F194+G194+H194</f>
        <v>27.275704474000001</v>
      </c>
      <c r="J194" s="33">
        <f t="shared" ref="J194:J231" si="27">I194*1.35</f>
        <v>36.822201039900001</v>
      </c>
    </row>
    <row r="195" spans="1:10" ht="15" customHeight="1">
      <c r="A195" s="9">
        <f t="shared" si="19"/>
        <v>191</v>
      </c>
      <c r="B195" s="16" t="s">
        <v>61</v>
      </c>
      <c r="C195" s="12">
        <v>26</v>
      </c>
      <c r="D195" s="18">
        <f>1.167*11.31</f>
        <v>13.198770000000001</v>
      </c>
      <c r="E195" s="15">
        <f t="shared" si="24"/>
        <v>2.9037294000000005</v>
      </c>
      <c r="F195" s="18">
        <v>4.3600000000000003</v>
      </c>
      <c r="G195" s="22">
        <f t="shared" si="25"/>
        <v>2.9855617740000007</v>
      </c>
      <c r="H195" s="22">
        <f t="shared" si="20"/>
        <v>3.8276433000000001</v>
      </c>
      <c r="I195" s="20">
        <f t="shared" si="26"/>
        <v>27.275704474000001</v>
      </c>
      <c r="J195" s="33">
        <f t="shared" si="27"/>
        <v>36.822201039900001</v>
      </c>
    </row>
    <row r="196" spans="1:10" ht="15" customHeight="1">
      <c r="A196" s="9">
        <f t="shared" si="19"/>
        <v>192</v>
      </c>
      <c r="B196" s="16" t="s">
        <v>62</v>
      </c>
      <c r="C196" s="12">
        <v>13</v>
      </c>
      <c r="D196" s="18">
        <f>1.167*5.65</f>
        <v>6.5935500000000005</v>
      </c>
      <c r="E196" s="15">
        <f t="shared" si="24"/>
        <v>1.4505810000000001</v>
      </c>
      <c r="F196" s="18">
        <v>2.2400000000000002</v>
      </c>
      <c r="G196" s="22">
        <f t="shared" si="25"/>
        <v>1.4914610100000001</v>
      </c>
      <c r="H196" s="22">
        <f t="shared" si="20"/>
        <v>1.9121295</v>
      </c>
      <c r="I196" s="20">
        <f t="shared" si="26"/>
        <v>13.687721510000001</v>
      </c>
      <c r="J196" s="33">
        <f t="shared" si="27"/>
        <v>18.478424038500002</v>
      </c>
    </row>
    <row r="197" spans="1:10" ht="15" customHeight="1">
      <c r="A197" s="9">
        <f t="shared" si="19"/>
        <v>193</v>
      </c>
      <c r="B197" s="16" t="s">
        <v>63</v>
      </c>
      <c r="C197" s="12">
        <v>20</v>
      </c>
      <c r="D197" s="18">
        <f>1.167*8.51</f>
        <v>9.9311699999999998</v>
      </c>
      <c r="E197" s="15">
        <f t="shared" si="24"/>
        <v>2.1848573999999998</v>
      </c>
      <c r="F197" s="18">
        <v>2.2400000000000002</v>
      </c>
      <c r="G197" s="22">
        <f t="shared" si="25"/>
        <v>2.2464306540000001</v>
      </c>
      <c r="H197" s="22">
        <f t="shared" si="20"/>
        <v>2.8800393</v>
      </c>
      <c r="I197" s="20">
        <f t="shared" si="26"/>
        <v>19.482497353999999</v>
      </c>
      <c r="J197" s="33">
        <f t="shared" si="27"/>
        <v>26.301371427900001</v>
      </c>
    </row>
    <row r="198" spans="1:10" ht="15" customHeight="1">
      <c r="A198" s="9">
        <f t="shared" si="19"/>
        <v>194</v>
      </c>
      <c r="B198" s="16" t="s">
        <v>64</v>
      </c>
      <c r="C198" s="12">
        <v>40</v>
      </c>
      <c r="D198" s="18">
        <f>1.167*16.97</f>
        <v>19.803989999999999</v>
      </c>
      <c r="E198" s="15">
        <f t="shared" si="24"/>
        <v>4.3568777999999995</v>
      </c>
      <c r="F198" s="18">
        <v>9.0500000000000007</v>
      </c>
      <c r="G198" s="22">
        <f t="shared" si="25"/>
        <v>4.4796625380000004</v>
      </c>
      <c r="H198" s="22">
        <f t="shared" si="20"/>
        <v>5.7431570999999995</v>
      </c>
      <c r="I198" s="20">
        <f t="shared" si="26"/>
        <v>43.433687438</v>
      </c>
      <c r="J198" s="33">
        <f t="shared" si="27"/>
        <v>58.635478041300004</v>
      </c>
    </row>
    <row r="199" spans="1:10" ht="15" customHeight="1">
      <c r="A199" s="9">
        <f t="shared" ref="A199:A231" si="28">A198+1</f>
        <v>195</v>
      </c>
      <c r="B199" s="16" t="s">
        <v>65</v>
      </c>
      <c r="C199" s="12">
        <v>4</v>
      </c>
      <c r="D199" s="18">
        <f>1.167*1.68</f>
        <v>1.9605600000000001</v>
      </c>
      <c r="E199" s="15">
        <f t="shared" si="24"/>
        <v>0.43132320000000002</v>
      </c>
      <c r="F199" s="18">
        <v>11.17</v>
      </c>
      <c r="G199" s="22">
        <f t="shared" si="25"/>
        <v>0.44347867200000002</v>
      </c>
      <c r="H199" s="22">
        <f t="shared" si="20"/>
        <v>0.56856240000000002</v>
      </c>
      <c r="I199" s="20">
        <f t="shared" si="26"/>
        <v>14.573924271999999</v>
      </c>
      <c r="J199" s="33">
        <f t="shared" si="27"/>
        <v>19.674797767200001</v>
      </c>
    </row>
    <row r="200" spans="1:10" ht="15" customHeight="1">
      <c r="A200" s="9">
        <f t="shared" si="28"/>
        <v>196</v>
      </c>
      <c r="B200" s="16" t="s">
        <v>66</v>
      </c>
      <c r="C200" s="12">
        <v>13</v>
      </c>
      <c r="D200" s="18">
        <f>1.167*5.65</f>
        <v>6.5935500000000005</v>
      </c>
      <c r="E200" s="15">
        <f t="shared" si="24"/>
        <v>1.4505810000000001</v>
      </c>
      <c r="F200" s="18">
        <v>5.03</v>
      </c>
      <c r="G200" s="22">
        <f t="shared" si="25"/>
        <v>1.4914610100000001</v>
      </c>
      <c r="H200" s="22">
        <f t="shared" si="20"/>
        <v>1.9121295</v>
      </c>
      <c r="I200" s="20">
        <f t="shared" si="26"/>
        <v>16.477721510000002</v>
      </c>
      <c r="J200" s="33">
        <f t="shared" si="27"/>
        <v>22.244924038500006</v>
      </c>
    </row>
    <row r="201" spans="1:10" ht="15" customHeight="1">
      <c r="A201" s="9">
        <f t="shared" si="28"/>
        <v>197</v>
      </c>
      <c r="B201" s="16" t="s">
        <v>67</v>
      </c>
      <c r="C201" s="12">
        <v>26</v>
      </c>
      <c r="D201" s="18">
        <f>1.167*11.31</f>
        <v>13.198770000000001</v>
      </c>
      <c r="E201" s="15">
        <f t="shared" si="24"/>
        <v>2.9037294000000005</v>
      </c>
      <c r="F201" s="18">
        <v>5.03</v>
      </c>
      <c r="G201" s="22">
        <f t="shared" si="25"/>
        <v>2.9855617740000007</v>
      </c>
      <c r="H201" s="22">
        <f t="shared" si="20"/>
        <v>3.8276433000000001</v>
      </c>
      <c r="I201" s="20">
        <f t="shared" si="26"/>
        <v>27.945704474000003</v>
      </c>
      <c r="J201" s="33">
        <f t="shared" si="27"/>
        <v>37.726701039900007</v>
      </c>
    </row>
    <row r="202" spans="1:10" ht="15" customHeight="1">
      <c r="A202" s="9">
        <f t="shared" si="28"/>
        <v>198</v>
      </c>
      <c r="B202" s="16" t="s">
        <v>68</v>
      </c>
      <c r="C202" s="12">
        <v>26</v>
      </c>
      <c r="D202" s="18">
        <f>1.167*11.31</f>
        <v>13.198770000000001</v>
      </c>
      <c r="E202" s="15">
        <f t="shared" si="24"/>
        <v>2.9037294000000005</v>
      </c>
      <c r="F202" s="18">
        <v>4.3600000000000003</v>
      </c>
      <c r="G202" s="22">
        <f t="shared" si="25"/>
        <v>2.9855617740000007</v>
      </c>
      <c r="H202" s="22">
        <f t="shared" ref="H202:H231" si="29">D202*0.29</f>
        <v>3.8276433000000001</v>
      </c>
      <c r="I202" s="20">
        <f t="shared" si="26"/>
        <v>27.275704474000001</v>
      </c>
      <c r="J202" s="33">
        <f t="shared" si="27"/>
        <v>36.822201039900001</v>
      </c>
    </row>
    <row r="203" spans="1:10" ht="15" customHeight="1">
      <c r="A203" s="9">
        <f t="shared" si="28"/>
        <v>199</v>
      </c>
      <c r="B203" s="16" t="s">
        <v>69</v>
      </c>
      <c r="C203" s="12">
        <v>20</v>
      </c>
      <c r="D203" s="18">
        <f>1.167*8.51</f>
        <v>9.9311699999999998</v>
      </c>
      <c r="E203" s="15">
        <f t="shared" si="24"/>
        <v>2.1848573999999998</v>
      </c>
      <c r="F203" s="18">
        <v>9.4499999999999993</v>
      </c>
      <c r="G203" s="22">
        <f t="shared" si="25"/>
        <v>2.2464306540000001</v>
      </c>
      <c r="H203" s="22">
        <f t="shared" si="29"/>
        <v>2.8800393</v>
      </c>
      <c r="I203" s="20">
        <f t="shared" si="26"/>
        <v>26.692497354</v>
      </c>
      <c r="J203" s="33">
        <f t="shared" si="27"/>
        <v>36.034871427900001</v>
      </c>
    </row>
    <row r="204" spans="1:10" ht="15" customHeight="1">
      <c r="A204" s="9">
        <f t="shared" si="28"/>
        <v>200</v>
      </c>
      <c r="B204" s="16" t="s">
        <v>70</v>
      </c>
      <c r="C204" s="12">
        <v>26</v>
      </c>
      <c r="D204" s="18">
        <f>1.167*11.31</f>
        <v>13.198770000000001</v>
      </c>
      <c r="E204" s="15">
        <f t="shared" si="24"/>
        <v>2.9037294000000005</v>
      </c>
      <c r="F204" s="18">
        <v>9.4499999999999993</v>
      </c>
      <c r="G204" s="22">
        <f t="shared" si="25"/>
        <v>2.9855617740000007</v>
      </c>
      <c r="H204" s="22">
        <f t="shared" si="29"/>
        <v>3.8276433000000001</v>
      </c>
      <c r="I204" s="20">
        <f t="shared" si="26"/>
        <v>32.365704474000005</v>
      </c>
      <c r="J204" s="33">
        <f t="shared" si="27"/>
        <v>43.693701039900006</v>
      </c>
    </row>
    <row r="205" spans="1:10" ht="15" customHeight="1">
      <c r="A205" s="9">
        <f t="shared" si="28"/>
        <v>201</v>
      </c>
      <c r="B205" s="16" t="s">
        <v>71</v>
      </c>
      <c r="C205" s="12">
        <v>40</v>
      </c>
      <c r="D205" s="18">
        <f>1.167*16.97</f>
        <v>19.803989999999999</v>
      </c>
      <c r="E205" s="15">
        <f t="shared" si="24"/>
        <v>4.3568777999999995</v>
      </c>
      <c r="F205" s="18">
        <v>9.4499999999999993</v>
      </c>
      <c r="G205" s="22">
        <f t="shared" si="25"/>
        <v>4.4796625380000004</v>
      </c>
      <c r="H205" s="22">
        <f t="shared" si="29"/>
        <v>5.7431570999999995</v>
      </c>
      <c r="I205" s="20">
        <f t="shared" si="26"/>
        <v>43.833687437999991</v>
      </c>
      <c r="J205" s="33">
        <f t="shared" si="27"/>
        <v>59.175478041299989</v>
      </c>
    </row>
    <row r="206" spans="1:10" ht="15" customHeight="1">
      <c r="A206" s="9">
        <f t="shared" si="28"/>
        <v>202</v>
      </c>
      <c r="B206" s="16" t="s">
        <v>72</v>
      </c>
      <c r="C206" s="12">
        <v>26</v>
      </c>
      <c r="D206" s="18">
        <f>1.167*11.31</f>
        <v>13.198770000000001</v>
      </c>
      <c r="E206" s="15">
        <f t="shared" si="24"/>
        <v>2.9037294000000005</v>
      </c>
      <c r="F206" s="18">
        <v>9.4499999999999993</v>
      </c>
      <c r="G206" s="22">
        <f t="shared" si="25"/>
        <v>2.9855617740000007</v>
      </c>
      <c r="H206" s="22">
        <f t="shared" si="29"/>
        <v>3.8276433000000001</v>
      </c>
      <c r="I206" s="20">
        <f t="shared" si="26"/>
        <v>32.365704474000005</v>
      </c>
      <c r="J206" s="33">
        <f t="shared" si="27"/>
        <v>43.693701039900006</v>
      </c>
    </row>
    <row r="207" spans="1:10" ht="15" customHeight="1">
      <c r="A207" s="9">
        <f t="shared" si="28"/>
        <v>203</v>
      </c>
      <c r="B207" s="16" t="s">
        <v>73</v>
      </c>
      <c r="C207" s="12">
        <v>11</v>
      </c>
      <c r="D207" s="18">
        <f>1.167*4.54</f>
        <v>5.2981800000000003</v>
      </c>
      <c r="E207" s="15">
        <f t="shared" si="24"/>
        <v>1.1655996000000002</v>
      </c>
      <c r="F207" s="18">
        <v>3.06</v>
      </c>
      <c r="G207" s="22">
        <f t="shared" si="25"/>
        <v>1.1984483160000001</v>
      </c>
      <c r="H207" s="22">
        <f t="shared" si="29"/>
        <v>1.5364722</v>
      </c>
      <c r="I207" s="20">
        <f t="shared" si="26"/>
        <v>12.258700116000002</v>
      </c>
      <c r="J207" s="33">
        <f t="shared" si="27"/>
        <v>16.549245156600005</v>
      </c>
    </row>
    <row r="208" spans="1:10" ht="15" customHeight="1">
      <c r="A208" s="9">
        <f t="shared" si="28"/>
        <v>204</v>
      </c>
      <c r="B208" s="16" t="s">
        <v>74</v>
      </c>
      <c r="C208" s="12">
        <v>20</v>
      </c>
      <c r="D208" s="18">
        <f>1.167*8.51</f>
        <v>9.9311699999999998</v>
      </c>
      <c r="E208" s="15">
        <f t="shared" si="24"/>
        <v>2.1848573999999998</v>
      </c>
      <c r="F208" s="18">
        <v>3.06</v>
      </c>
      <c r="G208" s="22">
        <f t="shared" si="25"/>
        <v>2.2464306540000001</v>
      </c>
      <c r="H208" s="22">
        <f t="shared" si="29"/>
        <v>2.8800393</v>
      </c>
      <c r="I208" s="20">
        <f t="shared" si="26"/>
        <v>20.302497354</v>
      </c>
      <c r="J208" s="33">
        <f t="shared" si="27"/>
        <v>27.408371427900001</v>
      </c>
    </row>
    <row r="209" spans="1:10" ht="15" customHeight="1">
      <c r="A209" s="9">
        <f t="shared" si="28"/>
        <v>205</v>
      </c>
      <c r="B209" s="16" t="s">
        <v>75</v>
      </c>
      <c r="C209" s="12">
        <v>11</v>
      </c>
      <c r="D209" s="18">
        <f>1.167*4.54</f>
        <v>5.2981800000000003</v>
      </c>
      <c r="E209" s="15">
        <f t="shared" si="24"/>
        <v>1.1655996000000002</v>
      </c>
      <c r="F209" s="18">
        <v>2.4500000000000002</v>
      </c>
      <c r="G209" s="22">
        <f t="shared" si="25"/>
        <v>1.1984483160000001</v>
      </c>
      <c r="H209" s="22">
        <f t="shared" si="29"/>
        <v>1.5364722</v>
      </c>
      <c r="I209" s="20">
        <f t="shared" si="26"/>
        <v>11.648700116000002</v>
      </c>
      <c r="J209" s="33">
        <f t="shared" si="27"/>
        <v>15.725745156600004</v>
      </c>
    </row>
    <row r="210" spans="1:10" ht="15" customHeight="1">
      <c r="A210" s="9">
        <f t="shared" si="28"/>
        <v>206</v>
      </c>
      <c r="B210" s="16" t="s">
        <v>76</v>
      </c>
      <c r="C210" s="12">
        <v>20</v>
      </c>
      <c r="D210" s="18">
        <f>1.167*8.51</f>
        <v>9.9311699999999998</v>
      </c>
      <c r="E210" s="15">
        <f t="shared" si="24"/>
        <v>2.1848573999999998</v>
      </c>
      <c r="F210" s="18">
        <v>2.4500000000000002</v>
      </c>
      <c r="G210" s="22">
        <f t="shared" si="25"/>
        <v>2.2464306540000001</v>
      </c>
      <c r="H210" s="22">
        <f t="shared" si="29"/>
        <v>2.8800393</v>
      </c>
      <c r="I210" s="20">
        <f t="shared" si="26"/>
        <v>19.692497354</v>
      </c>
      <c r="J210" s="33">
        <f t="shared" si="27"/>
        <v>26.584871427900001</v>
      </c>
    </row>
    <row r="211" spans="1:10" ht="15" customHeight="1">
      <c r="A211" s="9">
        <f t="shared" si="28"/>
        <v>207</v>
      </c>
      <c r="B211" s="16" t="s">
        <v>77</v>
      </c>
      <c r="C211" s="12">
        <v>33</v>
      </c>
      <c r="D211" s="18">
        <f>1.167*14.14</f>
        <v>16.501380000000001</v>
      </c>
      <c r="E211" s="15">
        <f t="shared" si="24"/>
        <v>3.6303036000000004</v>
      </c>
      <c r="F211" s="18">
        <v>18.16</v>
      </c>
      <c r="G211" s="22">
        <f t="shared" si="25"/>
        <v>3.7326121560000005</v>
      </c>
      <c r="H211" s="22">
        <f t="shared" si="29"/>
        <v>4.7854001999999998</v>
      </c>
      <c r="I211" s="20">
        <f t="shared" si="26"/>
        <v>46.809695955999999</v>
      </c>
      <c r="J211" s="33">
        <f t="shared" si="27"/>
        <v>63.193089540599999</v>
      </c>
    </row>
    <row r="212" spans="1:10" ht="15" customHeight="1">
      <c r="A212" s="9">
        <f t="shared" si="28"/>
        <v>208</v>
      </c>
      <c r="B212" s="16" t="s">
        <v>78</v>
      </c>
      <c r="C212" s="12">
        <v>27</v>
      </c>
      <c r="D212" s="18">
        <f>1.167*11.31</f>
        <v>13.198770000000001</v>
      </c>
      <c r="E212" s="15">
        <f t="shared" si="24"/>
        <v>2.9037294000000005</v>
      </c>
      <c r="F212" s="18">
        <v>9.57</v>
      </c>
      <c r="G212" s="22">
        <f t="shared" si="25"/>
        <v>2.9855617740000007</v>
      </c>
      <c r="H212" s="22">
        <f t="shared" si="29"/>
        <v>3.8276433000000001</v>
      </c>
      <c r="I212" s="20">
        <f t="shared" si="26"/>
        <v>32.485704474000002</v>
      </c>
      <c r="J212" s="33">
        <f t="shared" si="27"/>
        <v>43.855701039900005</v>
      </c>
    </row>
    <row r="213" spans="1:10" ht="15" customHeight="1">
      <c r="A213" s="9">
        <f t="shared" si="28"/>
        <v>209</v>
      </c>
      <c r="B213" s="16" t="s">
        <v>79</v>
      </c>
      <c r="C213" s="12">
        <v>29</v>
      </c>
      <c r="D213" s="18">
        <f>1.167*16.97</f>
        <v>19.803989999999999</v>
      </c>
      <c r="E213" s="15">
        <f t="shared" si="24"/>
        <v>4.3568777999999995</v>
      </c>
      <c r="F213" s="18">
        <v>9.57</v>
      </c>
      <c r="G213" s="22">
        <f t="shared" si="25"/>
        <v>4.4796625380000004</v>
      </c>
      <c r="H213" s="22">
        <f t="shared" si="29"/>
        <v>5.7431570999999995</v>
      </c>
      <c r="I213" s="20">
        <f t="shared" si="26"/>
        <v>43.953687437999996</v>
      </c>
      <c r="J213" s="33">
        <f t="shared" si="27"/>
        <v>59.337478041299995</v>
      </c>
    </row>
    <row r="214" spans="1:10" ht="15" customHeight="1">
      <c r="A214" s="9">
        <f t="shared" si="28"/>
        <v>210</v>
      </c>
      <c r="B214" s="16" t="s">
        <v>80</v>
      </c>
      <c r="C214" s="12">
        <v>40</v>
      </c>
      <c r="D214" s="18">
        <f>1.167*11.31</f>
        <v>13.198770000000001</v>
      </c>
      <c r="E214" s="15">
        <f t="shared" si="24"/>
        <v>2.9037294000000005</v>
      </c>
      <c r="F214" s="18">
        <v>9.57</v>
      </c>
      <c r="G214" s="22">
        <f t="shared" si="25"/>
        <v>2.9855617740000007</v>
      </c>
      <c r="H214" s="22">
        <f t="shared" si="29"/>
        <v>3.8276433000000001</v>
      </c>
      <c r="I214" s="20">
        <f t="shared" si="26"/>
        <v>32.485704474000002</v>
      </c>
      <c r="J214" s="33">
        <f t="shared" si="27"/>
        <v>43.855701039900005</v>
      </c>
    </row>
    <row r="215" spans="1:10" ht="15" customHeight="1">
      <c r="A215" s="9">
        <f t="shared" si="28"/>
        <v>211</v>
      </c>
      <c r="B215" s="16" t="s">
        <v>81</v>
      </c>
      <c r="C215" s="12"/>
      <c r="D215" s="18">
        <f>1.167*16.97</f>
        <v>19.803989999999999</v>
      </c>
      <c r="E215" s="15">
        <f t="shared" si="24"/>
        <v>4.3568777999999995</v>
      </c>
      <c r="F215" s="18">
        <v>9.57</v>
      </c>
      <c r="G215" s="22">
        <f t="shared" si="25"/>
        <v>4.4796625380000004</v>
      </c>
      <c r="H215" s="22">
        <f t="shared" si="29"/>
        <v>5.7431570999999995</v>
      </c>
      <c r="I215" s="20">
        <f t="shared" si="26"/>
        <v>43.953687437999996</v>
      </c>
      <c r="J215" s="33">
        <f t="shared" si="27"/>
        <v>59.337478041299995</v>
      </c>
    </row>
    <row r="216" spans="1:10" ht="15" customHeight="1">
      <c r="A216" s="9">
        <f t="shared" si="28"/>
        <v>212</v>
      </c>
      <c r="B216" s="16" t="s">
        <v>82</v>
      </c>
      <c r="C216" s="12"/>
      <c r="D216" s="18"/>
      <c r="E216" s="15">
        <f t="shared" si="24"/>
        <v>0</v>
      </c>
      <c r="F216" s="18"/>
      <c r="G216" s="22">
        <f t="shared" si="25"/>
        <v>0</v>
      </c>
      <c r="H216" s="22">
        <f t="shared" si="29"/>
        <v>0</v>
      </c>
      <c r="I216" s="20">
        <f t="shared" si="26"/>
        <v>0</v>
      </c>
      <c r="J216" s="33">
        <f t="shared" si="27"/>
        <v>0</v>
      </c>
    </row>
    <row r="217" spans="1:10" ht="15" customHeight="1">
      <c r="A217" s="9">
        <f t="shared" si="28"/>
        <v>213</v>
      </c>
      <c r="B217" s="16" t="s">
        <v>83</v>
      </c>
      <c r="C217" s="12"/>
      <c r="D217" s="18"/>
      <c r="E217" s="15">
        <f t="shared" si="24"/>
        <v>0</v>
      </c>
      <c r="F217" s="18"/>
      <c r="G217" s="22">
        <f t="shared" si="25"/>
        <v>0</v>
      </c>
      <c r="H217" s="22">
        <f t="shared" si="29"/>
        <v>0</v>
      </c>
      <c r="I217" s="20">
        <f t="shared" si="26"/>
        <v>0</v>
      </c>
      <c r="J217" s="33">
        <f t="shared" si="27"/>
        <v>0</v>
      </c>
    </row>
    <row r="218" spans="1:10" ht="15" customHeight="1">
      <c r="A218" s="9">
        <f t="shared" si="28"/>
        <v>214</v>
      </c>
      <c r="B218" s="16" t="s">
        <v>84</v>
      </c>
      <c r="C218" s="12">
        <v>23</v>
      </c>
      <c r="D218" s="18">
        <f>1.167*10.77</f>
        <v>12.56859</v>
      </c>
      <c r="E218" s="15">
        <f t="shared" si="24"/>
        <v>2.7650898000000002</v>
      </c>
      <c r="F218" s="18">
        <v>9.4499999999999993</v>
      </c>
      <c r="G218" s="22">
        <f t="shared" si="25"/>
        <v>2.8430150580000002</v>
      </c>
      <c r="H218" s="22">
        <f t="shared" si="29"/>
        <v>3.6448910999999997</v>
      </c>
      <c r="I218" s="20">
        <f t="shared" si="26"/>
        <v>31.271585957999999</v>
      </c>
      <c r="J218" s="33">
        <f t="shared" si="27"/>
        <v>42.216641043300001</v>
      </c>
    </row>
    <row r="219" spans="1:10" ht="15" customHeight="1">
      <c r="A219" s="9">
        <f t="shared" si="28"/>
        <v>215</v>
      </c>
      <c r="B219" s="16" t="s">
        <v>85</v>
      </c>
      <c r="C219" s="12">
        <v>35</v>
      </c>
      <c r="D219" s="18">
        <f>1.167*16.19</f>
        <v>18.893730000000001</v>
      </c>
      <c r="E219" s="15">
        <f t="shared" si="24"/>
        <v>4.1566206000000001</v>
      </c>
      <c r="F219" s="18">
        <v>9.4499999999999993</v>
      </c>
      <c r="G219" s="22">
        <f t="shared" si="25"/>
        <v>4.2737617260000009</v>
      </c>
      <c r="H219" s="22">
        <f t="shared" si="29"/>
        <v>5.4791816999999998</v>
      </c>
      <c r="I219" s="20">
        <f t="shared" si="26"/>
        <v>42.253294026000006</v>
      </c>
      <c r="J219" s="33">
        <f t="shared" si="27"/>
        <v>57.041946935100015</v>
      </c>
    </row>
    <row r="220" spans="1:10" ht="15" customHeight="1">
      <c r="A220" s="9">
        <f t="shared" si="28"/>
        <v>216</v>
      </c>
      <c r="B220" s="16" t="s">
        <v>86</v>
      </c>
      <c r="C220" s="12">
        <v>46</v>
      </c>
      <c r="D220" s="18">
        <f>1.167*21.56</f>
        <v>25.160519999999998</v>
      </c>
      <c r="E220" s="15">
        <f t="shared" si="24"/>
        <v>5.5353143999999999</v>
      </c>
      <c r="F220" s="18">
        <v>9.4499999999999993</v>
      </c>
      <c r="G220" s="22">
        <f t="shared" si="25"/>
        <v>5.6913096239999996</v>
      </c>
      <c r="H220" s="22">
        <f t="shared" si="29"/>
        <v>7.2965507999999986</v>
      </c>
      <c r="I220" s="20">
        <f t="shared" si="26"/>
        <v>53.133694823999996</v>
      </c>
      <c r="J220" s="33">
        <f t="shared" si="27"/>
        <v>71.730488012400002</v>
      </c>
    </row>
    <row r="221" spans="1:10" ht="15" customHeight="1">
      <c r="A221" s="9">
        <f t="shared" si="28"/>
        <v>217</v>
      </c>
      <c r="B221" s="16" t="s">
        <v>87</v>
      </c>
      <c r="C221" s="12">
        <v>35</v>
      </c>
      <c r="D221" s="18">
        <f>1.167*16.19</f>
        <v>18.893730000000001</v>
      </c>
      <c r="E221" s="15">
        <f t="shared" si="24"/>
        <v>4.1566206000000001</v>
      </c>
      <c r="F221" s="18">
        <v>10.18</v>
      </c>
      <c r="G221" s="22">
        <f t="shared" si="25"/>
        <v>4.2737617260000009</v>
      </c>
      <c r="H221" s="22">
        <f t="shared" si="29"/>
        <v>5.4791816999999998</v>
      </c>
      <c r="I221" s="20">
        <f t="shared" si="26"/>
        <v>42.983294026000003</v>
      </c>
      <c r="J221" s="33">
        <f t="shared" si="27"/>
        <v>58.027446935100009</v>
      </c>
    </row>
    <row r="222" spans="1:10" ht="15" customHeight="1">
      <c r="A222" s="9">
        <f t="shared" si="28"/>
        <v>218</v>
      </c>
      <c r="B222" s="16" t="s">
        <v>88</v>
      </c>
      <c r="C222" s="12">
        <v>40</v>
      </c>
      <c r="D222" s="18">
        <f>1.167*16.19</f>
        <v>18.893730000000001</v>
      </c>
      <c r="E222" s="15">
        <f t="shared" si="24"/>
        <v>4.1566206000000001</v>
      </c>
      <c r="F222" s="18">
        <v>10.18</v>
      </c>
      <c r="G222" s="22">
        <f t="shared" si="25"/>
        <v>4.2737617260000009</v>
      </c>
      <c r="H222" s="22">
        <f t="shared" si="29"/>
        <v>5.4791816999999998</v>
      </c>
      <c r="I222" s="20">
        <f t="shared" si="26"/>
        <v>42.983294026000003</v>
      </c>
      <c r="J222" s="33">
        <f t="shared" si="27"/>
        <v>58.027446935100009</v>
      </c>
    </row>
    <row r="223" spans="1:10" ht="35.450000000000003" customHeight="1">
      <c r="A223" s="9">
        <f t="shared" si="28"/>
        <v>219</v>
      </c>
      <c r="B223" s="16" t="s">
        <v>89</v>
      </c>
      <c r="C223" s="12">
        <v>15</v>
      </c>
      <c r="D223" s="18">
        <f>1.167*7.68</f>
        <v>8.9625599999999999</v>
      </c>
      <c r="E223" s="15">
        <f t="shared" si="24"/>
        <v>1.9717632</v>
      </c>
      <c r="F223" s="18">
        <v>3.27</v>
      </c>
      <c r="G223" s="22">
        <f t="shared" si="25"/>
        <v>2.027331072</v>
      </c>
      <c r="H223" s="22">
        <f t="shared" si="29"/>
        <v>2.5991423999999999</v>
      </c>
      <c r="I223" s="20">
        <f t="shared" si="26"/>
        <v>18.830796671999998</v>
      </c>
      <c r="J223" s="33">
        <f t="shared" si="27"/>
        <v>25.4215755072</v>
      </c>
    </row>
    <row r="224" spans="1:10" ht="15" customHeight="1">
      <c r="A224" s="9">
        <f t="shared" si="28"/>
        <v>220</v>
      </c>
      <c r="B224" s="16" t="s">
        <v>90</v>
      </c>
      <c r="C224" s="12">
        <v>15</v>
      </c>
      <c r="D224" s="18">
        <f>1.167*7.68</f>
        <v>8.9625599999999999</v>
      </c>
      <c r="E224" s="15">
        <f t="shared" si="24"/>
        <v>1.9717632</v>
      </c>
      <c r="F224" s="18">
        <v>3.27</v>
      </c>
      <c r="G224" s="22">
        <f t="shared" si="25"/>
        <v>2.027331072</v>
      </c>
      <c r="H224" s="22">
        <f t="shared" si="29"/>
        <v>2.5991423999999999</v>
      </c>
      <c r="I224" s="20">
        <f t="shared" si="26"/>
        <v>18.830796671999998</v>
      </c>
      <c r="J224" s="33">
        <f t="shared" si="27"/>
        <v>25.4215755072</v>
      </c>
    </row>
    <row r="225" spans="1:10" ht="15" customHeight="1">
      <c r="A225" s="9">
        <f>A224+1</f>
        <v>221</v>
      </c>
      <c r="B225" s="16" t="s">
        <v>91</v>
      </c>
      <c r="C225" s="12">
        <v>20</v>
      </c>
      <c r="D225" s="12">
        <v>11.47</v>
      </c>
      <c r="E225" s="15">
        <f>D225*0.22</f>
        <v>2.5234000000000001</v>
      </c>
      <c r="F225" s="22">
        <v>19.22</v>
      </c>
      <c r="G225" s="12">
        <v>0</v>
      </c>
      <c r="H225" s="22">
        <f t="shared" si="29"/>
        <v>3.3262999999999998</v>
      </c>
      <c r="I225" s="20">
        <f t="shared" si="26"/>
        <v>36.539699999999996</v>
      </c>
      <c r="J225" s="33">
        <f t="shared" si="27"/>
        <v>49.328595</v>
      </c>
    </row>
    <row r="226" spans="1:10" ht="15" customHeight="1">
      <c r="A226" s="9">
        <f t="shared" si="28"/>
        <v>222</v>
      </c>
      <c r="B226" s="16" t="s">
        <v>92</v>
      </c>
      <c r="C226" s="12">
        <v>15</v>
      </c>
      <c r="D226" s="12">
        <v>8.1</v>
      </c>
      <c r="E226" s="15">
        <f t="shared" ref="E226:E231" si="30">D226*0.22</f>
        <v>1.782</v>
      </c>
      <c r="F226" s="22">
        <v>16.22</v>
      </c>
      <c r="G226" s="12">
        <v>0</v>
      </c>
      <c r="H226" s="22">
        <f t="shared" si="29"/>
        <v>2.3489999999999998</v>
      </c>
      <c r="I226" s="20">
        <f t="shared" si="26"/>
        <v>28.450999999999997</v>
      </c>
      <c r="J226" s="33">
        <f t="shared" si="27"/>
        <v>38.408850000000001</v>
      </c>
    </row>
    <row r="227" spans="1:10" ht="15" customHeight="1">
      <c r="A227" s="9">
        <f t="shared" si="28"/>
        <v>223</v>
      </c>
      <c r="B227" s="16" t="s">
        <v>93</v>
      </c>
      <c r="C227" s="12">
        <v>15</v>
      </c>
      <c r="D227" s="12">
        <v>8.1</v>
      </c>
      <c r="E227" s="15">
        <f t="shared" si="30"/>
        <v>1.782</v>
      </c>
      <c r="F227" s="22">
        <v>11.02</v>
      </c>
      <c r="G227" s="12">
        <v>0</v>
      </c>
      <c r="H227" s="22">
        <f t="shared" si="29"/>
        <v>2.3489999999999998</v>
      </c>
      <c r="I227" s="20">
        <f t="shared" si="26"/>
        <v>23.251000000000001</v>
      </c>
      <c r="J227" s="33">
        <f t="shared" si="27"/>
        <v>31.388850000000005</v>
      </c>
    </row>
    <row r="228" spans="1:10" ht="15" customHeight="1">
      <c r="A228" s="9">
        <f t="shared" si="28"/>
        <v>224</v>
      </c>
      <c r="B228" s="16" t="s">
        <v>94</v>
      </c>
      <c r="C228" s="12">
        <v>20</v>
      </c>
      <c r="D228" s="12">
        <v>10.81</v>
      </c>
      <c r="E228" s="15">
        <f t="shared" si="30"/>
        <v>2.3782000000000001</v>
      </c>
      <c r="F228" s="22">
        <v>29.49</v>
      </c>
      <c r="G228" s="12">
        <v>0</v>
      </c>
      <c r="H228" s="22">
        <f t="shared" si="29"/>
        <v>3.1349</v>
      </c>
      <c r="I228" s="20">
        <f t="shared" si="26"/>
        <v>45.813099999999999</v>
      </c>
      <c r="J228" s="33">
        <f t="shared" si="27"/>
        <v>61.847685000000006</v>
      </c>
    </row>
    <row r="229" spans="1:10" ht="15" customHeight="1">
      <c r="A229" s="9">
        <f t="shared" si="28"/>
        <v>225</v>
      </c>
      <c r="B229" s="16" t="s">
        <v>95</v>
      </c>
      <c r="C229" s="12">
        <v>20</v>
      </c>
      <c r="D229" s="12">
        <v>10.81</v>
      </c>
      <c r="E229" s="15">
        <f t="shared" si="30"/>
        <v>2.3782000000000001</v>
      </c>
      <c r="F229" s="22">
        <v>25.63</v>
      </c>
      <c r="G229" s="12">
        <v>0</v>
      </c>
      <c r="H229" s="22">
        <f t="shared" si="29"/>
        <v>3.1349</v>
      </c>
      <c r="I229" s="20">
        <f t="shared" si="26"/>
        <v>41.953099999999999</v>
      </c>
      <c r="J229" s="33">
        <f t="shared" si="27"/>
        <v>56.636685</v>
      </c>
    </row>
    <row r="230" spans="1:10" ht="15" customHeight="1">
      <c r="A230" s="9">
        <f t="shared" si="28"/>
        <v>226</v>
      </c>
      <c r="B230" s="16" t="s">
        <v>96</v>
      </c>
      <c r="C230" s="12">
        <v>15</v>
      </c>
      <c r="D230" s="12">
        <v>8.1</v>
      </c>
      <c r="E230" s="15">
        <f t="shared" si="30"/>
        <v>1.782</v>
      </c>
      <c r="F230" s="22">
        <v>25.78</v>
      </c>
      <c r="G230" s="12">
        <v>0</v>
      </c>
      <c r="H230" s="22">
        <f t="shared" si="29"/>
        <v>2.3489999999999998</v>
      </c>
      <c r="I230" s="20">
        <f t="shared" si="26"/>
        <v>38.010999999999996</v>
      </c>
      <c r="J230" s="33">
        <f t="shared" si="27"/>
        <v>51.31485</v>
      </c>
    </row>
    <row r="231" spans="1:10" ht="15" customHeight="1">
      <c r="A231" s="9">
        <f t="shared" si="28"/>
        <v>227</v>
      </c>
      <c r="B231" s="16" t="s">
        <v>97</v>
      </c>
      <c r="C231" s="12">
        <v>20</v>
      </c>
      <c r="D231" s="12">
        <v>10.81</v>
      </c>
      <c r="E231" s="15">
        <f t="shared" si="30"/>
        <v>2.3782000000000001</v>
      </c>
      <c r="F231" s="22">
        <v>18.5</v>
      </c>
      <c r="G231" s="12">
        <v>0</v>
      </c>
      <c r="H231" s="22">
        <f t="shared" si="29"/>
        <v>3.1349</v>
      </c>
      <c r="I231" s="20">
        <f t="shared" si="26"/>
        <v>34.823100000000004</v>
      </c>
      <c r="J231" s="33">
        <f t="shared" si="27"/>
        <v>47.011185000000005</v>
      </c>
    </row>
    <row r="232" spans="1:10">
      <c r="A232" s="4"/>
      <c r="B232" s="4"/>
      <c r="C232" s="3"/>
    </row>
    <row r="233" spans="1:10" ht="18.75">
      <c r="A233" s="35"/>
      <c r="B233" s="35" t="s">
        <v>237</v>
      </c>
      <c r="C233" s="36"/>
      <c r="D233" s="36"/>
      <c r="E233" s="37"/>
      <c r="F233" s="36"/>
      <c r="G233" s="35" t="s">
        <v>238</v>
      </c>
    </row>
    <row r="234" spans="1:10" ht="18.75">
      <c r="A234" s="5"/>
      <c r="B234" s="35"/>
      <c r="C234" s="35"/>
      <c r="D234" s="35"/>
    </row>
    <row r="235" spans="1:10">
      <c r="A235" s="5"/>
      <c r="B235" s="5"/>
    </row>
    <row r="236" spans="1:10">
      <c r="A236" s="5"/>
      <c r="B236" s="5"/>
    </row>
    <row r="237" spans="1:10">
      <c r="A237" s="5"/>
      <c r="B237" s="5"/>
    </row>
    <row r="238" spans="1:10">
      <c r="A238" s="5"/>
      <c r="B238" s="5"/>
    </row>
    <row r="239" spans="1:10">
      <c r="A239" s="5"/>
      <c r="B239" s="5"/>
    </row>
    <row r="240" spans="1:10">
      <c r="A240" s="5"/>
      <c r="B240" s="5"/>
    </row>
    <row r="241" spans="1:2">
      <c r="A241" s="5"/>
      <c r="B241" s="5"/>
    </row>
    <row r="242" spans="1:2">
      <c r="A242" s="5"/>
      <c r="B242" s="5"/>
    </row>
    <row r="243" spans="1:2">
      <c r="A243" s="5"/>
      <c r="B243" s="5"/>
    </row>
    <row r="244" spans="1:2">
      <c r="A244" s="5"/>
      <c r="B244" s="5"/>
    </row>
    <row r="245" spans="1:2">
      <c r="A245" s="5"/>
      <c r="B245" s="5"/>
    </row>
    <row r="246" spans="1:2">
      <c r="A246" s="5"/>
      <c r="B246" s="5"/>
    </row>
    <row r="247" spans="1:2">
      <c r="A247" s="5"/>
      <c r="B247" s="5"/>
    </row>
    <row r="248" spans="1:2">
      <c r="A248" s="5"/>
      <c r="B248" s="5"/>
    </row>
    <row r="249" spans="1:2">
      <c r="A249" s="5"/>
      <c r="B249" s="5"/>
    </row>
    <row r="250" spans="1:2">
      <c r="A250" s="5"/>
      <c r="B250" s="5"/>
    </row>
    <row r="251" spans="1:2">
      <c r="A251" s="5"/>
      <c r="B251" s="5"/>
    </row>
  </sheetData>
  <mergeCells count="2">
    <mergeCell ref="B1:J1"/>
    <mergeCell ref="B2:J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56"/>
  <sheetViews>
    <sheetView showZeros="0" topLeftCell="A541" zoomScale="85" zoomScaleNormal="85" workbookViewId="0">
      <selection activeCell="J547" sqref="J547"/>
    </sheetView>
  </sheetViews>
  <sheetFormatPr defaultRowHeight="12.75"/>
  <cols>
    <col min="1" max="1" width="8.85546875" style="129" customWidth="1"/>
    <col min="2" max="2" width="55.85546875" style="41" customWidth="1"/>
    <col min="3" max="3" width="12" style="41" customWidth="1"/>
    <col min="4" max="11" width="10" style="41" customWidth="1"/>
    <col min="12" max="256" width="9.140625" style="41"/>
    <col min="257" max="257" width="8.85546875" style="41" customWidth="1"/>
    <col min="258" max="258" width="73" style="41" customWidth="1"/>
    <col min="259" max="259" width="12" style="41" customWidth="1"/>
    <col min="260" max="261" width="13.42578125" style="41" customWidth="1"/>
    <col min="262" max="262" width="14" style="41" customWidth="1"/>
    <col min="263" max="265" width="12.5703125" style="41" customWidth="1"/>
    <col min="266" max="267" width="15.7109375" style="41" customWidth="1"/>
    <col min="268" max="512" width="9.140625" style="41"/>
    <col min="513" max="513" width="8.85546875" style="41" customWidth="1"/>
    <col min="514" max="514" width="73" style="41" customWidth="1"/>
    <col min="515" max="515" width="12" style="41" customWidth="1"/>
    <col min="516" max="517" width="13.42578125" style="41" customWidth="1"/>
    <col min="518" max="518" width="14" style="41" customWidth="1"/>
    <col min="519" max="521" width="12.5703125" style="41" customWidth="1"/>
    <col min="522" max="523" width="15.7109375" style="41" customWidth="1"/>
    <col min="524" max="768" width="9.140625" style="41"/>
    <col min="769" max="769" width="8.85546875" style="41" customWidth="1"/>
    <col min="770" max="770" width="73" style="41" customWidth="1"/>
    <col min="771" max="771" width="12" style="41" customWidth="1"/>
    <col min="772" max="773" width="13.42578125" style="41" customWidth="1"/>
    <col min="774" max="774" width="14" style="41" customWidth="1"/>
    <col min="775" max="777" width="12.5703125" style="41" customWidth="1"/>
    <col min="778" max="779" width="15.7109375" style="41" customWidth="1"/>
    <col min="780" max="1024" width="9.140625" style="41"/>
    <col min="1025" max="1025" width="8.85546875" style="41" customWidth="1"/>
    <col min="1026" max="1026" width="73" style="41" customWidth="1"/>
    <col min="1027" max="1027" width="12" style="41" customWidth="1"/>
    <col min="1028" max="1029" width="13.42578125" style="41" customWidth="1"/>
    <col min="1030" max="1030" width="14" style="41" customWidth="1"/>
    <col min="1031" max="1033" width="12.5703125" style="41" customWidth="1"/>
    <col min="1034" max="1035" width="15.7109375" style="41" customWidth="1"/>
    <col min="1036" max="1280" width="9.140625" style="41"/>
    <col min="1281" max="1281" width="8.85546875" style="41" customWidth="1"/>
    <col min="1282" max="1282" width="73" style="41" customWidth="1"/>
    <col min="1283" max="1283" width="12" style="41" customWidth="1"/>
    <col min="1284" max="1285" width="13.42578125" style="41" customWidth="1"/>
    <col min="1286" max="1286" width="14" style="41" customWidth="1"/>
    <col min="1287" max="1289" width="12.5703125" style="41" customWidth="1"/>
    <col min="1290" max="1291" width="15.7109375" style="41" customWidth="1"/>
    <col min="1292" max="1536" width="9.140625" style="41"/>
    <col min="1537" max="1537" width="8.85546875" style="41" customWidth="1"/>
    <col min="1538" max="1538" width="73" style="41" customWidth="1"/>
    <col min="1539" max="1539" width="12" style="41" customWidth="1"/>
    <col min="1540" max="1541" width="13.42578125" style="41" customWidth="1"/>
    <col min="1542" max="1542" width="14" style="41" customWidth="1"/>
    <col min="1543" max="1545" width="12.5703125" style="41" customWidth="1"/>
    <col min="1546" max="1547" width="15.7109375" style="41" customWidth="1"/>
    <col min="1548" max="1792" width="9.140625" style="41"/>
    <col min="1793" max="1793" width="8.85546875" style="41" customWidth="1"/>
    <col min="1794" max="1794" width="73" style="41" customWidth="1"/>
    <col min="1795" max="1795" width="12" style="41" customWidth="1"/>
    <col min="1796" max="1797" width="13.42578125" style="41" customWidth="1"/>
    <col min="1798" max="1798" width="14" style="41" customWidth="1"/>
    <col min="1799" max="1801" width="12.5703125" style="41" customWidth="1"/>
    <col min="1802" max="1803" width="15.7109375" style="41" customWidth="1"/>
    <col min="1804" max="2048" width="9.140625" style="41"/>
    <col min="2049" max="2049" width="8.85546875" style="41" customWidth="1"/>
    <col min="2050" max="2050" width="73" style="41" customWidth="1"/>
    <col min="2051" max="2051" width="12" style="41" customWidth="1"/>
    <col min="2052" max="2053" width="13.42578125" style="41" customWidth="1"/>
    <col min="2054" max="2054" width="14" style="41" customWidth="1"/>
    <col min="2055" max="2057" width="12.5703125" style="41" customWidth="1"/>
    <col min="2058" max="2059" width="15.7109375" style="41" customWidth="1"/>
    <col min="2060" max="2304" width="9.140625" style="41"/>
    <col min="2305" max="2305" width="8.85546875" style="41" customWidth="1"/>
    <col min="2306" max="2306" width="73" style="41" customWidth="1"/>
    <col min="2307" max="2307" width="12" style="41" customWidth="1"/>
    <col min="2308" max="2309" width="13.42578125" style="41" customWidth="1"/>
    <col min="2310" max="2310" width="14" style="41" customWidth="1"/>
    <col min="2311" max="2313" width="12.5703125" style="41" customWidth="1"/>
    <col min="2314" max="2315" width="15.7109375" style="41" customWidth="1"/>
    <col min="2316" max="2560" width="9.140625" style="41"/>
    <col min="2561" max="2561" width="8.85546875" style="41" customWidth="1"/>
    <col min="2562" max="2562" width="73" style="41" customWidth="1"/>
    <col min="2563" max="2563" width="12" style="41" customWidth="1"/>
    <col min="2564" max="2565" width="13.42578125" style="41" customWidth="1"/>
    <col min="2566" max="2566" width="14" style="41" customWidth="1"/>
    <col min="2567" max="2569" width="12.5703125" style="41" customWidth="1"/>
    <col min="2570" max="2571" width="15.7109375" style="41" customWidth="1"/>
    <col min="2572" max="2816" width="9.140625" style="41"/>
    <col min="2817" max="2817" width="8.85546875" style="41" customWidth="1"/>
    <col min="2818" max="2818" width="73" style="41" customWidth="1"/>
    <col min="2819" max="2819" width="12" style="41" customWidth="1"/>
    <col min="2820" max="2821" width="13.42578125" style="41" customWidth="1"/>
    <col min="2822" max="2822" width="14" style="41" customWidth="1"/>
    <col min="2823" max="2825" width="12.5703125" style="41" customWidth="1"/>
    <col min="2826" max="2827" width="15.7109375" style="41" customWidth="1"/>
    <col min="2828" max="3072" width="9.140625" style="41"/>
    <col min="3073" max="3073" width="8.85546875" style="41" customWidth="1"/>
    <col min="3074" max="3074" width="73" style="41" customWidth="1"/>
    <col min="3075" max="3075" width="12" style="41" customWidth="1"/>
    <col min="3076" max="3077" width="13.42578125" style="41" customWidth="1"/>
    <col min="3078" max="3078" width="14" style="41" customWidth="1"/>
    <col min="3079" max="3081" width="12.5703125" style="41" customWidth="1"/>
    <col min="3082" max="3083" width="15.7109375" style="41" customWidth="1"/>
    <col min="3084" max="3328" width="9.140625" style="41"/>
    <col min="3329" max="3329" width="8.85546875" style="41" customWidth="1"/>
    <col min="3330" max="3330" width="73" style="41" customWidth="1"/>
    <col min="3331" max="3331" width="12" style="41" customWidth="1"/>
    <col min="3332" max="3333" width="13.42578125" style="41" customWidth="1"/>
    <col min="3334" max="3334" width="14" style="41" customWidth="1"/>
    <col min="3335" max="3337" width="12.5703125" style="41" customWidth="1"/>
    <col min="3338" max="3339" width="15.7109375" style="41" customWidth="1"/>
    <col min="3340" max="3584" width="9.140625" style="41"/>
    <col min="3585" max="3585" width="8.85546875" style="41" customWidth="1"/>
    <col min="3586" max="3586" width="73" style="41" customWidth="1"/>
    <col min="3587" max="3587" width="12" style="41" customWidth="1"/>
    <col min="3588" max="3589" width="13.42578125" style="41" customWidth="1"/>
    <col min="3590" max="3590" width="14" style="41" customWidth="1"/>
    <col min="3591" max="3593" width="12.5703125" style="41" customWidth="1"/>
    <col min="3594" max="3595" width="15.7109375" style="41" customWidth="1"/>
    <col min="3596" max="3840" width="9.140625" style="41"/>
    <col min="3841" max="3841" width="8.85546875" style="41" customWidth="1"/>
    <col min="3842" max="3842" width="73" style="41" customWidth="1"/>
    <col min="3843" max="3843" width="12" style="41" customWidth="1"/>
    <col min="3844" max="3845" width="13.42578125" style="41" customWidth="1"/>
    <col min="3846" max="3846" width="14" style="41" customWidth="1"/>
    <col min="3847" max="3849" width="12.5703125" style="41" customWidth="1"/>
    <col min="3850" max="3851" width="15.7109375" style="41" customWidth="1"/>
    <col min="3852" max="4096" width="9.140625" style="41"/>
    <col min="4097" max="4097" width="8.85546875" style="41" customWidth="1"/>
    <col min="4098" max="4098" width="73" style="41" customWidth="1"/>
    <col min="4099" max="4099" width="12" style="41" customWidth="1"/>
    <col min="4100" max="4101" width="13.42578125" style="41" customWidth="1"/>
    <col min="4102" max="4102" width="14" style="41" customWidth="1"/>
    <col min="4103" max="4105" width="12.5703125" style="41" customWidth="1"/>
    <col min="4106" max="4107" width="15.7109375" style="41" customWidth="1"/>
    <col min="4108" max="4352" width="9.140625" style="41"/>
    <col min="4353" max="4353" width="8.85546875" style="41" customWidth="1"/>
    <col min="4354" max="4354" width="73" style="41" customWidth="1"/>
    <col min="4355" max="4355" width="12" style="41" customWidth="1"/>
    <col min="4356" max="4357" width="13.42578125" style="41" customWidth="1"/>
    <col min="4358" max="4358" width="14" style="41" customWidth="1"/>
    <col min="4359" max="4361" width="12.5703125" style="41" customWidth="1"/>
    <col min="4362" max="4363" width="15.7109375" style="41" customWidth="1"/>
    <col min="4364" max="4608" width="9.140625" style="41"/>
    <col min="4609" max="4609" width="8.85546875" style="41" customWidth="1"/>
    <col min="4610" max="4610" width="73" style="41" customWidth="1"/>
    <col min="4611" max="4611" width="12" style="41" customWidth="1"/>
    <col min="4612" max="4613" width="13.42578125" style="41" customWidth="1"/>
    <col min="4614" max="4614" width="14" style="41" customWidth="1"/>
    <col min="4615" max="4617" width="12.5703125" style="41" customWidth="1"/>
    <col min="4618" max="4619" width="15.7109375" style="41" customWidth="1"/>
    <col min="4620" max="4864" width="9.140625" style="41"/>
    <col min="4865" max="4865" width="8.85546875" style="41" customWidth="1"/>
    <col min="4866" max="4866" width="73" style="41" customWidth="1"/>
    <col min="4867" max="4867" width="12" style="41" customWidth="1"/>
    <col min="4868" max="4869" width="13.42578125" style="41" customWidth="1"/>
    <col min="4870" max="4870" width="14" style="41" customWidth="1"/>
    <col min="4871" max="4873" width="12.5703125" style="41" customWidth="1"/>
    <col min="4874" max="4875" width="15.7109375" style="41" customWidth="1"/>
    <col min="4876" max="5120" width="9.140625" style="41"/>
    <col min="5121" max="5121" width="8.85546875" style="41" customWidth="1"/>
    <col min="5122" max="5122" width="73" style="41" customWidth="1"/>
    <col min="5123" max="5123" width="12" style="41" customWidth="1"/>
    <col min="5124" max="5125" width="13.42578125" style="41" customWidth="1"/>
    <col min="5126" max="5126" width="14" style="41" customWidth="1"/>
    <col min="5127" max="5129" width="12.5703125" style="41" customWidth="1"/>
    <col min="5130" max="5131" width="15.7109375" style="41" customWidth="1"/>
    <col min="5132" max="5376" width="9.140625" style="41"/>
    <col min="5377" max="5377" width="8.85546875" style="41" customWidth="1"/>
    <col min="5378" max="5378" width="73" style="41" customWidth="1"/>
    <col min="5379" max="5379" width="12" style="41" customWidth="1"/>
    <col min="5380" max="5381" width="13.42578125" style="41" customWidth="1"/>
    <col min="5382" max="5382" width="14" style="41" customWidth="1"/>
    <col min="5383" max="5385" width="12.5703125" style="41" customWidth="1"/>
    <col min="5386" max="5387" width="15.7109375" style="41" customWidth="1"/>
    <col min="5388" max="5632" width="9.140625" style="41"/>
    <col min="5633" max="5633" width="8.85546875" style="41" customWidth="1"/>
    <col min="5634" max="5634" width="73" style="41" customWidth="1"/>
    <col min="5635" max="5635" width="12" style="41" customWidth="1"/>
    <col min="5636" max="5637" width="13.42578125" style="41" customWidth="1"/>
    <col min="5638" max="5638" width="14" style="41" customWidth="1"/>
    <col min="5639" max="5641" width="12.5703125" style="41" customWidth="1"/>
    <col min="5642" max="5643" width="15.7109375" style="41" customWidth="1"/>
    <col min="5644" max="5888" width="9.140625" style="41"/>
    <col min="5889" max="5889" width="8.85546875" style="41" customWidth="1"/>
    <col min="5890" max="5890" width="73" style="41" customWidth="1"/>
    <col min="5891" max="5891" width="12" style="41" customWidth="1"/>
    <col min="5892" max="5893" width="13.42578125" style="41" customWidth="1"/>
    <col min="5894" max="5894" width="14" style="41" customWidth="1"/>
    <col min="5895" max="5897" width="12.5703125" style="41" customWidth="1"/>
    <col min="5898" max="5899" width="15.7109375" style="41" customWidth="1"/>
    <col min="5900" max="6144" width="9.140625" style="41"/>
    <col min="6145" max="6145" width="8.85546875" style="41" customWidth="1"/>
    <col min="6146" max="6146" width="73" style="41" customWidth="1"/>
    <col min="6147" max="6147" width="12" style="41" customWidth="1"/>
    <col min="6148" max="6149" width="13.42578125" style="41" customWidth="1"/>
    <col min="6150" max="6150" width="14" style="41" customWidth="1"/>
    <col min="6151" max="6153" width="12.5703125" style="41" customWidth="1"/>
    <col min="6154" max="6155" width="15.7109375" style="41" customWidth="1"/>
    <col min="6156" max="6400" width="9.140625" style="41"/>
    <col min="6401" max="6401" width="8.85546875" style="41" customWidth="1"/>
    <col min="6402" max="6402" width="73" style="41" customWidth="1"/>
    <col min="6403" max="6403" width="12" style="41" customWidth="1"/>
    <col min="6404" max="6405" width="13.42578125" style="41" customWidth="1"/>
    <col min="6406" max="6406" width="14" style="41" customWidth="1"/>
    <col min="6407" max="6409" width="12.5703125" style="41" customWidth="1"/>
    <col min="6410" max="6411" width="15.7109375" style="41" customWidth="1"/>
    <col min="6412" max="6656" width="9.140625" style="41"/>
    <col min="6657" max="6657" width="8.85546875" style="41" customWidth="1"/>
    <col min="6658" max="6658" width="73" style="41" customWidth="1"/>
    <col min="6659" max="6659" width="12" style="41" customWidth="1"/>
    <col min="6660" max="6661" width="13.42578125" style="41" customWidth="1"/>
    <col min="6662" max="6662" width="14" style="41" customWidth="1"/>
    <col min="6663" max="6665" width="12.5703125" style="41" customWidth="1"/>
    <col min="6666" max="6667" width="15.7109375" style="41" customWidth="1"/>
    <col min="6668" max="6912" width="9.140625" style="41"/>
    <col min="6913" max="6913" width="8.85546875" style="41" customWidth="1"/>
    <col min="6914" max="6914" width="73" style="41" customWidth="1"/>
    <col min="6915" max="6915" width="12" style="41" customWidth="1"/>
    <col min="6916" max="6917" width="13.42578125" style="41" customWidth="1"/>
    <col min="6918" max="6918" width="14" style="41" customWidth="1"/>
    <col min="6919" max="6921" width="12.5703125" style="41" customWidth="1"/>
    <col min="6922" max="6923" width="15.7109375" style="41" customWidth="1"/>
    <col min="6924" max="7168" width="9.140625" style="41"/>
    <col min="7169" max="7169" width="8.85546875" style="41" customWidth="1"/>
    <col min="7170" max="7170" width="73" style="41" customWidth="1"/>
    <col min="7171" max="7171" width="12" style="41" customWidth="1"/>
    <col min="7172" max="7173" width="13.42578125" style="41" customWidth="1"/>
    <col min="7174" max="7174" width="14" style="41" customWidth="1"/>
    <col min="7175" max="7177" width="12.5703125" style="41" customWidth="1"/>
    <col min="7178" max="7179" width="15.7109375" style="41" customWidth="1"/>
    <col min="7180" max="7424" width="9.140625" style="41"/>
    <col min="7425" max="7425" width="8.85546875" style="41" customWidth="1"/>
    <col min="7426" max="7426" width="73" style="41" customWidth="1"/>
    <col min="7427" max="7427" width="12" style="41" customWidth="1"/>
    <col min="7428" max="7429" width="13.42578125" style="41" customWidth="1"/>
    <col min="7430" max="7430" width="14" style="41" customWidth="1"/>
    <col min="7431" max="7433" width="12.5703125" style="41" customWidth="1"/>
    <col min="7434" max="7435" width="15.7109375" style="41" customWidth="1"/>
    <col min="7436" max="7680" width="9.140625" style="41"/>
    <col min="7681" max="7681" width="8.85546875" style="41" customWidth="1"/>
    <col min="7682" max="7682" width="73" style="41" customWidth="1"/>
    <col min="7683" max="7683" width="12" style="41" customWidth="1"/>
    <col min="7684" max="7685" width="13.42578125" style="41" customWidth="1"/>
    <col min="7686" max="7686" width="14" style="41" customWidth="1"/>
    <col min="7687" max="7689" width="12.5703125" style="41" customWidth="1"/>
    <col min="7690" max="7691" width="15.7109375" style="41" customWidth="1"/>
    <col min="7692" max="7936" width="9.140625" style="41"/>
    <col min="7937" max="7937" width="8.85546875" style="41" customWidth="1"/>
    <col min="7938" max="7938" width="73" style="41" customWidth="1"/>
    <col min="7939" max="7939" width="12" style="41" customWidth="1"/>
    <col min="7940" max="7941" width="13.42578125" style="41" customWidth="1"/>
    <col min="7942" max="7942" width="14" style="41" customWidth="1"/>
    <col min="7943" max="7945" width="12.5703125" style="41" customWidth="1"/>
    <col min="7946" max="7947" width="15.7109375" style="41" customWidth="1"/>
    <col min="7948" max="8192" width="9.140625" style="41"/>
    <col min="8193" max="8193" width="8.85546875" style="41" customWidth="1"/>
    <col min="8194" max="8194" width="73" style="41" customWidth="1"/>
    <col min="8195" max="8195" width="12" style="41" customWidth="1"/>
    <col min="8196" max="8197" width="13.42578125" style="41" customWidth="1"/>
    <col min="8198" max="8198" width="14" style="41" customWidth="1"/>
    <col min="8199" max="8201" width="12.5703125" style="41" customWidth="1"/>
    <col min="8202" max="8203" width="15.7109375" style="41" customWidth="1"/>
    <col min="8204" max="8448" width="9.140625" style="41"/>
    <col min="8449" max="8449" width="8.85546875" style="41" customWidth="1"/>
    <col min="8450" max="8450" width="73" style="41" customWidth="1"/>
    <col min="8451" max="8451" width="12" style="41" customWidth="1"/>
    <col min="8452" max="8453" width="13.42578125" style="41" customWidth="1"/>
    <col min="8454" max="8454" width="14" style="41" customWidth="1"/>
    <col min="8455" max="8457" width="12.5703125" style="41" customWidth="1"/>
    <col min="8458" max="8459" width="15.7109375" style="41" customWidth="1"/>
    <col min="8460" max="8704" width="9.140625" style="41"/>
    <col min="8705" max="8705" width="8.85546875" style="41" customWidth="1"/>
    <col min="8706" max="8706" width="73" style="41" customWidth="1"/>
    <col min="8707" max="8707" width="12" style="41" customWidth="1"/>
    <col min="8708" max="8709" width="13.42578125" style="41" customWidth="1"/>
    <col min="8710" max="8710" width="14" style="41" customWidth="1"/>
    <col min="8711" max="8713" width="12.5703125" style="41" customWidth="1"/>
    <col min="8714" max="8715" width="15.7109375" style="41" customWidth="1"/>
    <col min="8716" max="8960" width="9.140625" style="41"/>
    <col min="8961" max="8961" width="8.85546875" style="41" customWidth="1"/>
    <col min="8962" max="8962" width="73" style="41" customWidth="1"/>
    <col min="8963" max="8963" width="12" style="41" customWidth="1"/>
    <col min="8964" max="8965" width="13.42578125" style="41" customWidth="1"/>
    <col min="8966" max="8966" width="14" style="41" customWidth="1"/>
    <col min="8967" max="8969" width="12.5703125" style="41" customWidth="1"/>
    <col min="8970" max="8971" width="15.7109375" style="41" customWidth="1"/>
    <col min="8972" max="9216" width="9.140625" style="41"/>
    <col min="9217" max="9217" width="8.85546875" style="41" customWidth="1"/>
    <col min="9218" max="9218" width="73" style="41" customWidth="1"/>
    <col min="9219" max="9219" width="12" style="41" customWidth="1"/>
    <col min="9220" max="9221" width="13.42578125" style="41" customWidth="1"/>
    <col min="9222" max="9222" width="14" style="41" customWidth="1"/>
    <col min="9223" max="9225" width="12.5703125" style="41" customWidth="1"/>
    <col min="9226" max="9227" width="15.7109375" style="41" customWidth="1"/>
    <col min="9228" max="9472" width="9.140625" style="41"/>
    <col min="9473" max="9473" width="8.85546875" style="41" customWidth="1"/>
    <col min="9474" max="9474" width="73" style="41" customWidth="1"/>
    <col min="9475" max="9475" width="12" style="41" customWidth="1"/>
    <col min="9476" max="9477" width="13.42578125" style="41" customWidth="1"/>
    <col min="9478" max="9478" width="14" style="41" customWidth="1"/>
    <col min="9479" max="9481" width="12.5703125" style="41" customWidth="1"/>
    <col min="9482" max="9483" width="15.7109375" style="41" customWidth="1"/>
    <col min="9484" max="9728" width="9.140625" style="41"/>
    <col min="9729" max="9729" width="8.85546875" style="41" customWidth="1"/>
    <col min="9730" max="9730" width="73" style="41" customWidth="1"/>
    <col min="9731" max="9731" width="12" style="41" customWidth="1"/>
    <col min="9732" max="9733" width="13.42578125" style="41" customWidth="1"/>
    <col min="9734" max="9734" width="14" style="41" customWidth="1"/>
    <col min="9735" max="9737" width="12.5703125" style="41" customWidth="1"/>
    <col min="9738" max="9739" width="15.7109375" style="41" customWidth="1"/>
    <col min="9740" max="9984" width="9.140625" style="41"/>
    <col min="9985" max="9985" width="8.85546875" style="41" customWidth="1"/>
    <col min="9986" max="9986" width="73" style="41" customWidth="1"/>
    <col min="9987" max="9987" width="12" style="41" customWidth="1"/>
    <col min="9988" max="9989" width="13.42578125" style="41" customWidth="1"/>
    <col min="9990" max="9990" width="14" style="41" customWidth="1"/>
    <col min="9991" max="9993" width="12.5703125" style="41" customWidth="1"/>
    <col min="9994" max="9995" width="15.7109375" style="41" customWidth="1"/>
    <col min="9996" max="10240" width="9.140625" style="41"/>
    <col min="10241" max="10241" width="8.85546875" style="41" customWidth="1"/>
    <col min="10242" max="10242" width="73" style="41" customWidth="1"/>
    <col min="10243" max="10243" width="12" style="41" customWidth="1"/>
    <col min="10244" max="10245" width="13.42578125" style="41" customWidth="1"/>
    <col min="10246" max="10246" width="14" style="41" customWidth="1"/>
    <col min="10247" max="10249" width="12.5703125" style="41" customWidth="1"/>
    <col min="10250" max="10251" width="15.7109375" style="41" customWidth="1"/>
    <col min="10252" max="10496" width="9.140625" style="41"/>
    <col min="10497" max="10497" width="8.85546875" style="41" customWidth="1"/>
    <col min="10498" max="10498" width="73" style="41" customWidth="1"/>
    <col min="10499" max="10499" width="12" style="41" customWidth="1"/>
    <col min="10500" max="10501" width="13.42578125" style="41" customWidth="1"/>
    <col min="10502" max="10502" width="14" style="41" customWidth="1"/>
    <col min="10503" max="10505" width="12.5703125" style="41" customWidth="1"/>
    <col min="10506" max="10507" width="15.7109375" style="41" customWidth="1"/>
    <col min="10508" max="10752" width="9.140625" style="41"/>
    <col min="10753" max="10753" width="8.85546875" style="41" customWidth="1"/>
    <col min="10754" max="10754" width="73" style="41" customWidth="1"/>
    <col min="10755" max="10755" width="12" style="41" customWidth="1"/>
    <col min="10756" max="10757" width="13.42578125" style="41" customWidth="1"/>
    <col min="10758" max="10758" width="14" style="41" customWidth="1"/>
    <col min="10759" max="10761" width="12.5703125" style="41" customWidth="1"/>
    <col min="10762" max="10763" width="15.7109375" style="41" customWidth="1"/>
    <col min="10764" max="11008" width="9.140625" style="41"/>
    <col min="11009" max="11009" width="8.85546875" style="41" customWidth="1"/>
    <col min="11010" max="11010" width="73" style="41" customWidth="1"/>
    <col min="11011" max="11011" width="12" style="41" customWidth="1"/>
    <col min="11012" max="11013" width="13.42578125" style="41" customWidth="1"/>
    <col min="11014" max="11014" width="14" style="41" customWidth="1"/>
    <col min="11015" max="11017" width="12.5703125" style="41" customWidth="1"/>
    <col min="11018" max="11019" width="15.7109375" style="41" customWidth="1"/>
    <col min="11020" max="11264" width="9.140625" style="41"/>
    <col min="11265" max="11265" width="8.85546875" style="41" customWidth="1"/>
    <col min="11266" max="11266" width="73" style="41" customWidth="1"/>
    <col min="11267" max="11267" width="12" style="41" customWidth="1"/>
    <col min="11268" max="11269" width="13.42578125" style="41" customWidth="1"/>
    <col min="11270" max="11270" width="14" style="41" customWidth="1"/>
    <col min="11271" max="11273" width="12.5703125" style="41" customWidth="1"/>
    <col min="11274" max="11275" width="15.7109375" style="41" customWidth="1"/>
    <col min="11276" max="11520" width="9.140625" style="41"/>
    <col min="11521" max="11521" width="8.85546875" style="41" customWidth="1"/>
    <col min="11522" max="11522" width="73" style="41" customWidth="1"/>
    <col min="11523" max="11523" width="12" style="41" customWidth="1"/>
    <col min="11524" max="11525" width="13.42578125" style="41" customWidth="1"/>
    <col min="11526" max="11526" width="14" style="41" customWidth="1"/>
    <col min="11527" max="11529" width="12.5703125" style="41" customWidth="1"/>
    <col min="11530" max="11531" width="15.7109375" style="41" customWidth="1"/>
    <col min="11532" max="11776" width="9.140625" style="41"/>
    <col min="11777" max="11777" width="8.85546875" style="41" customWidth="1"/>
    <col min="11778" max="11778" width="73" style="41" customWidth="1"/>
    <col min="11779" max="11779" width="12" style="41" customWidth="1"/>
    <col min="11780" max="11781" width="13.42578125" style="41" customWidth="1"/>
    <col min="11782" max="11782" width="14" style="41" customWidth="1"/>
    <col min="11783" max="11785" width="12.5703125" style="41" customWidth="1"/>
    <col min="11786" max="11787" width="15.7109375" style="41" customWidth="1"/>
    <col min="11788" max="12032" width="9.140625" style="41"/>
    <col min="12033" max="12033" width="8.85546875" style="41" customWidth="1"/>
    <col min="12034" max="12034" width="73" style="41" customWidth="1"/>
    <col min="12035" max="12035" width="12" style="41" customWidth="1"/>
    <col min="12036" max="12037" width="13.42578125" style="41" customWidth="1"/>
    <col min="12038" max="12038" width="14" style="41" customWidth="1"/>
    <col min="12039" max="12041" width="12.5703125" style="41" customWidth="1"/>
    <col min="12042" max="12043" width="15.7109375" style="41" customWidth="1"/>
    <col min="12044" max="12288" width="9.140625" style="41"/>
    <col min="12289" max="12289" width="8.85546875" style="41" customWidth="1"/>
    <col min="12290" max="12290" width="73" style="41" customWidth="1"/>
    <col min="12291" max="12291" width="12" style="41" customWidth="1"/>
    <col min="12292" max="12293" width="13.42578125" style="41" customWidth="1"/>
    <col min="12294" max="12294" width="14" style="41" customWidth="1"/>
    <col min="12295" max="12297" width="12.5703125" style="41" customWidth="1"/>
    <col min="12298" max="12299" width="15.7109375" style="41" customWidth="1"/>
    <col min="12300" max="12544" width="9.140625" style="41"/>
    <col min="12545" max="12545" width="8.85546875" style="41" customWidth="1"/>
    <col min="12546" max="12546" width="73" style="41" customWidth="1"/>
    <col min="12547" max="12547" width="12" style="41" customWidth="1"/>
    <col min="12548" max="12549" width="13.42578125" style="41" customWidth="1"/>
    <col min="12550" max="12550" width="14" style="41" customWidth="1"/>
    <col min="12551" max="12553" width="12.5703125" style="41" customWidth="1"/>
    <col min="12554" max="12555" width="15.7109375" style="41" customWidth="1"/>
    <col min="12556" max="12800" width="9.140625" style="41"/>
    <col min="12801" max="12801" width="8.85546875" style="41" customWidth="1"/>
    <col min="12802" max="12802" width="73" style="41" customWidth="1"/>
    <col min="12803" max="12803" width="12" style="41" customWidth="1"/>
    <col min="12804" max="12805" width="13.42578125" style="41" customWidth="1"/>
    <col min="12806" max="12806" width="14" style="41" customWidth="1"/>
    <col min="12807" max="12809" width="12.5703125" style="41" customWidth="1"/>
    <col min="12810" max="12811" width="15.7109375" style="41" customWidth="1"/>
    <col min="12812" max="13056" width="9.140625" style="41"/>
    <col min="13057" max="13057" width="8.85546875" style="41" customWidth="1"/>
    <col min="13058" max="13058" width="73" style="41" customWidth="1"/>
    <col min="13059" max="13059" width="12" style="41" customWidth="1"/>
    <col min="13060" max="13061" width="13.42578125" style="41" customWidth="1"/>
    <col min="13062" max="13062" width="14" style="41" customWidth="1"/>
    <col min="13063" max="13065" width="12.5703125" style="41" customWidth="1"/>
    <col min="13066" max="13067" width="15.7109375" style="41" customWidth="1"/>
    <col min="13068" max="13312" width="9.140625" style="41"/>
    <col min="13313" max="13313" width="8.85546875" style="41" customWidth="1"/>
    <col min="13314" max="13314" width="73" style="41" customWidth="1"/>
    <col min="13315" max="13315" width="12" style="41" customWidth="1"/>
    <col min="13316" max="13317" width="13.42578125" style="41" customWidth="1"/>
    <col min="13318" max="13318" width="14" style="41" customWidth="1"/>
    <col min="13319" max="13321" width="12.5703125" style="41" customWidth="1"/>
    <col min="13322" max="13323" width="15.7109375" style="41" customWidth="1"/>
    <col min="13324" max="13568" width="9.140625" style="41"/>
    <col min="13569" max="13569" width="8.85546875" style="41" customWidth="1"/>
    <col min="13570" max="13570" width="73" style="41" customWidth="1"/>
    <col min="13571" max="13571" width="12" style="41" customWidth="1"/>
    <col min="13572" max="13573" width="13.42578125" style="41" customWidth="1"/>
    <col min="13574" max="13574" width="14" style="41" customWidth="1"/>
    <col min="13575" max="13577" width="12.5703125" style="41" customWidth="1"/>
    <col min="13578" max="13579" width="15.7109375" style="41" customWidth="1"/>
    <col min="13580" max="13824" width="9.140625" style="41"/>
    <col min="13825" max="13825" width="8.85546875" style="41" customWidth="1"/>
    <col min="13826" max="13826" width="73" style="41" customWidth="1"/>
    <col min="13827" max="13827" width="12" style="41" customWidth="1"/>
    <col min="13828" max="13829" width="13.42578125" style="41" customWidth="1"/>
    <col min="13830" max="13830" width="14" style="41" customWidth="1"/>
    <col min="13831" max="13833" width="12.5703125" style="41" customWidth="1"/>
    <col min="13834" max="13835" width="15.7109375" style="41" customWidth="1"/>
    <col min="13836" max="14080" width="9.140625" style="41"/>
    <col min="14081" max="14081" width="8.85546875" style="41" customWidth="1"/>
    <col min="14082" max="14082" width="73" style="41" customWidth="1"/>
    <col min="14083" max="14083" width="12" style="41" customWidth="1"/>
    <col min="14084" max="14085" width="13.42578125" style="41" customWidth="1"/>
    <col min="14086" max="14086" width="14" style="41" customWidth="1"/>
    <col min="14087" max="14089" width="12.5703125" style="41" customWidth="1"/>
    <col min="14090" max="14091" width="15.7109375" style="41" customWidth="1"/>
    <col min="14092" max="14336" width="9.140625" style="41"/>
    <col min="14337" max="14337" width="8.85546875" style="41" customWidth="1"/>
    <col min="14338" max="14338" width="73" style="41" customWidth="1"/>
    <col min="14339" max="14339" width="12" style="41" customWidth="1"/>
    <col min="14340" max="14341" width="13.42578125" style="41" customWidth="1"/>
    <col min="14342" max="14342" width="14" style="41" customWidth="1"/>
    <col min="14343" max="14345" width="12.5703125" style="41" customWidth="1"/>
    <col min="14346" max="14347" width="15.7109375" style="41" customWidth="1"/>
    <col min="14348" max="14592" width="9.140625" style="41"/>
    <col min="14593" max="14593" width="8.85546875" style="41" customWidth="1"/>
    <col min="14594" max="14594" width="73" style="41" customWidth="1"/>
    <col min="14595" max="14595" width="12" style="41" customWidth="1"/>
    <col min="14596" max="14597" width="13.42578125" style="41" customWidth="1"/>
    <col min="14598" max="14598" width="14" style="41" customWidth="1"/>
    <col min="14599" max="14601" width="12.5703125" style="41" customWidth="1"/>
    <col min="14602" max="14603" width="15.7109375" style="41" customWidth="1"/>
    <col min="14604" max="14848" width="9.140625" style="41"/>
    <col min="14849" max="14849" width="8.85546875" style="41" customWidth="1"/>
    <col min="14850" max="14850" width="73" style="41" customWidth="1"/>
    <col min="14851" max="14851" width="12" style="41" customWidth="1"/>
    <col min="14852" max="14853" width="13.42578125" style="41" customWidth="1"/>
    <col min="14854" max="14854" width="14" style="41" customWidth="1"/>
    <col min="14855" max="14857" width="12.5703125" style="41" customWidth="1"/>
    <col min="14858" max="14859" width="15.7109375" style="41" customWidth="1"/>
    <col min="14860" max="15104" width="9.140625" style="41"/>
    <col min="15105" max="15105" width="8.85546875" style="41" customWidth="1"/>
    <col min="15106" max="15106" width="73" style="41" customWidth="1"/>
    <col min="15107" max="15107" width="12" style="41" customWidth="1"/>
    <col min="15108" max="15109" width="13.42578125" style="41" customWidth="1"/>
    <col min="15110" max="15110" width="14" style="41" customWidth="1"/>
    <col min="15111" max="15113" width="12.5703125" style="41" customWidth="1"/>
    <col min="15114" max="15115" width="15.7109375" style="41" customWidth="1"/>
    <col min="15116" max="15360" width="9.140625" style="41"/>
    <col min="15361" max="15361" width="8.85546875" style="41" customWidth="1"/>
    <col min="15362" max="15362" width="73" style="41" customWidth="1"/>
    <col min="15363" max="15363" width="12" style="41" customWidth="1"/>
    <col min="15364" max="15365" width="13.42578125" style="41" customWidth="1"/>
    <col min="15366" max="15366" width="14" style="41" customWidth="1"/>
    <col min="15367" max="15369" width="12.5703125" style="41" customWidth="1"/>
    <col min="15370" max="15371" width="15.7109375" style="41" customWidth="1"/>
    <col min="15372" max="15616" width="9.140625" style="41"/>
    <col min="15617" max="15617" width="8.85546875" style="41" customWidth="1"/>
    <col min="15618" max="15618" width="73" style="41" customWidth="1"/>
    <col min="15619" max="15619" width="12" style="41" customWidth="1"/>
    <col min="15620" max="15621" width="13.42578125" style="41" customWidth="1"/>
    <col min="15622" max="15622" width="14" style="41" customWidth="1"/>
    <col min="15623" max="15625" width="12.5703125" style="41" customWidth="1"/>
    <col min="15626" max="15627" width="15.7109375" style="41" customWidth="1"/>
    <col min="15628" max="15872" width="9.140625" style="41"/>
    <col min="15873" max="15873" width="8.85546875" style="41" customWidth="1"/>
    <col min="15874" max="15874" width="73" style="41" customWidth="1"/>
    <col min="15875" max="15875" width="12" style="41" customWidth="1"/>
    <col min="15876" max="15877" width="13.42578125" style="41" customWidth="1"/>
    <col min="15878" max="15878" width="14" style="41" customWidth="1"/>
    <col min="15879" max="15881" width="12.5703125" style="41" customWidth="1"/>
    <col min="15882" max="15883" width="15.7109375" style="41" customWidth="1"/>
    <col min="15884" max="16128" width="9.140625" style="41"/>
    <col min="16129" max="16129" width="8.85546875" style="41" customWidth="1"/>
    <col min="16130" max="16130" width="73" style="41" customWidth="1"/>
    <col min="16131" max="16131" width="12" style="41" customWidth="1"/>
    <col min="16132" max="16133" width="13.42578125" style="41" customWidth="1"/>
    <col min="16134" max="16134" width="14" style="41" customWidth="1"/>
    <col min="16135" max="16137" width="12.5703125" style="41" customWidth="1"/>
    <col min="16138" max="16139" width="15.7109375" style="41" customWidth="1"/>
    <col min="16140" max="16384" width="9.140625" style="41"/>
  </cols>
  <sheetData>
    <row r="1" spans="1:11" s="38" customFormat="1" ht="15" customHeight="1">
      <c r="F1" s="251"/>
      <c r="G1" s="251"/>
      <c r="H1" s="251"/>
      <c r="I1" s="251"/>
      <c r="J1" s="251"/>
      <c r="K1" s="251"/>
    </row>
    <row r="2" spans="1:11" s="38" customFormat="1" ht="15" customHeight="1">
      <c r="F2" s="252"/>
      <c r="G2" s="252"/>
      <c r="H2" s="252"/>
      <c r="I2" s="252"/>
      <c r="J2" s="252"/>
      <c r="K2" s="252"/>
    </row>
    <row r="3" spans="1:11" s="38" customFormat="1" ht="20.25">
      <c r="B3" s="253" t="s">
        <v>240</v>
      </c>
      <c r="C3" s="253"/>
      <c r="D3" s="253"/>
      <c r="E3" s="253"/>
      <c r="F3" s="253"/>
      <c r="G3" s="253"/>
      <c r="H3" s="253"/>
      <c r="I3" s="253"/>
      <c r="J3" s="253"/>
      <c r="K3" s="183"/>
    </row>
    <row r="4" spans="1:11" s="38" customFormat="1" ht="19.5" customHeight="1">
      <c r="B4" s="254" t="s">
        <v>241</v>
      </c>
      <c r="C4" s="254"/>
      <c r="D4" s="254"/>
      <c r="E4" s="254"/>
      <c r="F4" s="254"/>
      <c r="G4" s="254"/>
      <c r="H4" s="254"/>
      <c r="I4" s="254"/>
      <c r="J4" s="254"/>
      <c r="K4" s="184"/>
    </row>
    <row r="6" spans="1:11" ht="60">
      <c r="A6" s="39"/>
      <c r="B6" s="40" t="s">
        <v>130</v>
      </c>
      <c r="C6" s="40" t="s">
        <v>242</v>
      </c>
      <c r="D6" s="40" t="s">
        <v>243</v>
      </c>
      <c r="E6" s="40" t="s">
        <v>1797</v>
      </c>
      <c r="F6" s="40" t="s">
        <v>244</v>
      </c>
      <c r="G6" s="40" t="s">
        <v>245</v>
      </c>
      <c r="H6" s="40" t="s">
        <v>528</v>
      </c>
      <c r="I6" s="40" t="s">
        <v>246</v>
      </c>
      <c r="J6" s="40" t="s">
        <v>529</v>
      </c>
      <c r="K6" s="40" t="s">
        <v>247</v>
      </c>
    </row>
    <row r="7" spans="1:11" s="38" customFormat="1" ht="19.5" customHeight="1">
      <c r="A7" s="42" t="s">
        <v>248</v>
      </c>
      <c r="B7" s="43" t="s">
        <v>249</v>
      </c>
      <c r="C7" s="44"/>
      <c r="D7" s="45">
        <f>(((65540.4/1800)/60)*5)</f>
        <v>3.0342777777777776</v>
      </c>
      <c r="E7" s="45">
        <f>D7*22%</f>
        <v>0.66754111111111103</v>
      </c>
      <c r="F7" s="45">
        <v>3.47</v>
      </c>
      <c r="G7" s="45">
        <f>C8*0.1</f>
        <v>0.5</v>
      </c>
      <c r="H7" s="45">
        <f>D7*0.34</f>
        <v>1.0316544444444444</v>
      </c>
      <c r="I7" s="45">
        <f>H7+G7+F7+E7+D7</f>
        <v>8.7034733333333332</v>
      </c>
      <c r="J7" s="46">
        <f>I7*35%</f>
        <v>3.0462156666666664</v>
      </c>
      <c r="K7" s="47">
        <v>12</v>
      </c>
    </row>
    <row r="8" spans="1:11" s="38" customFormat="1" ht="15" customHeight="1">
      <c r="A8" s="48"/>
      <c r="B8" s="44" t="s">
        <v>250</v>
      </c>
      <c r="C8" s="44">
        <v>5</v>
      </c>
      <c r="D8" s="45"/>
      <c r="E8" s="45"/>
      <c r="F8" s="49"/>
      <c r="G8" s="45"/>
      <c r="H8" s="45"/>
      <c r="I8" s="45">
        <f t="shared" ref="I8:I70" si="0">H8+G8+F8+E8+D8</f>
        <v>0</v>
      </c>
      <c r="J8" s="46">
        <f t="shared" ref="J8:J70" si="1">I8*35%</f>
        <v>0</v>
      </c>
      <c r="K8" s="47">
        <f t="shared" ref="K8:K70" si="2">I8+J8</f>
        <v>0</v>
      </c>
    </row>
    <row r="9" spans="1:11" s="38" customFormat="1" ht="18.75" customHeight="1">
      <c r="A9" s="42" t="s">
        <v>251</v>
      </c>
      <c r="B9" s="50" t="s">
        <v>252</v>
      </c>
      <c r="C9" s="44"/>
      <c r="D9" s="51"/>
      <c r="E9" s="51"/>
      <c r="F9" s="51"/>
      <c r="G9" s="51"/>
      <c r="H9" s="51"/>
      <c r="I9" s="51">
        <f>SUM(I10:I26)</f>
        <v>45.53890213333333</v>
      </c>
      <c r="J9" s="46"/>
      <c r="K9" s="47">
        <f>SUM(K10:K26)</f>
        <v>62</v>
      </c>
    </row>
    <row r="10" spans="1:11" s="38" customFormat="1" ht="15" customHeight="1">
      <c r="A10" s="48"/>
      <c r="B10" s="52" t="s">
        <v>253</v>
      </c>
      <c r="C10" s="44"/>
      <c r="D10" s="45">
        <f>((65540.4/1800)/60)*3</f>
        <v>1.8205666666666664</v>
      </c>
      <c r="E10" s="45">
        <f>D10*22%</f>
        <v>0.40052466666666664</v>
      </c>
      <c r="F10" s="49">
        <v>1.89</v>
      </c>
      <c r="G10" s="45">
        <f>C11*0.1</f>
        <v>0.30000000000000004</v>
      </c>
      <c r="H10" s="45">
        <f>D10*0.34</f>
        <v>0.61899266666666664</v>
      </c>
      <c r="I10" s="45">
        <f t="shared" si="0"/>
        <v>5.0300839999999996</v>
      </c>
      <c r="J10" s="46">
        <f t="shared" si="1"/>
        <v>1.7605293999999998</v>
      </c>
      <c r="K10" s="53">
        <v>7</v>
      </c>
    </row>
    <row r="11" spans="1:11" s="38" customFormat="1" ht="15" customHeight="1">
      <c r="A11" s="48"/>
      <c r="B11" s="44" t="s">
        <v>250</v>
      </c>
      <c r="C11" s="44">
        <v>3</v>
      </c>
      <c r="D11" s="45"/>
      <c r="E11" s="45"/>
      <c r="F11" s="49"/>
      <c r="G11" s="45"/>
      <c r="H11" s="45"/>
      <c r="I11" s="45">
        <f t="shared" si="0"/>
        <v>0</v>
      </c>
      <c r="J11" s="46">
        <f t="shared" si="1"/>
        <v>0</v>
      </c>
      <c r="K11" s="53">
        <f t="shared" si="2"/>
        <v>0</v>
      </c>
    </row>
    <row r="12" spans="1:11" s="38" customFormat="1" ht="15" customHeight="1">
      <c r="A12" s="48"/>
      <c r="B12" s="52" t="s">
        <v>254</v>
      </c>
      <c r="C12" s="44"/>
      <c r="D12" s="45">
        <f>((65540.4/1800)/60)*2</f>
        <v>1.213711111111111</v>
      </c>
      <c r="E12" s="45">
        <f>D12*22%</f>
        <v>0.26701644444444439</v>
      </c>
      <c r="F12" s="49">
        <v>0.48</v>
      </c>
      <c r="G12" s="45">
        <f>C13*0.1</f>
        <v>0.2</v>
      </c>
      <c r="H12" s="45">
        <f>D12*0.34</f>
        <v>0.41266177777777774</v>
      </c>
      <c r="I12" s="45">
        <f t="shared" si="0"/>
        <v>2.5733893333333331</v>
      </c>
      <c r="J12" s="46">
        <f t="shared" si="1"/>
        <v>0.90068626666666651</v>
      </c>
      <c r="K12" s="53">
        <v>3</v>
      </c>
    </row>
    <row r="13" spans="1:11" s="38" customFormat="1" ht="15" customHeight="1">
      <c r="A13" s="48"/>
      <c r="B13" s="44" t="s">
        <v>250</v>
      </c>
      <c r="C13" s="44">
        <v>2</v>
      </c>
      <c r="D13" s="45"/>
      <c r="E13" s="45"/>
      <c r="F13" s="49"/>
      <c r="G13" s="45"/>
      <c r="H13" s="45"/>
      <c r="I13" s="45">
        <f t="shared" si="0"/>
        <v>0</v>
      </c>
      <c r="J13" s="46">
        <f t="shared" si="1"/>
        <v>0</v>
      </c>
      <c r="K13" s="53">
        <f t="shared" si="2"/>
        <v>0</v>
      </c>
    </row>
    <row r="14" spans="1:11" s="38" customFormat="1" ht="15" customHeight="1">
      <c r="A14" s="48"/>
      <c r="B14" s="52" t="s">
        <v>255</v>
      </c>
      <c r="C14" s="44"/>
      <c r="D14" s="45">
        <f>((65540.4/1800)/60)*2</f>
        <v>1.213711111111111</v>
      </c>
      <c r="E14" s="45">
        <f>D14*22%</f>
        <v>0.26701644444444439</v>
      </c>
      <c r="F14" s="49">
        <v>0.11</v>
      </c>
      <c r="G14" s="45">
        <f>C15*0.1</f>
        <v>0.2</v>
      </c>
      <c r="H14" s="45">
        <f>D14*0.34</f>
        <v>0.41266177777777774</v>
      </c>
      <c r="I14" s="45">
        <f t="shared" si="0"/>
        <v>2.203389333333333</v>
      </c>
      <c r="J14" s="46">
        <f t="shared" si="1"/>
        <v>0.77118626666666645</v>
      </c>
      <c r="K14" s="53">
        <v>3</v>
      </c>
    </row>
    <row r="15" spans="1:11" s="38" customFormat="1" ht="15" customHeight="1">
      <c r="A15" s="48"/>
      <c r="B15" s="44" t="s">
        <v>250</v>
      </c>
      <c r="C15" s="44">
        <v>2</v>
      </c>
      <c r="D15" s="45"/>
      <c r="E15" s="45"/>
      <c r="F15" s="49"/>
      <c r="G15" s="45">
        <f>C16*0.1</f>
        <v>0</v>
      </c>
      <c r="H15" s="45"/>
      <c r="I15" s="45">
        <f t="shared" si="0"/>
        <v>0</v>
      </c>
      <c r="J15" s="46">
        <f t="shared" si="1"/>
        <v>0</v>
      </c>
      <c r="K15" s="53">
        <f t="shared" si="2"/>
        <v>0</v>
      </c>
    </row>
    <row r="16" spans="1:11" s="38" customFormat="1" ht="15" customHeight="1">
      <c r="A16" s="48"/>
      <c r="B16" s="52" t="s">
        <v>256</v>
      </c>
      <c r="C16" s="44"/>
      <c r="D16" s="45">
        <f>((65540.4/1800)/60)*5</f>
        <v>3.0342777777777776</v>
      </c>
      <c r="E16" s="45">
        <f>D16*22%</f>
        <v>0.66754111111111103</v>
      </c>
      <c r="F16" s="49">
        <v>0.57999999999999996</v>
      </c>
      <c r="G16" s="45">
        <f>C17*0.1</f>
        <v>0.5</v>
      </c>
      <c r="H16" s="45">
        <f>D16*0.34</f>
        <v>1.0316544444444444</v>
      </c>
      <c r="I16" s="45">
        <f t="shared" si="0"/>
        <v>5.8134733333333326</v>
      </c>
      <c r="J16" s="46">
        <f t="shared" si="1"/>
        <v>2.0347156666666661</v>
      </c>
      <c r="K16" s="53">
        <v>8</v>
      </c>
    </row>
    <row r="17" spans="1:11" s="38" customFormat="1" ht="15" customHeight="1">
      <c r="A17" s="48"/>
      <c r="B17" s="44" t="s">
        <v>250</v>
      </c>
      <c r="C17" s="44">
        <v>5</v>
      </c>
      <c r="D17" s="45"/>
      <c r="E17" s="45"/>
      <c r="F17" s="49"/>
      <c r="G17" s="45">
        <f>C18*0.1</f>
        <v>0</v>
      </c>
      <c r="H17" s="45"/>
      <c r="I17" s="45">
        <f t="shared" si="0"/>
        <v>0</v>
      </c>
      <c r="J17" s="46">
        <f t="shared" si="1"/>
        <v>0</v>
      </c>
      <c r="K17" s="53">
        <f t="shared" si="2"/>
        <v>0</v>
      </c>
    </row>
    <row r="18" spans="1:11" s="38" customFormat="1" ht="15" customHeight="1">
      <c r="A18" s="48"/>
      <c r="B18" s="54" t="s">
        <v>257</v>
      </c>
      <c r="C18" s="44"/>
      <c r="D18" s="45">
        <f>((84425.64/1800)/60)*6+((65540.4/1800)/60)*5</f>
        <v>7.7245911111111116</v>
      </c>
      <c r="E18" s="45">
        <f>D18*22%</f>
        <v>1.6994100444444447</v>
      </c>
      <c r="F18" s="49">
        <v>1.24</v>
      </c>
      <c r="G18" s="45">
        <f>C19*0.1</f>
        <v>0.60000000000000009</v>
      </c>
      <c r="H18" s="45">
        <f>D18*0.34</f>
        <v>2.6263609777777783</v>
      </c>
      <c r="I18" s="45">
        <f t="shared" si="0"/>
        <v>13.890362133333335</v>
      </c>
      <c r="J18" s="46">
        <f t="shared" si="1"/>
        <v>4.8616267466666674</v>
      </c>
      <c r="K18" s="53">
        <v>19</v>
      </c>
    </row>
    <row r="19" spans="1:11" s="38" customFormat="1" ht="15" customHeight="1">
      <c r="A19" s="48"/>
      <c r="B19" s="44" t="s">
        <v>258</v>
      </c>
      <c r="C19" s="44">
        <v>6</v>
      </c>
      <c r="D19" s="45"/>
      <c r="E19" s="45"/>
      <c r="F19" s="55"/>
      <c r="G19" s="56"/>
      <c r="H19" s="45"/>
      <c r="I19" s="45">
        <f t="shared" si="0"/>
        <v>0</v>
      </c>
      <c r="J19" s="46">
        <f t="shared" si="1"/>
        <v>0</v>
      </c>
      <c r="K19" s="53">
        <f t="shared" si="2"/>
        <v>0</v>
      </c>
    </row>
    <row r="20" spans="1:11" s="38" customFormat="1" ht="15" customHeight="1">
      <c r="A20" s="48"/>
      <c r="B20" s="44" t="s">
        <v>250</v>
      </c>
      <c r="C20" s="44">
        <v>5</v>
      </c>
      <c r="D20" s="45"/>
      <c r="E20" s="45"/>
      <c r="F20" s="55"/>
      <c r="G20" s="56"/>
      <c r="H20" s="45"/>
      <c r="I20" s="45">
        <f t="shared" si="0"/>
        <v>0</v>
      </c>
      <c r="J20" s="46">
        <f t="shared" si="1"/>
        <v>0</v>
      </c>
      <c r="K20" s="53">
        <f t="shared" si="2"/>
        <v>0</v>
      </c>
    </row>
    <row r="21" spans="1:11" s="38" customFormat="1" ht="15" customHeight="1">
      <c r="A21" s="48"/>
      <c r="B21" s="52" t="s">
        <v>259</v>
      </c>
      <c r="C21" s="44"/>
      <c r="D21" s="45">
        <f>((84425.64/1800)/60)*5</f>
        <v>3.9085944444444447</v>
      </c>
      <c r="E21" s="45">
        <f>D21*22%</f>
        <v>0.85989077777777789</v>
      </c>
      <c r="F21" s="49">
        <v>0.13</v>
      </c>
      <c r="G21" s="45">
        <f>C22*0.1</f>
        <v>0.5</v>
      </c>
      <c r="H21" s="45">
        <f>D21*0.34</f>
        <v>1.3289221111111114</v>
      </c>
      <c r="I21" s="45">
        <f t="shared" si="0"/>
        <v>6.7274073333333337</v>
      </c>
      <c r="J21" s="46">
        <f t="shared" si="1"/>
        <v>2.3545925666666667</v>
      </c>
      <c r="K21" s="53">
        <v>9</v>
      </c>
    </row>
    <row r="22" spans="1:11" s="38" customFormat="1" ht="15" customHeight="1">
      <c r="A22" s="48"/>
      <c r="B22" s="44" t="s">
        <v>258</v>
      </c>
      <c r="C22" s="44">
        <v>5</v>
      </c>
      <c r="D22" s="45"/>
      <c r="E22" s="45"/>
      <c r="F22" s="49"/>
      <c r="G22" s="45"/>
      <c r="H22" s="45"/>
      <c r="I22" s="45">
        <f t="shared" si="0"/>
        <v>0</v>
      </c>
      <c r="J22" s="46">
        <f t="shared" si="1"/>
        <v>0</v>
      </c>
      <c r="K22" s="53">
        <f t="shared" si="2"/>
        <v>0</v>
      </c>
    </row>
    <row r="23" spans="1:11" s="38" customFormat="1" ht="15" customHeight="1">
      <c r="A23" s="48"/>
      <c r="B23" s="52" t="s">
        <v>260</v>
      </c>
      <c r="C23" s="44"/>
      <c r="D23" s="45">
        <f>((84425.64/1800)/60)*5</f>
        <v>3.9085944444444447</v>
      </c>
      <c r="E23" s="45">
        <f>D23*22%</f>
        <v>0.85989077777777789</v>
      </c>
      <c r="F23" s="49">
        <v>0.6</v>
      </c>
      <c r="G23" s="45">
        <f>C24*0.1</f>
        <v>0.5</v>
      </c>
      <c r="H23" s="45">
        <f>D23*0.34</f>
        <v>1.3289221111111114</v>
      </c>
      <c r="I23" s="45">
        <f t="shared" si="0"/>
        <v>7.1974073333333344</v>
      </c>
      <c r="J23" s="46">
        <f t="shared" si="1"/>
        <v>2.519092566666667</v>
      </c>
      <c r="K23" s="53">
        <v>10</v>
      </c>
    </row>
    <row r="24" spans="1:11" s="38" customFormat="1" ht="15" customHeight="1">
      <c r="A24" s="48"/>
      <c r="B24" s="44" t="s">
        <v>258</v>
      </c>
      <c r="C24" s="44">
        <v>5</v>
      </c>
      <c r="D24" s="45"/>
      <c r="E24" s="45"/>
      <c r="F24" s="49"/>
      <c r="G24" s="45"/>
      <c r="H24" s="45"/>
      <c r="I24" s="45">
        <f t="shared" si="0"/>
        <v>0</v>
      </c>
      <c r="J24" s="46">
        <f t="shared" si="1"/>
        <v>0</v>
      </c>
      <c r="K24" s="53">
        <f t="shared" si="2"/>
        <v>0</v>
      </c>
    </row>
    <row r="25" spans="1:11" s="38" customFormat="1" ht="15" customHeight="1">
      <c r="A25" s="48"/>
      <c r="B25" s="52" t="s">
        <v>261</v>
      </c>
      <c r="C25" s="44"/>
      <c r="D25" s="45">
        <f>((65540.4/1800)/60)*2</f>
        <v>1.213711111111111</v>
      </c>
      <c r="E25" s="45">
        <f>D25*22%</f>
        <v>0.26701644444444439</v>
      </c>
      <c r="F25" s="49">
        <v>0.01</v>
      </c>
      <c r="G25" s="45">
        <f>C26*0.1</f>
        <v>0.2</v>
      </c>
      <c r="H25" s="45">
        <f>D25*0.34</f>
        <v>0.41266177777777774</v>
      </c>
      <c r="I25" s="45">
        <f t="shared" si="0"/>
        <v>2.1033893333333333</v>
      </c>
      <c r="J25" s="46">
        <f t="shared" si="1"/>
        <v>0.73618626666666664</v>
      </c>
      <c r="K25" s="53">
        <v>3</v>
      </c>
    </row>
    <row r="26" spans="1:11" s="38" customFormat="1" ht="15" customHeight="1">
      <c r="A26" s="48"/>
      <c r="B26" s="44" t="s">
        <v>250</v>
      </c>
      <c r="C26" s="44">
        <v>2</v>
      </c>
      <c r="D26" s="45"/>
      <c r="E26" s="45"/>
      <c r="F26" s="49"/>
      <c r="G26" s="45"/>
      <c r="H26" s="45"/>
      <c r="I26" s="45">
        <f t="shared" si="0"/>
        <v>0</v>
      </c>
      <c r="J26" s="46">
        <f t="shared" si="1"/>
        <v>0</v>
      </c>
      <c r="K26" s="53">
        <f t="shared" si="2"/>
        <v>0</v>
      </c>
    </row>
    <row r="27" spans="1:11" s="38" customFormat="1" ht="21" customHeight="1">
      <c r="A27" s="42" t="s">
        <v>262</v>
      </c>
      <c r="B27" s="50" t="s">
        <v>263</v>
      </c>
      <c r="C27" s="44"/>
      <c r="D27" s="45"/>
      <c r="E27" s="45"/>
      <c r="F27" s="49"/>
      <c r="G27" s="45"/>
      <c r="H27" s="45">
        <f>D27*0.34</f>
        <v>0</v>
      </c>
      <c r="I27" s="51">
        <f>SUM(I28:I44)</f>
        <v>33.864773999999997</v>
      </c>
      <c r="J27" s="46"/>
      <c r="K27" s="47">
        <f>SUM(K28:K44)</f>
        <v>47</v>
      </c>
    </row>
    <row r="28" spans="1:11" s="38" customFormat="1" ht="15" customHeight="1">
      <c r="A28" s="48"/>
      <c r="B28" s="52" t="s">
        <v>264</v>
      </c>
      <c r="C28" s="44"/>
      <c r="D28" s="45">
        <f>((65540.4/1800)/60)*5</f>
        <v>3.0342777777777776</v>
      </c>
      <c r="E28" s="45">
        <f>D28*22%</f>
        <v>0.66754111111111103</v>
      </c>
      <c r="F28" s="57"/>
      <c r="G28" s="45">
        <f>C29*0.1</f>
        <v>0.5</v>
      </c>
      <c r="H28" s="45">
        <f>D28*0.34</f>
        <v>1.0316544444444444</v>
      </c>
      <c r="I28" s="45">
        <f t="shared" si="0"/>
        <v>5.2334733333333325</v>
      </c>
      <c r="J28" s="46">
        <f t="shared" si="1"/>
        <v>1.8317156666666663</v>
      </c>
      <c r="K28" s="53">
        <v>7</v>
      </c>
    </row>
    <row r="29" spans="1:11" s="38" customFormat="1" ht="15" customHeight="1">
      <c r="A29" s="48"/>
      <c r="B29" s="44" t="s">
        <v>250</v>
      </c>
      <c r="C29" s="44">
        <v>5</v>
      </c>
      <c r="D29" s="45"/>
      <c r="E29" s="45"/>
      <c r="F29" s="49"/>
      <c r="G29" s="45"/>
      <c r="H29" s="45"/>
      <c r="I29" s="45">
        <f t="shared" si="0"/>
        <v>0</v>
      </c>
      <c r="J29" s="46">
        <f t="shared" si="1"/>
        <v>0</v>
      </c>
      <c r="K29" s="53">
        <f t="shared" si="2"/>
        <v>0</v>
      </c>
    </row>
    <row r="30" spans="1:11" s="38" customFormat="1" ht="15" customHeight="1">
      <c r="A30" s="48"/>
      <c r="B30" s="52" t="s">
        <v>265</v>
      </c>
      <c r="C30" s="44"/>
      <c r="D30" s="45">
        <f>((65540.4/1800)/60)*3</f>
        <v>1.8205666666666664</v>
      </c>
      <c r="E30" s="45">
        <f>D30*22%</f>
        <v>0.40052466666666664</v>
      </c>
      <c r="F30" s="49">
        <v>0.13</v>
      </c>
      <c r="G30" s="45"/>
      <c r="H30" s="45">
        <f>D30*0.34</f>
        <v>0.61899266666666664</v>
      </c>
      <c r="I30" s="45">
        <f t="shared" si="0"/>
        <v>2.9700839999999999</v>
      </c>
      <c r="J30" s="46">
        <f t="shared" si="1"/>
        <v>1.0395293999999999</v>
      </c>
      <c r="K30" s="53">
        <v>4</v>
      </c>
    </row>
    <row r="31" spans="1:11" s="38" customFormat="1" ht="15" customHeight="1">
      <c r="A31" s="48"/>
      <c r="B31" s="44" t="s">
        <v>250</v>
      </c>
      <c r="C31" s="44">
        <v>3</v>
      </c>
      <c r="D31" s="45"/>
      <c r="E31" s="45"/>
      <c r="F31" s="49"/>
      <c r="G31" s="45"/>
      <c r="H31" s="45"/>
      <c r="I31" s="45">
        <f t="shared" si="0"/>
        <v>0</v>
      </c>
      <c r="J31" s="46">
        <f t="shared" si="1"/>
        <v>0</v>
      </c>
      <c r="K31" s="53">
        <f t="shared" si="2"/>
        <v>0</v>
      </c>
    </row>
    <row r="32" spans="1:11" s="38" customFormat="1" ht="15" customHeight="1">
      <c r="A32" s="48"/>
      <c r="B32" s="52" t="s">
        <v>266</v>
      </c>
      <c r="C32" s="44"/>
      <c r="D32" s="45">
        <f>((65540.4/1800)/60)*3</f>
        <v>1.8205666666666664</v>
      </c>
      <c r="E32" s="45">
        <f>D32*22%</f>
        <v>0.40052466666666664</v>
      </c>
      <c r="F32" s="49">
        <v>0.06</v>
      </c>
      <c r="G32" s="45"/>
      <c r="H32" s="45">
        <f>D32*0.34</f>
        <v>0.61899266666666664</v>
      </c>
      <c r="I32" s="45">
        <f t="shared" si="0"/>
        <v>2.9000839999999997</v>
      </c>
      <c r="J32" s="46">
        <f t="shared" si="1"/>
        <v>1.0150293999999997</v>
      </c>
      <c r="K32" s="53">
        <v>4</v>
      </c>
    </row>
    <row r="33" spans="1:11" s="38" customFormat="1" ht="15" customHeight="1">
      <c r="A33" s="48"/>
      <c r="B33" s="44" t="s">
        <v>250</v>
      </c>
      <c r="C33" s="44">
        <v>3</v>
      </c>
      <c r="D33" s="45"/>
      <c r="E33" s="45"/>
      <c r="F33" s="49"/>
      <c r="G33" s="45"/>
      <c r="H33" s="45"/>
      <c r="I33" s="45">
        <f t="shared" si="0"/>
        <v>0</v>
      </c>
      <c r="J33" s="46">
        <f t="shared" si="1"/>
        <v>0</v>
      </c>
      <c r="K33" s="53">
        <f t="shared" si="2"/>
        <v>0</v>
      </c>
    </row>
    <row r="34" spans="1:11" s="38" customFormat="1" ht="15" customHeight="1">
      <c r="A34" s="48"/>
      <c r="B34" s="52" t="s">
        <v>267</v>
      </c>
      <c r="C34" s="44"/>
      <c r="D34" s="45">
        <f>((65540.4/1800)/60)*2</f>
        <v>1.213711111111111</v>
      </c>
      <c r="E34" s="45">
        <f>D34*22%</f>
        <v>0.26701644444444439</v>
      </c>
      <c r="F34" s="58">
        <v>0.77</v>
      </c>
      <c r="G34" s="45"/>
      <c r="H34" s="45">
        <f>D34*0.34</f>
        <v>0.41266177777777774</v>
      </c>
      <c r="I34" s="45">
        <f t="shared" si="0"/>
        <v>2.6633893333333329</v>
      </c>
      <c r="J34" s="46">
        <f t="shared" si="1"/>
        <v>0.93218626666666649</v>
      </c>
      <c r="K34" s="53">
        <v>4</v>
      </c>
    </row>
    <row r="35" spans="1:11" s="38" customFormat="1" ht="15" customHeight="1">
      <c r="A35" s="48"/>
      <c r="B35" s="44" t="s">
        <v>250</v>
      </c>
      <c r="C35" s="44">
        <v>2</v>
      </c>
      <c r="D35" s="45"/>
      <c r="E35" s="45"/>
      <c r="F35" s="49"/>
      <c r="G35" s="45"/>
      <c r="H35" s="45"/>
      <c r="I35" s="45">
        <f t="shared" si="0"/>
        <v>0</v>
      </c>
      <c r="J35" s="46">
        <f t="shared" si="1"/>
        <v>0</v>
      </c>
      <c r="K35" s="53">
        <f t="shared" si="2"/>
        <v>0</v>
      </c>
    </row>
    <row r="36" spans="1:11" s="38" customFormat="1" ht="15" customHeight="1">
      <c r="A36" s="48"/>
      <c r="B36" s="52" t="s">
        <v>268</v>
      </c>
      <c r="C36" s="44"/>
      <c r="D36" s="45">
        <f>((65540.4/1800)/60)*2</f>
        <v>1.213711111111111</v>
      </c>
      <c r="E36" s="45">
        <f>D36*22%</f>
        <v>0.26701644444444439</v>
      </c>
      <c r="F36" s="49">
        <v>0.96</v>
      </c>
      <c r="G36" s="45"/>
      <c r="H36" s="45">
        <f>D36*0.34</f>
        <v>0.41266177777777774</v>
      </c>
      <c r="I36" s="45">
        <f t="shared" si="0"/>
        <v>2.8533893333333329</v>
      </c>
      <c r="J36" s="46">
        <f t="shared" si="1"/>
        <v>0.99868626666666649</v>
      </c>
      <c r="K36" s="53">
        <v>4</v>
      </c>
    </row>
    <row r="37" spans="1:11" s="38" customFormat="1" ht="15" customHeight="1">
      <c r="A37" s="48"/>
      <c r="B37" s="44" t="s">
        <v>250</v>
      </c>
      <c r="C37" s="44">
        <v>2</v>
      </c>
      <c r="D37" s="45"/>
      <c r="E37" s="45"/>
      <c r="F37" s="49"/>
      <c r="G37" s="45"/>
      <c r="H37" s="45"/>
      <c r="I37" s="45">
        <f t="shared" si="0"/>
        <v>0</v>
      </c>
      <c r="J37" s="46">
        <f t="shared" si="1"/>
        <v>0</v>
      </c>
      <c r="K37" s="53">
        <f t="shared" si="2"/>
        <v>0</v>
      </c>
    </row>
    <row r="38" spans="1:11" s="38" customFormat="1" ht="15" customHeight="1">
      <c r="A38" s="48"/>
      <c r="B38" s="52" t="s">
        <v>269</v>
      </c>
      <c r="C38" s="44"/>
      <c r="D38" s="45">
        <f>((65540.4/1800)/60)*2</f>
        <v>1.213711111111111</v>
      </c>
      <c r="E38" s="45">
        <f>D38*22%</f>
        <v>0.26701644444444439</v>
      </c>
      <c r="F38" s="49">
        <v>0.01</v>
      </c>
      <c r="G38" s="45"/>
      <c r="H38" s="45">
        <f>D38*0.34</f>
        <v>0.41266177777777774</v>
      </c>
      <c r="I38" s="45">
        <f t="shared" si="0"/>
        <v>1.9033893333333332</v>
      </c>
      <c r="J38" s="46">
        <f t="shared" si="1"/>
        <v>0.66618626666666658</v>
      </c>
      <c r="K38" s="53">
        <v>3</v>
      </c>
    </row>
    <row r="39" spans="1:11" s="38" customFormat="1" ht="15" customHeight="1">
      <c r="A39" s="48"/>
      <c r="B39" s="44" t="s">
        <v>250</v>
      </c>
      <c r="C39" s="44">
        <v>2</v>
      </c>
      <c r="D39" s="45"/>
      <c r="E39" s="45"/>
      <c r="F39" s="49"/>
      <c r="G39" s="45"/>
      <c r="H39" s="45"/>
      <c r="I39" s="45">
        <f t="shared" si="0"/>
        <v>0</v>
      </c>
      <c r="J39" s="46">
        <f t="shared" si="1"/>
        <v>0</v>
      </c>
      <c r="K39" s="53">
        <f t="shared" si="2"/>
        <v>0</v>
      </c>
    </row>
    <row r="40" spans="1:11" s="38" customFormat="1" ht="15" customHeight="1">
      <c r="A40" s="48"/>
      <c r="B40" s="52" t="s">
        <v>270</v>
      </c>
      <c r="C40" s="44"/>
      <c r="D40" s="45">
        <f>((84425.64/1800)/60)*5+((65540.4/1800)/60)*5</f>
        <v>6.9428722222222223</v>
      </c>
      <c r="E40" s="45">
        <f>D40*22%</f>
        <v>1.5274318888888889</v>
      </c>
      <c r="F40" s="49">
        <v>0.6</v>
      </c>
      <c r="G40" s="45">
        <f>C41*0.1</f>
        <v>0.5</v>
      </c>
      <c r="H40" s="45">
        <f>D40*0.34</f>
        <v>2.3605765555555558</v>
      </c>
      <c r="I40" s="45">
        <f t="shared" si="0"/>
        <v>11.930880666666667</v>
      </c>
      <c r="J40" s="46">
        <f t="shared" si="1"/>
        <v>4.1758082333333331</v>
      </c>
      <c r="K40" s="53">
        <v>16</v>
      </c>
    </row>
    <row r="41" spans="1:11" s="38" customFormat="1" ht="15" customHeight="1">
      <c r="A41" s="48"/>
      <c r="B41" s="44" t="s">
        <v>258</v>
      </c>
      <c r="C41" s="44">
        <v>5</v>
      </c>
      <c r="D41" s="45"/>
      <c r="E41" s="45"/>
      <c r="F41" s="55"/>
      <c r="G41" s="56"/>
      <c r="H41" s="45"/>
      <c r="I41" s="45">
        <f t="shared" si="0"/>
        <v>0</v>
      </c>
      <c r="J41" s="46">
        <f t="shared" si="1"/>
        <v>0</v>
      </c>
      <c r="K41" s="53">
        <f t="shared" si="2"/>
        <v>0</v>
      </c>
    </row>
    <row r="42" spans="1:11" s="38" customFormat="1" ht="15" customHeight="1">
      <c r="A42" s="48"/>
      <c r="B42" s="44" t="s">
        <v>250</v>
      </c>
      <c r="C42" s="44">
        <v>5</v>
      </c>
      <c r="D42" s="45"/>
      <c r="E42" s="45"/>
      <c r="F42" s="55"/>
      <c r="G42" s="56"/>
      <c r="H42" s="45"/>
      <c r="I42" s="45">
        <f t="shared" si="0"/>
        <v>0</v>
      </c>
      <c r="J42" s="46">
        <f t="shared" si="1"/>
        <v>0</v>
      </c>
      <c r="K42" s="53">
        <f t="shared" si="2"/>
        <v>0</v>
      </c>
    </row>
    <row r="43" spans="1:11" s="38" customFormat="1" ht="15" customHeight="1">
      <c r="A43" s="48"/>
      <c r="B43" s="52" t="s">
        <v>271</v>
      </c>
      <c r="C43" s="44"/>
      <c r="D43" s="45">
        <f>((65540.4/1800)/60)*3</f>
        <v>1.8205666666666664</v>
      </c>
      <c r="E43" s="45">
        <f>D43*22%</f>
        <v>0.40052466666666664</v>
      </c>
      <c r="F43" s="49">
        <v>0.56999999999999995</v>
      </c>
      <c r="G43" s="45"/>
      <c r="H43" s="45">
        <f>D43*0.34</f>
        <v>0.61899266666666664</v>
      </c>
      <c r="I43" s="45">
        <f t="shared" si="0"/>
        <v>3.4100839999999994</v>
      </c>
      <c r="J43" s="46">
        <f t="shared" si="1"/>
        <v>1.1935293999999996</v>
      </c>
      <c r="K43" s="53">
        <v>5</v>
      </c>
    </row>
    <row r="44" spans="1:11" s="38" customFormat="1" ht="15" customHeight="1">
      <c r="A44" s="48"/>
      <c r="B44" s="44" t="s">
        <v>250</v>
      </c>
      <c r="C44" s="44">
        <v>3</v>
      </c>
      <c r="D44" s="45"/>
      <c r="E44" s="45"/>
      <c r="F44" s="49"/>
      <c r="G44" s="45"/>
      <c r="H44" s="45"/>
      <c r="I44" s="45">
        <f t="shared" si="0"/>
        <v>0</v>
      </c>
      <c r="J44" s="46">
        <f t="shared" si="1"/>
        <v>0</v>
      </c>
      <c r="K44" s="53">
        <f t="shared" si="2"/>
        <v>0</v>
      </c>
    </row>
    <row r="45" spans="1:11" s="38" customFormat="1" ht="19.5" customHeight="1">
      <c r="A45" s="42" t="s">
        <v>272</v>
      </c>
      <c r="B45" s="50" t="s">
        <v>273</v>
      </c>
      <c r="C45" s="44"/>
      <c r="D45" s="45"/>
      <c r="E45" s="45"/>
      <c r="F45" s="49"/>
      <c r="G45" s="45"/>
      <c r="H45" s="45">
        <f>D45*0.34</f>
        <v>0</v>
      </c>
      <c r="I45" s="45">
        <f t="shared" si="0"/>
        <v>0</v>
      </c>
      <c r="J45" s="46">
        <f t="shared" si="1"/>
        <v>0</v>
      </c>
      <c r="K45" s="47">
        <f t="shared" si="2"/>
        <v>0</v>
      </c>
    </row>
    <row r="46" spans="1:11" s="38" customFormat="1" ht="15" customHeight="1">
      <c r="A46" s="48"/>
      <c r="B46" s="52" t="s">
        <v>274</v>
      </c>
      <c r="C46" s="44"/>
      <c r="D46" s="45">
        <f>((65540.4/1800)/60)*15</f>
        <v>9.1028333333333329</v>
      </c>
      <c r="E46" s="45">
        <f>D46*22%</f>
        <v>2.0026233333333332</v>
      </c>
      <c r="F46" s="49">
        <v>0.79</v>
      </c>
      <c r="G46" s="45">
        <f>C47*0.1</f>
        <v>1.5</v>
      </c>
      <c r="H46" s="45">
        <f>D46*0.34</f>
        <v>3.0949633333333333</v>
      </c>
      <c r="I46" s="45">
        <f t="shared" si="0"/>
        <v>16.49042</v>
      </c>
      <c r="J46" s="46">
        <f t="shared" si="1"/>
        <v>5.7716469999999997</v>
      </c>
      <c r="K46" s="47">
        <v>22</v>
      </c>
    </row>
    <row r="47" spans="1:11" s="38" customFormat="1" ht="15" customHeight="1">
      <c r="A47" s="48"/>
      <c r="B47" s="44" t="s">
        <v>250</v>
      </c>
      <c r="C47" s="44">
        <v>15</v>
      </c>
      <c r="D47" s="45"/>
      <c r="E47" s="45"/>
      <c r="F47" s="49"/>
      <c r="G47" s="45"/>
      <c r="H47" s="45"/>
      <c r="I47" s="45">
        <f t="shared" si="0"/>
        <v>0</v>
      </c>
      <c r="J47" s="46">
        <f t="shared" si="1"/>
        <v>0</v>
      </c>
      <c r="K47" s="47">
        <f t="shared" si="2"/>
        <v>0</v>
      </c>
    </row>
    <row r="48" spans="1:11" s="38" customFormat="1" ht="15" customHeight="1">
      <c r="A48" s="48"/>
      <c r="B48" s="52" t="s">
        <v>275</v>
      </c>
      <c r="C48" s="44"/>
      <c r="D48" s="45">
        <f>((65540.4/1800)/60)*5</f>
        <v>3.0342777777777776</v>
      </c>
      <c r="E48" s="45">
        <f>D48*22%</f>
        <v>0.66754111111111103</v>
      </c>
      <c r="F48" s="49">
        <v>12.78</v>
      </c>
      <c r="G48" s="45"/>
      <c r="H48" s="45">
        <f>D48*0.34</f>
        <v>1.0316544444444444</v>
      </c>
      <c r="I48" s="45">
        <f t="shared" si="0"/>
        <v>17.51347333333333</v>
      </c>
      <c r="J48" s="46">
        <f t="shared" si="1"/>
        <v>6.129715666666665</v>
      </c>
      <c r="K48" s="47">
        <v>24</v>
      </c>
    </row>
    <row r="49" spans="1:11" s="38" customFormat="1" ht="15" customHeight="1">
      <c r="A49" s="48"/>
      <c r="B49" s="44" t="s">
        <v>250</v>
      </c>
      <c r="C49" s="44">
        <v>5</v>
      </c>
      <c r="D49" s="45"/>
      <c r="E49" s="45"/>
      <c r="F49" s="49"/>
      <c r="G49" s="45"/>
      <c r="H49" s="45"/>
      <c r="I49" s="45">
        <f t="shared" si="0"/>
        <v>0</v>
      </c>
      <c r="J49" s="46">
        <f t="shared" si="1"/>
        <v>0</v>
      </c>
      <c r="K49" s="47">
        <f t="shared" si="2"/>
        <v>0</v>
      </c>
    </row>
    <row r="50" spans="1:11" s="38" customFormat="1" ht="15" customHeight="1">
      <c r="A50" s="48"/>
      <c r="B50" s="52" t="s">
        <v>276</v>
      </c>
      <c r="C50" s="44"/>
      <c r="D50" s="45">
        <f>((65540.4/1800)/60)*10</f>
        <v>6.0685555555555553</v>
      </c>
      <c r="E50" s="45">
        <f>D50*22%</f>
        <v>1.3350822222222221</v>
      </c>
      <c r="F50" s="49">
        <v>9.15</v>
      </c>
      <c r="G50" s="45">
        <f>C51*0.1</f>
        <v>1</v>
      </c>
      <c r="H50" s="45">
        <f>D50*0.34</f>
        <v>2.0633088888888889</v>
      </c>
      <c r="I50" s="45">
        <f t="shared" si="0"/>
        <v>19.616946666666667</v>
      </c>
      <c r="J50" s="46">
        <f t="shared" si="1"/>
        <v>6.8659313333333332</v>
      </c>
      <c r="K50" s="47">
        <v>27</v>
      </c>
    </row>
    <row r="51" spans="1:11" s="38" customFormat="1" ht="15" customHeight="1">
      <c r="A51" s="48"/>
      <c r="B51" s="44" t="s">
        <v>250</v>
      </c>
      <c r="C51" s="44">
        <v>10</v>
      </c>
      <c r="D51" s="45"/>
      <c r="E51" s="45"/>
      <c r="F51" s="49"/>
      <c r="G51" s="45"/>
      <c r="H51" s="45"/>
      <c r="I51" s="45">
        <f t="shared" si="0"/>
        <v>0</v>
      </c>
      <c r="J51" s="46">
        <f t="shared" si="1"/>
        <v>0</v>
      </c>
      <c r="K51" s="47">
        <f t="shared" si="2"/>
        <v>0</v>
      </c>
    </row>
    <row r="52" spans="1:11" s="38" customFormat="1" ht="20.25" customHeight="1">
      <c r="A52" s="42" t="s">
        <v>277</v>
      </c>
      <c r="B52" s="50" t="s">
        <v>278</v>
      </c>
      <c r="C52" s="44"/>
      <c r="D52" s="45">
        <f>((84425.64/1800)/60)*15+((65540.4/1800)/60)*15</f>
        <v>20.828616666666669</v>
      </c>
      <c r="E52" s="45">
        <f>D52*22%</f>
        <v>4.582295666666667</v>
      </c>
      <c r="F52" s="58">
        <v>7.0000000000000007E-2</v>
      </c>
      <c r="G52" s="45">
        <f>C53*0.1</f>
        <v>1.5</v>
      </c>
      <c r="H52" s="45">
        <f>D52*0.34</f>
        <v>7.0817296666666678</v>
      </c>
      <c r="I52" s="45">
        <f t="shared" si="0"/>
        <v>34.062642000000004</v>
      </c>
      <c r="J52" s="46">
        <f t="shared" si="1"/>
        <v>11.9219247</v>
      </c>
      <c r="K52" s="47">
        <v>46</v>
      </c>
    </row>
    <row r="53" spans="1:11" s="38" customFormat="1" ht="15" customHeight="1">
      <c r="A53" s="48"/>
      <c r="B53" s="44" t="s">
        <v>258</v>
      </c>
      <c r="C53" s="44">
        <v>15</v>
      </c>
      <c r="D53" s="45"/>
      <c r="E53" s="45"/>
      <c r="F53" s="55"/>
      <c r="G53" s="56"/>
      <c r="H53" s="45"/>
      <c r="I53" s="45">
        <f t="shared" si="0"/>
        <v>0</v>
      </c>
      <c r="J53" s="46">
        <f t="shared" si="1"/>
        <v>0</v>
      </c>
      <c r="K53" s="47">
        <f t="shared" si="2"/>
        <v>0</v>
      </c>
    </row>
    <row r="54" spans="1:11" s="38" customFormat="1" ht="15" customHeight="1">
      <c r="A54" s="48"/>
      <c r="B54" s="44" t="s">
        <v>250</v>
      </c>
      <c r="C54" s="44">
        <v>15</v>
      </c>
      <c r="D54" s="45"/>
      <c r="E54" s="45"/>
      <c r="F54" s="55"/>
      <c r="G54" s="56"/>
      <c r="H54" s="45"/>
      <c r="I54" s="45">
        <f t="shared" si="0"/>
        <v>0</v>
      </c>
      <c r="J54" s="46">
        <f t="shared" si="1"/>
        <v>0</v>
      </c>
      <c r="K54" s="47">
        <f t="shared" si="2"/>
        <v>0</v>
      </c>
    </row>
    <row r="55" spans="1:11" s="38" customFormat="1" ht="18.75" customHeight="1">
      <c r="A55" s="59" t="s">
        <v>279</v>
      </c>
      <c r="B55" s="60" t="s">
        <v>280</v>
      </c>
      <c r="C55" s="61"/>
      <c r="D55" s="62">
        <f>((84425.64/1800)/60)*15+((65540.4/1800)/60)*15</f>
        <v>20.828616666666669</v>
      </c>
      <c r="E55" s="62">
        <f>D55*22%</f>
        <v>4.582295666666667</v>
      </c>
      <c r="F55" s="63">
        <v>0.04</v>
      </c>
      <c r="G55" s="62">
        <f>C56*0.1</f>
        <v>1.5</v>
      </c>
      <c r="H55" s="62">
        <f>D55*0.34</f>
        <v>7.0817296666666678</v>
      </c>
      <c r="I55" s="45">
        <f t="shared" si="0"/>
        <v>34.032642000000003</v>
      </c>
      <c r="J55" s="46">
        <f t="shared" si="1"/>
        <v>11.9114247</v>
      </c>
      <c r="K55" s="47">
        <v>46</v>
      </c>
    </row>
    <row r="56" spans="1:11" s="38" customFormat="1" ht="15" customHeight="1">
      <c r="A56" s="64"/>
      <c r="B56" s="61" t="s">
        <v>258</v>
      </c>
      <c r="C56" s="61">
        <v>15</v>
      </c>
      <c r="D56" s="62"/>
      <c r="E56" s="62"/>
      <c r="F56" s="65"/>
      <c r="G56" s="66"/>
      <c r="H56" s="62"/>
      <c r="I56" s="45">
        <f t="shared" si="0"/>
        <v>0</v>
      </c>
      <c r="J56" s="46">
        <f t="shared" si="1"/>
        <v>0</v>
      </c>
      <c r="K56" s="47">
        <f t="shared" si="2"/>
        <v>0</v>
      </c>
    </row>
    <row r="57" spans="1:11" s="38" customFormat="1" ht="15" customHeight="1">
      <c r="A57" s="64"/>
      <c r="B57" s="61" t="s">
        <v>250</v>
      </c>
      <c r="C57" s="61">
        <v>15</v>
      </c>
      <c r="D57" s="62"/>
      <c r="E57" s="62"/>
      <c r="F57" s="65"/>
      <c r="G57" s="66"/>
      <c r="H57" s="62"/>
      <c r="I57" s="45">
        <f t="shared" si="0"/>
        <v>0</v>
      </c>
      <c r="J57" s="46">
        <f t="shared" si="1"/>
        <v>0</v>
      </c>
      <c r="K57" s="47">
        <f t="shared" si="2"/>
        <v>0</v>
      </c>
    </row>
    <row r="58" spans="1:11" s="38" customFormat="1" ht="21" customHeight="1">
      <c r="A58" s="59" t="s">
        <v>281</v>
      </c>
      <c r="B58" s="60" t="s">
        <v>282</v>
      </c>
      <c r="C58" s="61"/>
      <c r="D58" s="62">
        <f>((84425.64/1800)/60)*10+((65540.4/1800)/60)*10</f>
        <v>13.885744444444445</v>
      </c>
      <c r="E58" s="62">
        <f>D58*22%</f>
        <v>3.0548637777777778</v>
      </c>
      <c r="F58" s="63">
        <v>0.61</v>
      </c>
      <c r="G58" s="62">
        <f>C59*0.1</f>
        <v>1</v>
      </c>
      <c r="H58" s="62">
        <f>D58*0.34</f>
        <v>4.7211531111111116</v>
      </c>
      <c r="I58" s="45">
        <f t="shared" si="0"/>
        <v>23.271761333333334</v>
      </c>
      <c r="J58" s="46">
        <f t="shared" si="1"/>
        <v>8.145116466666666</v>
      </c>
      <c r="K58" s="47">
        <v>31</v>
      </c>
    </row>
    <row r="59" spans="1:11" s="38" customFormat="1" ht="15" customHeight="1">
      <c r="A59" s="64"/>
      <c r="B59" s="61" t="s">
        <v>258</v>
      </c>
      <c r="C59" s="61">
        <v>10</v>
      </c>
      <c r="D59" s="62"/>
      <c r="E59" s="62"/>
      <c r="F59" s="65"/>
      <c r="G59" s="66"/>
      <c r="H59" s="62"/>
      <c r="I59" s="45">
        <f t="shared" si="0"/>
        <v>0</v>
      </c>
      <c r="J59" s="46">
        <f t="shared" si="1"/>
        <v>0</v>
      </c>
      <c r="K59" s="47">
        <f t="shared" si="2"/>
        <v>0</v>
      </c>
    </row>
    <row r="60" spans="1:11" s="38" customFormat="1" ht="15" customHeight="1">
      <c r="A60" s="64"/>
      <c r="B60" s="61" t="s">
        <v>250</v>
      </c>
      <c r="C60" s="61">
        <v>10</v>
      </c>
      <c r="D60" s="62"/>
      <c r="E60" s="62"/>
      <c r="F60" s="65"/>
      <c r="G60" s="66"/>
      <c r="H60" s="62"/>
      <c r="I60" s="45">
        <f t="shared" si="0"/>
        <v>0</v>
      </c>
      <c r="J60" s="46">
        <f t="shared" si="1"/>
        <v>0</v>
      </c>
      <c r="K60" s="47">
        <f t="shared" si="2"/>
        <v>0</v>
      </c>
    </row>
    <row r="61" spans="1:11" s="38" customFormat="1" ht="19.5" customHeight="1">
      <c r="A61" s="59" t="s">
        <v>283</v>
      </c>
      <c r="B61" s="60" t="s">
        <v>284</v>
      </c>
      <c r="C61" s="61"/>
      <c r="D61" s="62">
        <f>((84425.64/1800)/60)*10</f>
        <v>7.8171888888888894</v>
      </c>
      <c r="E61" s="62">
        <f>D61*22%</f>
        <v>1.7197815555555558</v>
      </c>
      <c r="F61" s="63">
        <v>0.76</v>
      </c>
      <c r="G61" s="62">
        <f>C62*0.1</f>
        <v>1</v>
      </c>
      <c r="H61" s="62">
        <f>D61*0.34</f>
        <v>2.6578442222222227</v>
      </c>
      <c r="I61" s="45">
        <f t="shared" si="0"/>
        <v>13.954814666666667</v>
      </c>
      <c r="J61" s="46">
        <f t="shared" si="1"/>
        <v>4.8841851333333333</v>
      </c>
      <c r="K61" s="47">
        <v>19</v>
      </c>
    </row>
    <row r="62" spans="1:11" s="38" customFormat="1" ht="15" customHeight="1">
      <c r="A62" s="64"/>
      <c r="B62" s="67" t="s">
        <v>258</v>
      </c>
      <c r="C62" s="61">
        <v>10</v>
      </c>
      <c r="D62" s="62"/>
      <c r="E62" s="62"/>
      <c r="F62" s="63"/>
      <c r="G62" s="62"/>
      <c r="H62" s="62"/>
      <c r="I62" s="45">
        <f t="shared" si="0"/>
        <v>0</v>
      </c>
      <c r="J62" s="46">
        <f t="shared" si="1"/>
        <v>0</v>
      </c>
      <c r="K62" s="47">
        <f t="shared" si="2"/>
        <v>0</v>
      </c>
    </row>
    <row r="63" spans="1:11" s="38" customFormat="1" ht="19.5" customHeight="1">
      <c r="A63" s="59" t="s">
        <v>285</v>
      </c>
      <c r="B63" s="60" t="s">
        <v>286</v>
      </c>
      <c r="C63" s="61"/>
      <c r="D63" s="62">
        <f>((84425.64/1800)/60)*10</f>
        <v>7.8171888888888894</v>
      </c>
      <c r="E63" s="62">
        <f>D63*22%</f>
        <v>1.7197815555555558</v>
      </c>
      <c r="F63" s="63">
        <v>0.76</v>
      </c>
      <c r="G63" s="62">
        <f>C64*0.1</f>
        <v>1</v>
      </c>
      <c r="H63" s="62">
        <f>D63*0.34</f>
        <v>2.6578442222222227</v>
      </c>
      <c r="I63" s="45">
        <f t="shared" si="0"/>
        <v>13.954814666666667</v>
      </c>
      <c r="J63" s="46">
        <f t="shared" si="1"/>
        <v>4.8841851333333333</v>
      </c>
      <c r="K63" s="47">
        <v>19</v>
      </c>
    </row>
    <row r="64" spans="1:11" s="38" customFormat="1" ht="15" customHeight="1">
      <c r="A64" s="64"/>
      <c r="B64" s="67" t="s">
        <v>258</v>
      </c>
      <c r="C64" s="61">
        <v>10</v>
      </c>
      <c r="D64" s="62"/>
      <c r="E64" s="62"/>
      <c r="F64" s="63"/>
      <c r="G64" s="62"/>
      <c r="H64" s="62"/>
      <c r="I64" s="45">
        <f t="shared" si="0"/>
        <v>0</v>
      </c>
      <c r="J64" s="46">
        <f t="shared" si="1"/>
        <v>0</v>
      </c>
      <c r="K64" s="47">
        <f t="shared" si="2"/>
        <v>0</v>
      </c>
    </row>
    <row r="65" spans="1:11" s="38" customFormat="1" ht="18.75" customHeight="1">
      <c r="A65" s="42" t="s">
        <v>287</v>
      </c>
      <c r="B65" s="43" t="s">
        <v>288</v>
      </c>
      <c r="C65" s="44"/>
      <c r="D65" s="45">
        <f>((65540.4/1800)/60)*15</f>
        <v>9.1028333333333329</v>
      </c>
      <c r="E65" s="45">
        <f>D65*22%</f>
        <v>2.0026233333333332</v>
      </c>
      <c r="F65" s="49">
        <v>7.89</v>
      </c>
      <c r="G65" s="45">
        <f>C66*0.1</f>
        <v>1.5</v>
      </c>
      <c r="H65" s="45">
        <f>D65*0.34</f>
        <v>3.0949633333333333</v>
      </c>
      <c r="I65" s="45">
        <f t="shared" si="0"/>
        <v>23.590419999999998</v>
      </c>
      <c r="J65" s="46">
        <f t="shared" si="1"/>
        <v>8.2566469999999992</v>
      </c>
      <c r="K65" s="47">
        <v>32</v>
      </c>
    </row>
    <row r="66" spans="1:11" s="38" customFormat="1" ht="15" customHeight="1">
      <c r="A66" s="48"/>
      <c r="B66" s="68" t="s">
        <v>250</v>
      </c>
      <c r="C66" s="44">
        <v>15</v>
      </c>
      <c r="D66" s="45"/>
      <c r="E66" s="45"/>
      <c r="F66" s="49"/>
      <c r="G66" s="45"/>
      <c r="H66" s="45"/>
      <c r="I66" s="45">
        <f t="shared" si="0"/>
        <v>0</v>
      </c>
      <c r="J66" s="46">
        <f t="shared" si="1"/>
        <v>0</v>
      </c>
      <c r="K66" s="47">
        <f t="shared" si="2"/>
        <v>0</v>
      </c>
    </row>
    <row r="67" spans="1:11" s="38" customFormat="1" ht="18" customHeight="1">
      <c r="A67" s="42" t="s">
        <v>289</v>
      </c>
      <c r="B67" s="43" t="s">
        <v>290</v>
      </c>
      <c r="C67" s="44"/>
      <c r="D67" s="45">
        <f>((65055.96/1800)/60)*5</f>
        <v>3.0118500000000004</v>
      </c>
      <c r="E67" s="45">
        <f>D67*22%</f>
        <v>0.66260700000000006</v>
      </c>
      <c r="F67" s="49">
        <v>3.48</v>
      </c>
      <c r="G67" s="45"/>
      <c r="H67" s="45">
        <f>D67*0.34</f>
        <v>1.0240290000000003</v>
      </c>
      <c r="I67" s="45">
        <f t="shared" si="0"/>
        <v>8.1784860000000013</v>
      </c>
      <c r="J67" s="46">
        <f t="shared" si="1"/>
        <v>2.8624701000000004</v>
      </c>
      <c r="K67" s="47">
        <v>11</v>
      </c>
    </row>
    <row r="68" spans="1:11" s="38" customFormat="1" ht="15" customHeight="1">
      <c r="A68" s="48"/>
      <c r="B68" s="68" t="s">
        <v>291</v>
      </c>
      <c r="C68" s="44">
        <v>5</v>
      </c>
      <c r="D68" s="45"/>
      <c r="E68" s="45"/>
      <c r="F68" s="49"/>
      <c r="G68" s="45"/>
      <c r="H68" s="45"/>
      <c r="I68" s="45">
        <f t="shared" si="0"/>
        <v>0</v>
      </c>
      <c r="J68" s="46">
        <f t="shared" si="1"/>
        <v>0</v>
      </c>
      <c r="K68" s="47">
        <f t="shared" si="2"/>
        <v>0</v>
      </c>
    </row>
    <row r="69" spans="1:11" s="38" customFormat="1" ht="15" customHeight="1">
      <c r="A69" s="48"/>
      <c r="B69" s="54" t="s">
        <v>292</v>
      </c>
      <c r="C69" s="44"/>
      <c r="D69" s="45">
        <f>((65055.96/1800)/60)*5</f>
        <v>3.0118500000000004</v>
      </c>
      <c r="E69" s="45">
        <f>D69*22%</f>
        <v>0.66260700000000006</v>
      </c>
      <c r="F69" s="49">
        <v>2.37</v>
      </c>
      <c r="G69" s="45"/>
      <c r="H69" s="45">
        <f>D69*0.34</f>
        <v>1.0240290000000003</v>
      </c>
      <c r="I69" s="45">
        <f t="shared" si="0"/>
        <v>7.0684860000000018</v>
      </c>
      <c r="J69" s="46">
        <f t="shared" si="1"/>
        <v>2.4739701000000003</v>
      </c>
      <c r="K69" s="47">
        <v>10</v>
      </c>
    </row>
    <row r="70" spans="1:11" s="38" customFormat="1" ht="15" customHeight="1">
      <c r="A70" s="48"/>
      <c r="B70" s="68" t="s">
        <v>291</v>
      </c>
      <c r="C70" s="44">
        <v>5</v>
      </c>
      <c r="D70" s="45"/>
      <c r="E70" s="45"/>
      <c r="F70" s="49"/>
      <c r="G70" s="45"/>
      <c r="H70" s="45"/>
      <c r="I70" s="45">
        <f t="shared" si="0"/>
        <v>0</v>
      </c>
      <c r="J70" s="46">
        <f t="shared" si="1"/>
        <v>0</v>
      </c>
      <c r="K70" s="47">
        <f t="shared" si="2"/>
        <v>0</v>
      </c>
    </row>
    <row r="71" spans="1:11" s="38" customFormat="1" ht="24" customHeight="1">
      <c r="A71" s="42" t="s">
        <v>293</v>
      </c>
      <c r="B71" s="69" t="s">
        <v>294</v>
      </c>
      <c r="C71" s="44"/>
      <c r="D71" s="47"/>
      <c r="E71" s="47"/>
      <c r="F71" s="47"/>
      <c r="G71" s="47"/>
      <c r="H71" s="47"/>
      <c r="I71" s="47">
        <f>SUM(I72:I81)</f>
        <v>60.144254400000001</v>
      </c>
      <c r="J71" s="46"/>
      <c r="K71" s="47">
        <f>SUM(K72:K81)</f>
        <v>82</v>
      </c>
    </row>
    <row r="72" spans="1:11" s="38" customFormat="1" ht="15" customHeight="1">
      <c r="A72" s="64"/>
      <c r="B72" s="70" t="s">
        <v>295</v>
      </c>
      <c r="C72" s="61"/>
      <c r="D72" s="62">
        <f>((65055.96/1800)/60)*15</f>
        <v>9.0355500000000006</v>
      </c>
      <c r="E72" s="62">
        <f>D72*22%</f>
        <v>1.9878210000000001</v>
      </c>
      <c r="F72" s="63">
        <v>1.41</v>
      </c>
      <c r="G72" s="62">
        <f>C73*0.1</f>
        <v>1.5</v>
      </c>
      <c r="H72" s="62">
        <f>D72*0.34</f>
        <v>3.0720870000000002</v>
      </c>
      <c r="I72" s="45">
        <f t="shared" ref="I72:I135" si="3">H72+G72+F72+E72+D72</f>
        <v>17.005458000000001</v>
      </c>
      <c r="J72" s="46">
        <f t="shared" ref="J72:J135" si="4">I72*35%</f>
        <v>5.9519102999999998</v>
      </c>
      <c r="K72" s="53">
        <v>23</v>
      </c>
    </row>
    <row r="73" spans="1:11" s="38" customFormat="1" ht="15" customHeight="1">
      <c r="A73" s="64"/>
      <c r="B73" s="61" t="s">
        <v>291</v>
      </c>
      <c r="C73" s="61">
        <v>15</v>
      </c>
      <c r="D73" s="62"/>
      <c r="E73" s="62"/>
      <c r="F73" s="63"/>
      <c r="G73" s="62"/>
      <c r="H73" s="62"/>
      <c r="I73" s="45">
        <f t="shared" si="3"/>
        <v>0</v>
      </c>
      <c r="J73" s="46">
        <f t="shared" si="4"/>
        <v>0</v>
      </c>
      <c r="K73" s="53">
        <f>I73+J73</f>
        <v>0</v>
      </c>
    </row>
    <row r="74" spans="1:11" s="38" customFormat="1" ht="15" customHeight="1">
      <c r="A74" s="64"/>
      <c r="B74" s="70" t="s">
        <v>296</v>
      </c>
      <c r="C74" s="61"/>
      <c r="D74" s="62">
        <f>((65055.96/1800)/60)*15</f>
        <v>9.0355500000000006</v>
      </c>
      <c r="E74" s="62">
        <f>D74*22%</f>
        <v>1.9878210000000001</v>
      </c>
      <c r="F74" s="63"/>
      <c r="G74" s="62">
        <f>C75*0.1</f>
        <v>1.5</v>
      </c>
      <c r="H74" s="62">
        <f>D74*0.34</f>
        <v>3.0720870000000002</v>
      </c>
      <c r="I74" s="45">
        <f t="shared" si="3"/>
        <v>15.595458000000001</v>
      </c>
      <c r="J74" s="46">
        <f t="shared" si="4"/>
        <v>5.4584102999999997</v>
      </c>
      <c r="K74" s="53">
        <v>21</v>
      </c>
    </row>
    <row r="75" spans="1:11" s="38" customFormat="1" ht="15" customHeight="1">
      <c r="A75" s="64"/>
      <c r="B75" s="67" t="s">
        <v>291</v>
      </c>
      <c r="C75" s="61">
        <v>15</v>
      </c>
      <c r="D75" s="62"/>
      <c r="E75" s="62"/>
      <c r="F75" s="63"/>
      <c r="G75" s="62"/>
      <c r="H75" s="62"/>
      <c r="I75" s="45">
        <f t="shared" si="3"/>
        <v>0</v>
      </c>
      <c r="J75" s="46">
        <f t="shared" si="4"/>
        <v>0</v>
      </c>
      <c r="K75" s="53">
        <f>I75+J75</f>
        <v>0</v>
      </c>
    </row>
    <row r="76" spans="1:11" s="38" customFormat="1" ht="15" customHeight="1">
      <c r="A76" s="64"/>
      <c r="B76" s="70" t="s">
        <v>297</v>
      </c>
      <c r="C76" s="61"/>
      <c r="D76" s="62">
        <f>((65055.96/1800)/60)*2</f>
        <v>1.2047400000000001</v>
      </c>
      <c r="E76" s="62">
        <f>D76*22%</f>
        <v>0.26504280000000002</v>
      </c>
      <c r="F76" s="63"/>
      <c r="G76" s="62"/>
      <c r="H76" s="62">
        <f>D76*0.34</f>
        <v>0.40961160000000008</v>
      </c>
      <c r="I76" s="45">
        <f t="shared" si="3"/>
        <v>1.8793944000000002</v>
      </c>
      <c r="J76" s="46">
        <f t="shared" si="4"/>
        <v>0.65778804000000002</v>
      </c>
      <c r="K76" s="53">
        <v>3</v>
      </c>
    </row>
    <row r="77" spans="1:11" s="38" customFormat="1" ht="15" customHeight="1">
      <c r="A77" s="64"/>
      <c r="B77" s="67" t="s">
        <v>291</v>
      </c>
      <c r="C77" s="61">
        <v>2</v>
      </c>
      <c r="D77" s="62"/>
      <c r="E77" s="62"/>
      <c r="F77" s="63"/>
      <c r="G77" s="62"/>
      <c r="H77" s="62"/>
      <c r="I77" s="45">
        <f t="shared" si="3"/>
        <v>0</v>
      </c>
      <c r="J77" s="46">
        <f t="shared" si="4"/>
        <v>0</v>
      </c>
      <c r="K77" s="53">
        <f>I77+J77</f>
        <v>0</v>
      </c>
    </row>
    <row r="78" spans="1:11" s="38" customFormat="1" ht="15" customHeight="1">
      <c r="A78" s="64"/>
      <c r="B78" s="70" t="s">
        <v>298</v>
      </c>
      <c r="C78" s="61"/>
      <c r="D78" s="62">
        <f>((65055.96/1800)/60)*5</f>
        <v>3.0118500000000004</v>
      </c>
      <c r="E78" s="62">
        <f>D78*22%</f>
        <v>0.66260700000000006</v>
      </c>
      <c r="F78" s="63">
        <v>3.97</v>
      </c>
      <c r="G78" s="62"/>
      <c r="H78" s="62">
        <f>D78*0.34</f>
        <v>1.0240290000000003</v>
      </c>
      <c r="I78" s="45">
        <f t="shared" si="3"/>
        <v>8.6684860000000015</v>
      </c>
      <c r="J78" s="46">
        <f t="shared" si="4"/>
        <v>3.0339701000000003</v>
      </c>
      <c r="K78" s="53">
        <v>12</v>
      </c>
    </row>
    <row r="79" spans="1:11" s="38" customFormat="1" ht="15" customHeight="1">
      <c r="A79" s="64"/>
      <c r="B79" s="67" t="s">
        <v>291</v>
      </c>
      <c r="C79" s="61">
        <v>5</v>
      </c>
      <c r="D79" s="62"/>
      <c r="E79" s="62"/>
      <c r="F79" s="63"/>
      <c r="G79" s="62"/>
      <c r="H79" s="62"/>
      <c r="I79" s="45">
        <f t="shared" si="3"/>
        <v>0</v>
      </c>
      <c r="J79" s="46">
        <f t="shared" si="4"/>
        <v>0</v>
      </c>
      <c r="K79" s="53">
        <f>I79+J79</f>
        <v>0</v>
      </c>
    </row>
    <row r="80" spans="1:11" s="38" customFormat="1" ht="15" customHeight="1">
      <c r="A80" s="64"/>
      <c r="B80" s="70" t="s">
        <v>299</v>
      </c>
      <c r="C80" s="61"/>
      <c r="D80" s="62">
        <f>((65055.96/1800)/60)*15</f>
        <v>9.0355500000000006</v>
      </c>
      <c r="E80" s="62">
        <f>D80*22%</f>
        <v>1.9878210000000001</v>
      </c>
      <c r="F80" s="63">
        <v>1.4</v>
      </c>
      <c r="G80" s="62">
        <f>C81*0.1</f>
        <v>1.5</v>
      </c>
      <c r="H80" s="62">
        <f>D80*0.34</f>
        <v>3.0720870000000002</v>
      </c>
      <c r="I80" s="45">
        <f t="shared" si="3"/>
        <v>16.995457999999999</v>
      </c>
      <c r="J80" s="46">
        <f t="shared" si="4"/>
        <v>5.948410299999999</v>
      </c>
      <c r="K80" s="53">
        <v>23</v>
      </c>
    </row>
    <row r="81" spans="1:11" s="38" customFormat="1" ht="15" customHeight="1">
      <c r="A81" s="64"/>
      <c r="B81" s="67" t="s">
        <v>291</v>
      </c>
      <c r="C81" s="61">
        <v>15</v>
      </c>
      <c r="D81" s="62"/>
      <c r="E81" s="62"/>
      <c r="F81" s="63"/>
      <c r="G81" s="62"/>
      <c r="H81" s="62"/>
      <c r="I81" s="45">
        <f t="shared" si="3"/>
        <v>0</v>
      </c>
      <c r="J81" s="46">
        <f t="shared" si="4"/>
        <v>0</v>
      </c>
      <c r="K81" s="53">
        <f>I81+J81</f>
        <v>0</v>
      </c>
    </row>
    <row r="82" spans="1:11" s="38" customFormat="1" ht="21" customHeight="1">
      <c r="A82" s="42" t="s">
        <v>300</v>
      </c>
      <c r="B82" s="43" t="s">
        <v>301</v>
      </c>
      <c r="C82" s="42"/>
      <c r="D82" s="71"/>
      <c r="E82" s="71"/>
      <c r="F82" s="72"/>
      <c r="G82" s="71"/>
      <c r="H82" s="45">
        <f>D82*0.34</f>
        <v>0</v>
      </c>
      <c r="I82" s="47">
        <f>SUM(I83:I118)</f>
        <v>240.88859733333334</v>
      </c>
      <c r="J82" s="46">
        <f t="shared" si="4"/>
        <v>84.311009066666657</v>
      </c>
      <c r="K82" s="47">
        <f>SUM(K83:K118)</f>
        <v>324</v>
      </c>
    </row>
    <row r="83" spans="1:11" s="38" customFormat="1" ht="21" customHeight="1">
      <c r="A83" s="48"/>
      <c r="B83" s="73" t="s">
        <v>302</v>
      </c>
      <c r="C83" s="49"/>
      <c r="D83" s="58">
        <f>((65540.4/1800)/60)*8</f>
        <v>4.8548444444444439</v>
      </c>
      <c r="E83" s="45">
        <f>D83*22%</f>
        <v>1.0680657777777776</v>
      </c>
      <c r="F83" s="55">
        <v>2.17</v>
      </c>
      <c r="G83" s="56">
        <f>C84*0.1</f>
        <v>0.8</v>
      </c>
      <c r="H83" s="45">
        <f>D83*0.34</f>
        <v>1.650647111111111</v>
      </c>
      <c r="I83" s="45">
        <f t="shared" si="3"/>
        <v>10.543557333333332</v>
      </c>
      <c r="J83" s="46">
        <f t="shared" si="4"/>
        <v>3.690245066666666</v>
      </c>
      <c r="K83" s="53">
        <v>14</v>
      </c>
    </row>
    <row r="84" spans="1:11" s="38" customFormat="1" ht="21" customHeight="1">
      <c r="A84" s="48"/>
      <c r="B84" s="74" t="s">
        <v>250</v>
      </c>
      <c r="C84" s="49">
        <v>8</v>
      </c>
      <c r="D84" s="58"/>
      <c r="E84" s="45"/>
      <c r="F84" s="55"/>
      <c r="G84" s="56"/>
      <c r="H84" s="45"/>
      <c r="I84" s="45">
        <f t="shared" si="3"/>
        <v>0</v>
      </c>
      <c r="J84" s="46">
        <f t="shared" si="4"/>
        <v>0</v>
      </c>
      <c r="K84" s="53">
        <f>I84+J84</f>
        <v>0</v>
      </c>
    </row>
    <row r="85" spans="1:11" s="38" customFormat="1" ht="21" customHeight="1">
      <c r="A85" s="48"/>
      <c r="B85" s="73" t="s">
        <v>303</v>
      </c>
      <c r="C85" s="49"/>
      <c r="D85" s="58">
        <f>((65540.4/1800)/60)*15</f>
        <v>9.1028333333333329</v>
      </c>
      <c r="E85" s="45">
        <f>D85*22%</f>
        <v>2.0026233333333332</v>
      </c>
      <c r="F85" s="55">
        <v>2.2400000000000002</v>
      </c>
      <c r="G85" s="56">
        <f>C86*0.1</f>
        <v>1.5</v>
      </c>
      <c r="H85" s="45">
        <f>D85*0.34</f>
        <v>3.0949633333333333</v>
      </c>
      <c r="I85" s="45">
        <f t="shared" si="3"/>
        <v>17.94042</v>
      </c>
      <c r="J85" s="46">
        <f t="shared" si="4"/>
        <v>6.2791469999999991</v>
      </c>
      <c r="K85" s="53">
        <v>24</v>
      </c>
    </row>
    <row r="86" spans="1:11" s="38" customFormat="1" ht="21" customHeight="1">
      <c r="A86" s="48"/>
      <c r="B86" s="74" t="s">
        <v>250</v>
      </c>
      <c r="C86" s="49">
        <v>15</v>
      </c>
      <c r="D86" s="58"/>
      <c r="E86" s="45"/>
      <c r="F86" s="55"/>
      <c r="G86" s="56"/>
      <c r="H86" s="45"/>
      <c r="I86" s="45">
        <f t="shared" si="3"/>
        <v>0</v>
      </c>
      <c r="J86" s="46">
        <f t="shared" si="4"/>
        <v>0</v>
      </c>
      <c r="K86" s="53">
        <f>I86+J86</f>
        <v>0</v>
      </c>
    </row>
    <row r="87" spans="1:11" s="38" customFormat="1" ht="21" customHeight="1">
      <c r="A87" s="48"/>
      <c r="B87" s="73" t="s">
        <v>304</v>
      </c>
      <c r="C87" s="49"/>
      <c r="D87" s="58">
        <f>((65540.4/1800)/60)*15</f>
        <v>9.1028333333333329</v>
      </c>
      <c r="E87" s="45">
        <f>D87*22%</f>
        <v>2.0026233333333332</v>
      </c>
      <c r="F87" s="55">
        <v>3.89</v>
      </c>
      <c r="G87" s="56">
        <f>C88*0.1</f>
        <v>1.5</v>
      </c>
      <c r="H87" s="45">
        <f>D87*0.34</f>
        <v>3.0949633333333333</v>
      </c>
      <c r="I87" s="45">
        <f t="shared" si="3"/>
        <v>19.590419999999998</v>
      </c>
      <c r="J87" s="46">
        <f t="shared" si="4"/>
        <v>6.8566469999999988</v>
      </c>
      <c r="K87" s="53">
        <v>26</v>
      </c>
    </row>
    <row r="88" spans="1:11" s="38" customFormat="1" ht="21" customHeight="1">
      <c r="A88" s="48"/>
      <c r="B88" s="74" t="s">
        <v>250</v>
      </c>
      <c r="C88" s="49">
        <v>15</v>
      </c>
      <c r="D88" s="58"/>
      <c r="E88" s="45"/>
      <c r="F88" s="55"/>
      <c r="G88" s="56"/>
      <c r="H88" s="45"/>
      <c r="I88" s="45">
        <f t="shared" si="3"/>
        <v>0</v>
      </c>
      <c r="J88" s="46">
        <f t="shared" si="4"/>
        <v>0</v>
      </c>
      <c r="K88" s="53">
        <f>I88+J88</f>
        <v>0</v>
      </c>
    </row>
    <row r="89" spans="1:11" s="38" customFormat="1" ht="21" customHeight="1">
      <c r="A89" s="48"/>
      <c r="B89" s="73" t="s">
        <v>305</v>
      </c>
      <c r="C89" s="49"/>
      <c r="D89" s="58">
        <f>((65540.4/1800)/60)*15</f>
        <v>9.1028333333333329</v>
      </c>
      <c r="E89" s="45">
        <f>D89*22%</f>
        <v>2.0026233333333332</v>
      </c>
      <c r="F89" s="55">
        <v>3.6</v>
      </c>
      <c r="G89" s="56">
        <f>C90*0.1</f>
        <v>1.5</v>
      </c>
      <c r="H89" s="45">
        <f>D89*0.34</f>
        <v>3.0949633333333333</v>
      </c>
      <c r="I89" s="45">
        <f t="shared" si="3"/>
        <v>19.300419999999999</v>
      </c>
      <c r="J89" s="46">
        <f t="shared" si="4"/>
        <v>6.7551469999999991</v>
      </c>
      <c r="K89" s="53">
        <v>26</v>
      </c>
    </row>
    <row r="90" spans="1:11" s="38" customFormat="1" ht="21" customHeight="1">
      <c r="A90" s="48"/>
      <c r="B90" s="74" t="s">
        <v>250</v>
      </c>
      <c r="C90" s="49">
        <v>15</v>
      </c>
      <c r="D90" s="58"/>
      <c r="E90" s="45"/>
      <c r="F90" s="55"/>
      <c r="G90" s="56"/>
      <c r="H90" s="45"/>
      <c r="I90" s="45">
        <f t="shared" si="3"/>
        <v>0</v>
      </c>
      <c r="J90" s="46">
        <f t="shared" si="4"/>
        <v>0</v>
      </c>
      <c r="K90" s="53">
        <f>I90+J90</f>
        <v>0</v>
      </c>
    </row>
    <row r="91" spans="1:11" s="38" customFormat="1" ht="21" customHeight="1">
      <c r="A91" s="48"/>
      <c r="B91" s="73" t="s">
        <v>306</v>
      </c>
      <c r="C91" s="49"/>
      <c r="D91" s="58">
        <f>((65540.4/1800)/60)*10</f>
        <v>6.0685555555555553</v>
      </c>
      <c r="E91" s="45">
        <f>D91*22%</f>
        <v>1.3350822222222221</v>
      </c>
      <c r="F91" s="55">
        <v>1.48</v>
      </c>
      <c r="G91" s="56">
        <f>C92*0.1</f>
        <v>1</v>
      </c>
      <c r="H91" s="45">
        <f>D91*0.34</f>
        <v>2.0633088888888889</v>
      </c>
      <c r="I91" s="45">
        <f t="shared" si="3"/>
        <v>11.946946666666665</v>
      </c>
      <c r="J91" s="46">
        <f t="shared" si="4"/>
        <v>4.1814313333333324</v>
      </c>
      <c r="K91" s="53">
        <v>16</v>
      </c>
    </row>
    <row r="92" spans="1:11" s="38" customFormat="1" ht="21" customHeight="1">
      <c r="A92" s="48"/>
      <c r="B92" s="74" t="s">
        <v>250</v>
      </c>
      <c r="C92" s="49">
        <v>10</v>
      </c>
      <c r="D92" s="58"/>
      <c r="E92" s="45"/>
      <c r="F92" s="55"/>
      <c r="G92" s="56"/>
      <c r="H92" s="45"/>
      <c r="I92" s="45">
        <f t="shared" si="3"/>
        <v>0</v>
      </c>
      <c r="J92" s="46">
        <f t="shared" si="4"/>
        <v>0</v>
      </c>
      <c r="K92" s="53">
        <f>I92+J92</f>
        <v>0</v>
      </c>
    </row>
    <row r="93" spans="1:11" s="38" customFormat="1" ht="21" customHeight="1">
      <c r="A93" s="48"/>
      <c r="B93" s="73" t="s">
        <v>307</v>
      </c>
      <c r="C93" s="49"/>
      <c r="D93" s="58">
        <f>((65540.4/1800)/60)*5</f>
        <v>3.0342777777777776</v>
      </c>
      <c r="E93" s="45">
        <f>D93*22%</f>
        <v>0.66754111111111103</v>
      </c>
      <c r="F93" s="55">
        <v>1.48</v>
      </c>
      <c r="G93" s="56">
        <f>C94*0.1</f>
        <v>0.5</v>
      </c>
      <c r="H93" s="45">
        <f>D93*0.34</f>
        <v>1.0316544444444444</v>
      </c>
      <c r="I93" s="45">
        <f t="shared" si="3"/>
        <v>6.713473333333333</v>
      </c>
      <c r="J93" s="46">
        <f t="shared" si="4"/>
        <v>2.3497156666666665</v>
      </c>
      <c r="K93" s="53">
        <v>9</v>
      </c>
    </row>
    <row r="94" spans="1:11" s="38" customFormat="1" ht="21" customHeight="1">
      <c r="A94" s="48"/>
      <c r="B94" s="74" t="s">
        <v>250</v>
      </c>
      <c r="C94" s="49">
        <v>5</v>
      </c>
      <c r="D94" s="58"/>
      <c r="E94" s="45"/>
      <c r="F94" s="55"/>
      <c r="G94" s="56"/>
      <c r="H94" s="45"/>
      <c r="I94" s="45">
        <f t="shared" si="3"/>
        <v>0</v>
      </c>
      <c r="J94" s="46">
        <f t="shared" si="4"/>
        <v>0</v>
      </c>
      <c r="K94" s="53">
        <f>I94+J94</f>
        <v>0</v>
      </c>
    </row>
    <row r="95" spans="1:11" s="38" customFormat="1" ht="21" customHeight="1">
      <c r="A95" s="48"/>
      <c r="B95" s="73" t="s">
        <v>308</v>
      </c>
      <c r="C95" s="49"/>
      <c r="D95" s="58">
        <f>((65540.4/1800)/60)*10</f>
        <v>6.0685555555555553</v>
      </c>
      <c r="E95" s="45">
        <f>D95*22%</f>
        <v>1.3350822222222221</v>
      </c>
      <c r="F95" s="55">
        <v>2.17</v>
      </c>
      <c r="G95" s="56">
        <f>C96*0.1</f>
        <v>1</v>
      </c>
      <c r="H95" s="45">
        <f>D95*0.34</f>
        <v>2.0633088888888889</v>
      </c>
      <c r="I95" s="45">
        <f t="shared" si="3"/>
        <v>12.636946666666667</v>
      </c>
      <c r="J95" s="46">
        <f t="shared" si="4"/>
        <v>4.4229313333333327</v>
      </c>
      <c r="K95" s="53">
        <v>17</v>
      </c>
    </row>
    <row r="96" spans="1:11" s="38" customFormat="1" ht="21" customHeight="1">
      <c r="A96" s="48"/>
      <c r="B96" s="74" t="s">
        <v>250</v>
      </c>
      <c r="C96" s="49">
        <v>10</v>
      </c>
      <c r="D96" s="58"/>
      <c r="E96" s="45"/>
      <c r="F96" s="55"/>
      <c r="G96" s="56"/>
      <c r="H96" s="45"/>
      <c r="I96" s="45">
        <f t="shared" si="3"/>
        <v>0</v>
      </c>
      <c r="J96" s="46">
        <f t="shared" si="4"/>
        <v>0</v>
      </c>
      <c r="K96" s="53">
        <f>I96+J96</f>
        <v>0</v>
      </c>
    </row>
    <row r="97" spans="1:11" s="38" customFormat="1" ht="21" customHeight="1">
      <c r="A97" s="48"/>
      <c r="B97" s="73" t="s">
        <v>309</v>
      </c>
      <c r="C97" s="49"/>
      <c r="D97" s="58">
        <f>((65540.4/1800)/60)*5</f>
        <v>3.0342777777777776</v>
      </c>
      <c r="E97" s="45">
        <f>D97*22%</f>
        <v>0.66754111111111103</v>
      </c>
      <c r="F97" s="55">
        <v>2.17</v>
      </c>
      <c r="G97" s="56">
        <f>C98*0.1</f>
        <v>0.5</v>
      </c>
      <c r="H97" s="45">
        <f>D97*0.34</f>
        <v>1.0316544444444444</v>
      </c>
      <c r="I97" s="45">
        <f t="shared" si="3"/>
        <v>7.4034733333333334</v>
      </c>
      <c r="J97" s="46">
        <f t="shared" si="4"/>
        <v>2.5912156666666664</v>
      </c>
      <c r="K97" s="53">
        <v>10</v>
      </c>
    </row>
    <row r="98" spans="1:11" s="38" customFormat="1" ht="21" customHeight="1">
      <c r="A98" s="48"/>
      <c r="B98" s="74" t="s">
        <v>250</v>
      </c>
      <c r="C98" s="49">
        <v>5</v>
      </c>
      <c r="D98" s="58"/>
      <c r="E98" s="45"/>
      <c r="F98" s="55"/>
      <c r="G98" s="56"/>
      <c r="H98" s="45"/>
      <c r="I98" s="45">
        <f t="shared" si="3"/>
        <v>0</v>
      </c>
      <c r="J98" s="46">
        <f t="shared" si="4"/>
        <v>0</v>
      </c>
      <c r="K98" s="53">
        <f>I98+J98</f>
        <v>0</v>
      </c>
    </row>
    <row r="99" spans="1:11" s="38" customFormat="1" ht="21" customHeight="1">
      <c r="A99" s="48"/>
      <c r="B99" s="73" t="s">
        <v>310</v>
      </c>
      <c r="C99" s="49"/>
      <c r="D99" s="58">
        <f>((65540.4/1800)/60)*15</f>
        <v>9.1028333333333329</v>
      </c>
      <c r="E99" s="45">
        <f>D99*22%</f>
        <v>2.0026233333333332</v>
      </c>
      <c r="F99" s="55">
        <v>2.31</v>
      </c>
      <c r="G99" s="56">
        <f>C100*0.1</f>
        <v>1.5</v>
      </c>
      <c r="H99" s="45">
        <f>D99*0.34</f>
        <v>3.0949633333333333</v>
      </c>
      <c r="I99" s="45">
        <f t="shared" si="3"/>
        <v>18.01042</v>
      </c>
      <c r="J99" s="46">
        <f t="shared" si="4"/>
        <v>6.3036469999999998</v>
      </c>
      <c r="K99" s="53">
        <v>24</v>
      </c>
    </row>
    <row r="100" spans="1:11" s="38" customFormat="1" ht="21" customHeight="1">
      <c r="A100" s="48"/>
      <c r="B100" s="74" t="s">
        <v>250</v>
      </c>
      <c r="C100" s="49">
        <v>15</v>
      </c>
      <c r="D100" s="58"/>
      <c r="E100" s="45"/>
      <c r="F100" s="55"/>
      <c r="G100" s="56"/>
      <c r="H100" s="45"/>
      <c r="I100" s="45">
        <f t="shared" si="3"/>
        <v>0</v>
      </c>
      <c r="J100" s="46">
        <f t="shared" si="4"/>
        <v>0</v>
      </c>
      <c r="K100" s="53">
        <f>I100+J100</f>
        <v>0</v>
      </c>
    </row>
    <row r="101" spans="1:11" s="38" customFormat="1" ht="21" customHeight="1">
      <c r="A101" s="48"/>
      <c r="B101" s="73" t="s">
        <v>311</v>
      </c>
      <c r="C101" s="49"/>
      <c r="D101" s="58">
        <f>((65540.4/1800)/60)*15</f>
        <v>9.1028333333333329</v>
      </c>
      <c r="E101" s="45">
        <f>D101*22%</f>
        <v>2.0026233333333332</v>
      </c>
      <c r="F101" s="55">
        <v>2.2400000000000002</v>
      </c>
      <c r="G101" s="56">
        <f>C102*0.1</f>
        <v>1.5</v>
      </c>
      <c r="H101" s="45">
        <f>D101*0.34</f>
        <v>3.0949633333333333</v>
      </c>
      <c r="I101" s="45">
        <f t="shared" si="3"/>
        <v>17.94042</v>
      </c>
      <c r="J101" s="46">
        <f t="shared" si="4"/>
        <v>6.2791469999999991</v>
      </c>
      <c r="K101" s="53">
        <v>24</v>
      </c>
    </row>
    <row r="102" spans="1:11" s="38" customFormat="1" ht="21" customHeight="1">
      <c r="A102" s="48"/>
      <c r="B102" s="74" t="s">
        <v>250</v>
      </c>
      <c r="C102" s="49">
        <v>15</v>
      </c>
      <c r="D102" s="58"/>
      <c r="E102" s="45"/>
      <c r="F102" s="55"/>
      <c r="G102" s="56"/>
      <c r="H102" s="45"/>
      <c r="I102" s="45">
        <f t="shared" si="3"/>
        <v>0</v>
      </c>
      <c r="J102" s="46">
        <f t="shared" si="4"/>
        <v>0</v>
      </c>
      <c r="K102" s="53">
        <f>I102+J102</f>
        <v>0</v>
      </c>
    </row>
    <row r="103" spans="1:11" s="38" customFormat="1" ht="21" customHeight="1">
      <c r="A103" s="48"/>
      <c r="B103" s="73" t="s">
        <v>312</v>
      </c>
      <c r="C103" s="49"/>
      <c r="D103" s="58">
        <f>((65540.4/1800)/60)*5</f>
        <v>3.0342777777777776</v>
      </c>
      <c r="E103" s="45">
        <f>D103*22%</f>
        <v>0.66754111111111103</v>
      </c>
      <c r="F103" s="55">
        <v>2.2400000000000002</v>
      </c>
      <c r="G103" s="56">
        <f>C104*0.1</f>
        <v>0.5</v>
      </c>
      <c r="H103" s="45">
        <f>D103*0.34</f>
        <v>1.0316544444444444</v>
      </c>
      <c r="I103" s="45">
        <f t="shared" si="3"/>
        <v>7.4734733333333336</v>
      </c>
      <c r="J103" s="46">
        <f t="shared" si="4"/>
        <v>2.6157156666666666</v>
      </c>
      <c r="K103" s="53">
        <v>10</v>
      </c>
    </row>
    <row r="104" spans="1:11" s="38" customFormat="1" ht="21" customHeight="1">
      <c r="A104" s="48"/>
      <c r="B104" s="74" t="s">
        <v>250</v>
      </c>
      <c r="C104" s="49">
        <v>5</v>
      </c>
      <c r="D104" s="58"/>
      <c r="E104" s="45"/>
      <c r="F104" s="55"/>
      <c r="G104" s="56"/>
      <c r="H104" s="45"/>
      <c r="I104" s="45">
        <f t="shared" si="3"/>
        <v>0</v>
      </c>
      <c r="J104" s="46">
        <f t="shared" si="4"/>
        <v>0</v>
      </c>
      <c r="K104" s="53">
        <f>I104+J104</f>
        <v>0</v>
      </c>
    </row>
    <row r="105" spans="1:11" s="38" customFormat="1" ht="21" customHeight="1">
      <c r="A105" s="48"/>
      <c r="B105" s="73" t="s">
        <v>313</v>
      </c>
      <c r="C105" s="49"/>
      <c r="D105" s="58">
        <f>((65540.4/1800)/60)*15</f>
        <v>9.1028333333333329</v>
      </c>
      <c r="E105" s="45">
        <f>D105*22%</f>
        <v>2.0026233333333332</v>
      </c>
      <c r="F105" s="55">
        <v>3.28</v>
      </c>
      <c r="G105" s="56">
        <f>C106*0.1</f>
        <v>1.5</v>
      </c>
      <c r="H105" s="45">
        <f>D105*0.34</f>
        <v>3.0949633333333333</v>
      </c>
      <c r="I105" s="45">
        <f t="shared" si="3"/>
        <v>18.980419999999999</v>
      </c>
      <c r="J105" s="46">
        <f t="shared" si="4"/>
        <v>6.643146999999999</v>
      </c>
      <c r="K105" s="53">
        <v>26</v>
      </c>
    </row>
    <row r="106" spans="1:11" s="38" customFormat="1" ht="21" customHeight="1">
      <c r="A106" s="48"/>
      <c r="B106" s="74" t="s">
        <v>250</v>
      </c>
      <c r="C106" s="49">
        <v>15</v>
      </c>
      <c r="D106" s="58"/>
      <c r="E106" s="45"/>
      <c r="F106" s="55"/>
      <c r="G106" s="56"/>
      <c r="H106" s="45"/>
      <c r="I106" s="45">
        <f t="shared" si="3"/>
        <v>0</v>
      </c>
      <c r="J106" s="46">
        <f t="shared" si="4"/>
        <v>0</v>
      </c>
      <c r="K106" s="53">
        <f>I106+J106</f>
        <v>0</v>
      </c>
    </row>
    <row r="107" spans="1:11" s="38" customFormat="1" ht="21" customHeight="1">
      <c r="A107" s="48"/>
      <c r="B107" s="73" t="s">
        <v>314</v>
      </c>
      <c r="C107" s="49"/>
      <c r="D107" s="58">
        <f>((65540.4/1800)/60)*5</f>
        <v>3.0342777777777776</v>
      </c>
      <c r="E107" s="45">
        <f>D107*22%</f>
        <v>0.66754111111111103</v>
      </c>
      <c r="F107" s="55">
        <v>3.28</v>
      </c>
      <c r="G107" s="56">
        <f>C108*0.1</f>
        <v>0.5</v>
      </c>
      <c r="H107" s="45">
        <f>D107*0.34</f>
        <v>1.0316544444444444</v>
      </c>
      <c r="I107" s="45">
        <f t="shared" si="3"/>
        <v>8.5134733333333337</v>
      </c>
      <c r="J107" s="46">
        <f t="shared" si="4"/>
        <v>2.9797156666666664</v>
      </c>
      <c r="K107" s="53">
        <v>12</v>
      </c>
    </row>
    <row r="108" spans="1:11" s="38" customFormat="1" ht="21" customHeight="1">
      <c r="A108" s="48"/>
      <c r="B108" s="74" t="s">
        <v>250</v>
      </c>
      <c r="C108" s="49">
        <v>5</v>
      </c>
      <c r="D108" s="58"/>
      <c r="E108" s="45"/>
      <c r="F108" s="55"/>
      <c r="G108" s="56"/>
      <c r="H108" s="45"/>
      <c r="I108" s="45">
        <f t="shared" si="3"/>
        <v>0</v>
      </c>
      <c r="J108" s="46">
        <f t="shared" si="4"/>
        <v>0</v>
      </c>
      <c r="K108" s="53">
        <f>I108+J108</f>
        <v>0</v>
      </c>
    </row>
    <row r="109" spans="1:11" s="38" customFormat="1" ht="21" customHeight="1">
      <c r="A109" s="48"/>
      <c r="B109" s="73" t="s">
        <v>315</v>
      </c>
      <c r="C109" s="49"/>
      <c r="D109" s="58">
        <f>((65540.4/1800)/60)*10</f>
        <v>6.0685555555555553</v>
      </c>
      <c r="E109" s="45">
        <f>D109*22%</f>
        <v>1.3350822222222221</v>
      </c>
      <c r="F109" s="55">
        <v>2.3199999999999998</v>
      </c>
      <c r="G109" s="56">
        <f>C110*0.1</f>
        <v>1</v>
      </c>
      <c r="H109" s="45">
        <f>D109*0.34</f>
        <v>2.0633088888888889</v>
      </c>
      <c r="I109" s="45">
        <f t="shared" si="3"/>
        <v>12.786946666666665</v>
      </c>
      <c r="J109" s="46">
        <f t="shared" si="4"/>
        <v>4.4754313333333329</v>
      </c>
      <c r="K109" s="53">
        <v>17</v>
      </c>
    </row>
    <row r="110" spans="1:11" s="38" customFormat="1" ht="21" customHeight="1">
      <c r="A110" s="48"/>
      <c r="B110" s="74" t="s">
        <v>250</v>
      </c>
      <c r="C110" s="49">
        <v>10</v>
      </c>
      <c r="D110" s="58"/>
      <c r="E110" s="45"/>
      <c r="F110" s="55"/>
      <c r="G110" s="56"/>
      <c r="H110" s="45"/>
      <c r="I110" s="45">
        <f t="shared" si="3"/>
        <v>0</v>
      </c>
      <c r="J110" s="46">
        <f t="shared" si="4"/>
        <v>0</v>
      </c>
      <c r="K110" s="53">
        <f>I110+J110</f>
        <v>0</v>
      </c>
    </row>
    <row r="111" spans="1:11" s="38" customFormat="1" ht="21" customHeight="1">
      <c r="A111" s="48"/>
      <c r="B111" s="73" t="s">
        <v>316</v>
      </c>
      <c r="C111" s="49"/>
      <c r="D111" s="58">
        <f>((65540.4/1800)/60)*15</f>
        <v>9.1028333333333329</v>
      </c>
      <c r="E111" s="45">
        <f>D111*22%</f>
        <v>2.0026233333333332</v>
      </c>
      <c r="F111" s="55">
        <v>2.3199999999999998</v>
      </c>
      <c r="G111" s="56">
        <f>C112*0.1</f>
        <v>1.5</v>
      </c>
      <c r="H111" s="45">
        <f>D111*0.34</f>
        <v>3.0949633333333333</v>
      </c>
      <c r="I111" s="45">
        <f t="shared" si="3"/>
        <v>18.020419999999998</v>
      </c>
      <c r="J111" s="46">
        <f t="shared" si="4"/>
        <v>6.3071469999999987</v>
      </c>
      <c r="K111" s="53">
        <v>24</v>
      </c>
    </row>
    <row r="112" spans="1:11" s="38" customFormat="1" ht="21" customHeight="1">
      <c r="A112" s="48"/>
      <c r="B112" s="74" t="s">
        <v>250</v>
      </c>
      <c r="C112" s="49">
        <v>15</v>
      </c>
      <c r="D112" s="58"/>
      <c r="E112" s="45"/>
      <c r="F112" s="55"/>
      <c r="G112" s="56"/>
      <c r="H112" s="45"/>
      <c r="I112" s="45">
        <f t="shared" si="3"/>
        <v>0</v>
      </c>
      <c r="J112" s="46">
        <f t="shared" si="4"/>
        <v>0</v>
      </c>
      <c r="K112" s="53">
        <f>I112+J112</f>
        <v>0</v>
      </c>
    </row>
    <row r="113" spans="1:11" s="38" customFormat="1" ht="21" customHeight="1">
      <c r="A113" s="48"/>
      <c r="B113" s="73" t="s">
        <v>317</v>
      </c>
      <c r="C113" s="49"/>
      <c r="D113" s="58">
        <f>((65540.4/1800)/60)*15</f>
        <v>9.1028333333333329</v>
      </c>
      <c r="E113" s="45">
        <f>D113*22%</f>
        <v>2.0026233333333332</v>
      </c>
      <c r="F113" s="55">
        <v>2.3199999999999998</v>
      </c>
      <c r="G113" s="56">
        <f>C114*0.1</f>
        <v>1.5</v>
      </c>
      <c r="H113" s="45">
        <f>D113*0.34</f>
        <v>3.0949633333333333</v>
      </c>
      <c r="I113" s="45">
        <f t="shared" si="3"/>
        <v>18.020419999999998</v>
      </c>
      <c r="J113" s="46">
        <f t="shared" si="4"/>
        <v>6.3071469999999987</v>
      </c>
      <c r="K113" s="53">
        <v>24</v>
      </c>
    </row>
    <row r="114" spans="1:11" s="38" customFormat="1" ht="21" customHeight="1">
      <c r="A114" s="48"/>
      <c r="B114" s="74" t="s">
        <v>250</v>
      </c>
      <c r="C114" s="49">
        <v>15</v>
      </c>
      <c r="D114" s="58"/>
      <c r="E114" s="45"/>
      <c r="F114" s="55"/>
      <c r="G114" s="56"/>
      <c r="H114" s="45"/>
      <c r="I114" s="45">
        <f t="shared" si="3"/>
        <v>0</v>
      </c>
      <c r="J114" s="46">
        <f t="shared" si="4"/>
        <v>0</v>
      </c>
      <c r="K114" s="53">
        <f>I114+J114</f>
        <v>0</v>
      </c>
    </row>
    <row r="115" spans="1:11" s="38" customFormat="1" ht="21" customHeight="1">
      <c r="A115" s="48"/>
      <c r="B115" s="73" t="s">
        <v>318</v>
      </c>
      <c r="C115" s="49"/>
      <c r="D115" s="58">
        <f>((65540.4/1800)/60)*5</f>
        <v>3.0342777777777776</v>
      </c>
      <c r="E115" s="45">
        <f>D115*22%</f>
        <v>0.66754111111111103</v>
      </c>
      <c r="F115" s="55">
        <v>2.3199999999999998</v>
      </c>
      <c r="G115" s="58"/>
      <c r="H115" s="45">
        <f>D115*0.34</f>
        <v>1.0316544444444444</v>
      </c>
      <c r="I115" s="45">
        <f t="shared" si="3"/>
        <v>7.0534733333333328</v>
      </c>
      <c r="J115" s="46">
        <f t="shared" si="4"/>
        <v>2.4687156666666663</v>
      </c>
      <c r="K115" s="53">
        <v>10</v>
      </c>
    </row>
    <row r="116" spans="1:11" s="38" customFormat="1" ht="21" customHeight="1">
      <c r="A116" s="48"/>
      <c r="B116" s="74" t="s">
        <v>250</v>
      </c>
      <c r="C116" s="49">
        <v>5</v>
      </c>
      <c r="D116" s="58"/>
      <c r="E116" s="45"/>
      <c r="F116" s="55"/>
      <c r="G116" s="58"/>
      <c r="H116" s="45"/>
      <c r="I116" s="45">
        <f t="shared" si="3"/>
        <v>0</v>
      </c>
      <c r="J116" s="46">
        <f t="shared" si="4"/>
        <v>0</v>
      </c>
      <c r="K116" s="53">
        <f>I116+J116</f>
        <v>0</v>
      </c>
    </row>
    <row r="117" spans="1:11" s="38" customFormat="1" ht="21" customHeight="1">
      <c r="A117" s="48"/>
      <c r="B117" s="73" t="s">
        <v>319</v>
      </c>
      <c r="C117" s="49"/>
      <c r="D117" s="58">
        <f>((65540.4/1800)/60)*5</f>
        <v>3.0342777777777776</v>
      </c>
      <c r="E117" s="45">
        <f>D117*22%</f>
        <v>0.66754111111111103</v>
      </c>
      <c r="F117" s="55">
        <v>3.28</v>
      </c>
      <c r="G117" s="58"/>
      <c r="H117" s="45">
        <f>D117*0.34</f>
        <v>1.0316544444444444</v>
      </c>
      <c r="I117" s="45">
        <f t="shared" si="3"/>
        <v>8.0134733333333337</v>
      </c>
      <c r="J117" s="46">
        <f t="shared" si="4"/>
        <v>2.8047156666666666</v>
      </c>
      <c r="K117" s="53">
        <v>11</v>
      </c>
    </row>
    <row r="118" spans="1:11" s="38" customFormat="1" ht="21" customHeight="1">
      <c r="A118" s="48"/>
      <c r="B118" s="74" t="s">
        <v>250</v>
      </c>
      <c r="C118" s="49">
        <v>5</v>
      </c>
      <c r="D118" s="58"/>
      <c r="E118" s="45"/>
      <c r="F118" s="55"/>
      <c r="G118" s="58"/>
      <c r="H118" s="45"/>
      <c r="I118" s="45">
        <f t="shared" si="3"/>
        <v>0</v>
      </c>
      <c r="J118" s="46">
        <f t="shared" si="4"/>
        <v>0</v>
      </c>
      <c r="K118" s="53">
        <f>I118+J118</f>
        <v>0</v>
      </c>
    </row>
    <row r="119" spans="1:11" s="38" customFormat="1" ht="21" customHeight="1">
      <c r="A119" s="48"/>
      <c r="B119" s="43" t="s">
        <v>320</v>
      </c>
      <c r="C119" s="49"/>
      <c r="D119" s="58"/>
      <c r="E119" s="45">
        <f>D119*22%</f>
        <v>0</v>
      </c>
      <c r="F119" s="55"/>
      <c r="G119" s="58"/>
      <c r="H119" s="45">
        <f>D119*0.34</f>
        <v>0</v>
      </c>
      <c r="I119" s="47">
        <f>SUM(I120:I145)</f>
        <v>176.993864</v>
      </c>
      <c r="J119" s="46">
        <f t="shared" si="4"/>
        <v>61.947852399999995</v>
      </c>
      <c r="K119" s="47">
        <f>SUM(K120:K145)</f>
        <v>238</v>
      </c>
    </row>
    <row r="120" spans="1:11" s="38" customFormat="1" ht="21" customHeight="1">
      <c r="A120" s="48"/>
      <c r="B120" s="73" t="s">
        <v>302</v>
      </c>
      <c r="C120" s="49"/>
      <c r="D120" s="58">
        <f>((65540.4/1800)/60)*8</f>
        <v>4.8548444444444439</v>
      </c>
      <c r="E120" s="45">
        <f>D120*22%</f>
        <v>1.0680657777777776</v>
      </c>
      <c r="F120" s="55">
        <v>2.17</v>
      </c>
      <c r="G120" s="56">
        <f>C121*0.1</f>
        <v>0.8</v>
      </c>
      <c r="H120" s="45">
        <f>D120*0.34</f>
        <v>1.650647111111111</v>
      </c>
      <c r="I120" s="45">
        <f t="shared" si="3"/>
        <v>10.543557333333332</v>
      </c>
      <c r="J120" s="46">
        <f t="shared" si="4"/>
        <v>3.690245066666666</v>
      </c>
      <c r="K120" s="53">
        <v>14</v>
      </c>
    </row>
    <row r="121" spans="1:11" s="38" customFormat="1" ht="21" customHeight="1">
      <c r="A121" s="48"/>
      <c r="B121" s="74" t="s">
        <v>250</v>
      </c>
      <c r="C121" s="49">
        <v>8</v>
      </c>
      <c r="D121" s="58"/>
      <c r="E121" s="45"/>
      <c r="F121" s="55"/>
      <c r="G121" s="56"/>
      <c r="H121" s="45"/>
      <c r="I121" s="45">
        <f t="shared" si="3"/>
        <v>0</v>
      </c>
      <c r="J121" s="46">
        <f t="shared" si="4"/>
        <v>0</v>
      </c>
      <c r="K121" s="53">
        <f>I121+J121</f>
        <v>0</v>
      </c>
    </row>
    <row r="122" spans="1:11" s="38" customFormat="1" ht="21" customHeight="1">
      <c r="A122" s="48"/>
      <c r="B122" s="73" t="s">
        <v>303</v>
      </c>
      <c r="C122" s="49"/>
      <c r="D122" s="58">
        <f>((65540.4/1800)/60)*15</f>
        <v>9.1028333333333329</v>
      </c>
      <c r="E122" s="45">
        <f>D122*22%</f>
        <v>2.0026233333333332</v>
      </c>
      <c r="F122" s="55">
        <v>2.2400000000000002</v>
      </c>
      <c r="G122" s="56">
        <f>C123*0.1</f>
        <v>1.5</v>
      </c>
      <c r="H122" s="45">
        <f>D122*0.34</f>
        <v>3.0949633333333333</v>
      </c>
      <c r="I122" s="45">
        <f t="shared" si="3"/>
        <v>17.94042</v>
      </c>
      <c r="J122" s="46">
        <f t="shared" si="4"/>
        <v>6.2791469999999991</v>
      </c>
      <c r="K122" s="53">
        <v>24</v>
      </c>
    </row>
    <row r="123" spans="1:11" s="38" customFormat="1" ht="21" customHeight="1">
      <c r="A123" s="48"/>
      <c r="B123" s="74" t="s">
        <v>250</v>
      </c>
      <c r="C123" s="49">
        <v>15</v>
      </c>
      <c r="D123" s="58"/>
      <c r="E123" s="45"/>
      <c r="F123" s="55"/>
      <c r="G123" s="56"/>
      <c r="H123" s="45"/>
      <c r="I123" s="45">
        <f t="shared" si="3"/>
        <v>0</v>
      </c>
      <c r="J123" s="46">
        <f t="shared" si="4"/>
        <v>0</v>
      </c>
      <c r="K123" s="53">
        <f>I123+J123</f>
        <v>0</v>
      </c>
    </row>
    <row r="124" spans="1:11" s="38" customFormat="1" ht="21" customHeight="1">
      <c r="A124" s="48"/>
      <c r="B124" s="73" t="s">
        <v>304</v>
      </c>
      <c r="C124" s="49"/>
      <c r="D124" s="58">
        <f>((65540.4/1800)/60)*15</f>
        <v>9.1028333333333329</v>
      </c>
      <c r="E124" s="45">
        <f>D124*22%</f>
        <v>2.0026233333333332</v>
      </c>
      <c r="F124" s="55">
        <v>3.89</v>
      </c>
      <c r="G124" s="56">
        <f>C125*0.1</f>
        <v>1.5</v>
      </c>
      <c r="H124" s="45">
        <f>D124*0.34</f>
        <v>3.0949633333333333</v>
      </c>
      <c r="I124" s="45">
        <f t="shared" si="3"/>
        <v>19.590419999999998</v>
      </c>
      <c r="J124" s="46">
        <f t="shared" si="4"/>
        <v>6.8566469999999988</v>
      </c>
      <c r="K124" s="53">
        <v>26</v>
      </c>
    </row>
    <row r="125" spans="1:11" s="38" customFormat="1" ht="21" customHeight="1">
      <c r="A125" s="48"/>
      <c r="B125" s="74" t="s">
        <v>250</v>
      </c>
      <c r="C125" s="49">
        <v>15</v>
      </c>
      <c r="D125" s="58"/>
      <c r="E125" s="45"/>
      <c r="F125" s="55"/>
      <c r="G125" s="56"/>
      <c r="H125" s="45"/>
      <c r="I125" s="45">
        <f t="shared" si="3"/>
        <v>0</v>
      </c>
      <c r="J125" s="46">
        <f t="shared" si="4"/>
        <v>0</v>
      </c>
      <c r="K125" s="53">
        <f>I125+J125</f>
        <v>0</v>
      </c>
    </row>
    <row r="126" spans="1:11" s="38" customFormat="1" ht="21" customHeight="1">
      <c r="A126" s="48"/>
      <c r="B126" s="73" t="s">
        <v>305</v>
      </c>
      <c r="C126" s="49"/>
      <c r="D126" s="58">
        <f>((65540.4/1800)/60)*15</f>
        <v>9.1028333333333329</v>
      </c>
      <c r="E126" s="45">
        <f>D126*22%</f>
        <v>2.0026233333333332</v>
      </c>
      <c r="F126" s="55">
        <v>3.6</v>
      </c>
      <c r="G126" s="56">
        <f>C127*0.1</f>
        <v>1.5</v>
      </c>
      <c r="H126" s="45">
        <f>D126*0.34</f>
        <v>3.0949633333333333</v>
      </c>
      <c r="I126" s="45">
        <f t="shared" si="3"/>
        <v>19.300419999999999</v>
      </c>
      <c r="J126" s="46">
        <f t="shared" si="4"/>
        <v>6.7551469999999991</v>
      </c>
      <c r="K126" s="53">
        <v>26</v>
      </c>
    </row>
    <row r="127" spans="1:11" s="38" customFormat="1" ht="21" customHeight="1">
      <c r="A127" s="48"/>
      <c r="B127" s="74" t="s">
        <v>250</v>
      </c>
      <c r="C127" s="49">
        <v>15</v>
      </c>
      <c r="D127" s="58"/>
      <c r="E127" s="45"/>
      <c r="F127" s="55"/>
      <c r="G127" s="56"/>
      <c r="H127" s="45"/>
      <c r="I127" s="45">
        <f t="shared" si="3"/>
        <v>0</v>
      </c>
      <c r="J127" s="46">
        <f t="shared" si="4"/>
        <v>0</v>
      </c>
      <c r="K127" s="53">
        <f>I127+J127</f>
        <v>0</v>
      </c>
    </row>
    <row r="128" spans="1:11" s="38" customFormat="1" ht="21" customHeight="1">
      <c r="A128" s="48"/>
      <c r="B128" s="73" t="s">
        <v>306</v>
      </c>
      <c r="C128" s="49"/>
      <c r="D128" s="58">
        <f>((65540.4/1800)/60)*10</f>
        <v>6.0685555555555553</v>
      </c>
      <c r="E128" s="45">
        <f>D128*22%</f>
        <v>1.3350822222222221</v>
      </c>
      <c r="F128" s="55">
        <v>1.48</v>
      </c>
      <c r="G128" s="56">
        <f>C129*0.1</f>
        <v>1</v>
      </c>
      <c r="H128" s="45">
        <f>D128*0.34</f>
        <v>2.0633088888888889</v>
      </c>
      <c r="I128" s="45">
        <f t="shared" si="3"/>
        <v>11.946946666666665</v>
      </c>
      <c r="J128" s="46">
        <f t="shared" si="4"/>
        <v>4.1814313333333324</v>
      </c>
      <c r="K128" s="53">
        <v>16</v>
      </c>
    </row>
    <row r="129" spans="1:11" s="38" customFormat="1" ht="21" customHeight="1">
      <c r="A129" s="48"/>
      <c r="B129" s="74" t="s">
        <v>250</v>
      </c>
      <c r="C129" s="49">
        <v>10</v>
      </c>
      <c r="D129" s="58"/>
      <c r="E129" s="45"/>
      <c r="F129" s="55"/>
      <c r="G129" s="56"/>
      <c r="H129" s="45"/>
      <c r="I129" s="45">
        <f t="shared" si="3"/>
        <v>0</v>
      </c>
      <c r="J129" s="46">
        <f t="shared" si="4"/>
        <v>0</v>
      </c>
      <c r="K129" s="53">
        <f>I129+J129</f>
        <v>0</v>
      </c>
    </row>
    <row r="130" spans="1:11" s="38" customFormat="1" ht="21" customHeight="1">
      <c r="A130" s="48"/>
      <c r="B130" s="73" t="s">
        <v>307</v>
      </c>
      <c r="C130" s="49"/>
      <c r="D130" s="58">
        <f>((65540.4/1800)/60)*5</f>
        <v>3.0342777777777776</v>
      </c>
      <c r="E130" s="45">
        <f>D130*22%</f>
        <v>0.66754111111111103</v>
      </c>
      <c r="F130" s="55">
        <v>1.48</v>
      </c>
      <c r="G130" s="56">
        <f>C131*0.1</f>
        <v>0.5</v>
      </c>
      <c r="H130" s="45">
        <f>D130*0.34</f>
        <v>1.0316544444444444</v>
      </c>
      <c r="I130" s="45">
        <f t="shared" si="3"/>
        <v>6.713473333333333</v>
      </c>
      <c r="J130" s="46">
        <f t="shared" si="4"/>
        <v>2.3497156666666665</v>
      </c>
      <c r="K130" s="53">
        <v>9</v>
      </c>
    </row>
    <row r="131" spans="1:11" s="38" customFormat="1" ht="21" customHeight="1">
      <c r="A131" s="48"/>
      <c r="B131" s="74" t="s">
        <v>250</v>
      </c>
      <c r="C131" s="49">
        <v>5</v>
      </c>
      <c r="D131" s="58"/>
      <c r="E131" s="45"/>
      <c r="F131" s="55"/>
      <c r="G131" s="56"/>
      <c r="H131" s="45"/>
      <c r="I131" s="45">
        <f t="shared" si="3"/>
        <v>0</v>
      </c>
      <c r="J131" s="46">
        <f t="shared" si="4"/>
        <v>0</v>
      </c>
      <c r="K131" s="53">
        <f>I131+J131</f>
        <v>0</v>
      </c>
    </row>
    <row r="132" spans="1:11" s="38" customFormat="1" ht="21" customHeight="1">
      <c r="A132" s="48"/>
      <c r="B132" s="73" t="s">
        <v>308</v>
      </c>
      <c r="C132" s="49"/>
      <c r="D132" s="58">
        <f>((65540.4/1800)/60)*10</f>
        <v>6.0685555555555553</v>
      </c>
      <c r="E132" s="45">
        <f>D132*22%</f>
        <v>1.3350822222222221</v>
      </c>
      <c r="F132" s="55">
        <v>2.17</v>
      </c>
      <c r="G132" s="56">
        <f>C133*0.1</f>
        <v>1</v>
      </c>
      <c r="H132" s="45">
        <f>D132*0.34</f>
        <v>2.0633088888888889</v>
      </c>
      <c r="I132" s="45">
        <f t="shared" si="3"/>
        <v>12.636946666666667</v>
      </c>
      <c r="J132" s="46">
        <f t="shared" si="4"/>
        <v>4.4229313333333327</v>
      </c>
      <c r="K132" s="53">
        <v>17</v>
      </c>
    </row>
    <row r="133" spans="1:11" s="38" customFormat="1" ht="21" customHeight="1">
      <c r="A133" s="48"/>
      <c r="B133" s="74" t="s">
        <v>250</v>
      </c>
      <c r="C133" s="49">
        <v>10</v>
      </c>
      <c r="D133" s="58"/>
      <c r="E133" s="45"/>
      <c r="F133" s="55"/>
      <c r="G133" s="56"/>
      <c r="H133" s="45"/>
      <c r="I133" s="45">
        <f t="shared" si="3"/>
        <v>0</v>
      </c>
      <c r="J133" s="46">
        <f t="shared" si="4"/>
        <v>0</v>
      </c>
      <c r="K133" s="53">
        <f>I133+J133</f>
        <v>0</v>
      </c>
    </row>
    <row r="134" spans="1:11" s="38" customFormat="1" ht="21" customHeight="1">
      <c r="A134" s="48"/>
      <c r="B134" s="73" t="s">
        <v>309</v>
      </c>
      <c r="C134" s="49"/>
      <c r="D134" s="58">
        <f>((65540.4/1800)/60)*5</f>
        <v>3.0342777777777776</v>
      </c>
      <c r="E134" s="45">
        <f>D134*22%</f>
        <v>0.66754111111111103</v>
      </c>
      <c r="F134" s="55">
        <v>2.17</v>
      </c>
      <c r="G134" s="56">
        <f>C135*0.1</f>
        <v>0.5</v>
      </c>
      <c r="H134" s="45">
        <f>D134*0.34</f>
        <v>1.0316544444444444</v>
      </c>
      <c r="I134" s="45">
        <f t="shared" si="3"/>
        <v>7.4034733333333334</v>
      </c>
      <c r="J134" s="46">
        <f t="shared" si="4"/>
        <v>2.5912156666666664</v>
      </c>
      <c r="K134" s="53">
        <v>10</v>
      </c>
    </row>
    <row r="135" spans="1:11" s="38" customFormat="1" ht="21" customHeight="1">
      <c r="A135" s="48"/>
      <c r="B135" s="74" t="s">
        <v>250</v>
      </c>
      <c r="C135" s="49">
        <v>5</v>
      </c>
      <c r="D135" s="58"/>
      <c r="E135" s="45"/>
      <c r="F135" s="55"/>
      <c r="G135" s="56"/>
      <c r="H135" s="45"/>
      <c r="I135" s="45">
        <f t="shared" si="3"/>
        <v>0</v>
      </c>
      <c r="J135" s="46">
        <f t="shared" si="4"/>
        <v>0</v>
      </c>
      <c r="K135" s="53">
        <f>I135+J135</f>
        <v>0</v>
      </c>
    </row>
    <row r="136" spans="1:11" s="38" customFormat="1" ht="21" customHeight="1">
      <c r="A136" s="48"/>
      <c r="B136" s="73" t="s">
        <v>310</v>
      </c>
      <c r="C136" s="49"/>
      <c r="D136" s="58">
        <f>((65540.4/1800)/60)*15</f>
        <v>9.1028333333333329</v>
      </c>
      <c r="E136" s="45">
        <f>D136*22%</f>
        <v>2.0026233333333332</v>
      </c>
      <c r="F136" s="55">
        <v>2.31</v>
      </c>
      <c r="G136" s="56">
        <f>C137*0.1</f>
        <v>1.5</v>
      </c>
      <c r="H136" s="45">
        <f>D136*0.34</f>
        <v>3.0949633333333333</v>
      </c>
      <c r="I136" s="45">
        <f t="shared" ref="I136:I198" si="5">H136+G136+F136+E136+D136</f>
        <v>18.01042</v>
      </c>
      <c r="J136" s="46">
        <f t="shared" ref="J136:J198" si="6">I136*35%</f>
        <v>6.3036469999999998</v>
      </c>
      <c r="K136" s="53">
        <v>24</v>
      </c>
    </row>
    <row r="137" spans="1:11" s="38" customFormat="1" ht="21" customHeight="1">
      <c r="A137" s="48"/>
      <c r="B137" s="74" t="s">
        <v>250</v>
      </c>
      <c r="C137" s="49">
        <v>15</v>
      </c>
      <c r="D137" s="58"/>
      <c r="E137" s="45"/>
      <c r="F137" s="55"/>
      <c r="G137" s="56"/>
      <c r="H137" s="45"/>
      <c r="I137" s="45">
        <f t="shared" si="5"/>
        <v>0</v>
      </c>
      <c r="J137" s="46">
        <f t="shared" si="6"/>
        <v>0</v>
      </c>
      <c r="K137" s="53">
        <f t="shared" ref="K137:K197" si="7">I137+J137</f>
        <v>0</v>
      </c>
    </row>
    <row r="138" spans="1:11" s="38" customFormat="1" ht="21" customHeight="1">
      <c r="A138" s="48"/>
      <c r="B138" s="73" t="s">
        <v>311</v>
      </c>
      <c r="C138" s="49"/>
      <c r="D138" s="58">
        <f>((65540.4/1800)/60)*15</f>
        <v>9.1028333333333329</v>
      </c>
      <c r="E138" s="45">
        <f>D138*22%</f>
        <v>2.0026233333333332</v>
      </c>
      <c r="F138" s="55">
        <v>2.2400000000000002</v>
      </c>
      <c r="G138" s="56">
        <f>C139*0.1</f>
        <v>1.5</v>
      </c>
      <c r="H138" s="45">
        <f>D138*0.34</f>
        <v>3.0949633333333333</v>
      </c>
      <c r="I138" s="45">
        <f t="shared" si="5"/>
        <v>17.94042</v>
      </c>
      <c r="J138" s="46">
        <f t="shared" si="6"/>
        <v>6.2791469999999991</v>
      </c>
      <c r="K138" s="53">
        <v>24</v>
      </c>
    </row>
    <row r="139" spans="1:11" s="38" customFormat="1" ht="21" customHeight="1">
      <c r="A139" s="48"/>
      <c r="B139" s="74" t="s">
        <v>250</v>
      </c>
      <c r="C139" s="49">
        <v>15</v>
      </c>
      <c r="D139" s="58"/>
      <c r="E139" s="45"/>
      <c r="F139" s="55"/>
      <c r="G139" s="56"/>
      <c r="H139" s="45"/>
      <c r="I139" s="45">
        <f t="shared" si="5"/>
        <v>0</v>
      </c>
      <c r="J139" s="46">
        <f t="shared" si="6"/>
        <v>0</v>
      </c>
      <c r="K139" s="53">
        <f t="shared" si="7"/>
        <v>0</v>
      </c>
    </row>
    <row r="140" spans="1:11" s="38" customFormat="1" ht="21" customHeight="1">
      <c r="A140" s="48"/>
      <c r="B140" s="73" t="s">
        <v>312</v>
      </c>
      <c r="C140" s="49"/>
      <c r="D140" s="58">
        <f>((65540.4/1800)/60)*5</f>
        <v>3.0342777777777776</v>
      </c>
      <c r="E140" s="45">
        <f>D140*22%</f>
        <v>0.66754111111111103</v>
      </c>
      <c r="F140" s="55">
        <v>2.2400000000000002</v>
      </c>
      <c r="G140" s="56">
        <f>C141*0.1</f>
        <v>0.5</v>
      </c>
      <c r="H140" s="45">
        <f>D140*0.34</f>
        <v>1.0316544444444444</v>
      </c>
      <c r="I140" s="45">
        <f t="shared" si="5"/>
        <v>7.4734733333333336</v>
      </c>
      <c r="J140" s="46">
        <f t="shared" si="6"/>
        <v>2.6157156666666666</v>
      </c>
      <c r="K140" s="53">
        <v>10</v>
      </c>
    </row>
    <row r="141" spans="1:11" s="38" customFormat="1" ht="21" customHeight="1">
      <c r="A141" s="48"/>
      <c r="B141" s="74" t="s">
        <v>250</v>
      </c>
      <c r="C141" s="49">
        <v>5</v>
      </c>
      <c r="D141" s="58"/>
      <c r="E141" s="45"/>
      <c r="F141" s="55"/>
      <c r="G141" s="56"/>
      <c r="H141" s="45"/>
      <c r="I141" s="45">
        <f t="shared" si="5"/>
        <v>0</v>
      </c>
      <c r="J141" s="46">
        <f t="shared" si="6"/>
        <v>0</v>
      </c>
      <c r="K141" s="53">
        <f t="shared" si="7"/>
        <v>0</v>
      </c>
    </row>
    <row r="142" spans="1:11" s="38" customFormat="1" ht="21" customHeight="1">
      <c r="A142" s="48"/>
      <c r="B142" s="73" t="s">
        <v>313</v>
      </c>
      <c r="C142" s="49"/>
      <c r="D142" s="58">
        <f>((65540.4/1800)/60)*15</f>
        <v>9.1028333333333329</v>
      </c>
      <c r="E142" s="45">
        <f>D142*22%</f>
        <v>2.0026233333333332</v>
      </c>
      <c r="F142" s="55">
        <v>3.28</v>
      </c>
      <c r="G142" s="56">
        <f>C143*0.1</f>
        <v>1.5</v>
      </c>
      <c r="H142" s="45">
        <f>D142*0.34</f>
        <v>3.0949633333333333</v>
      </c>
      <c r="I142" s="45">
        <f t="shared" si="5"/>
        <v>18.980419999999999</v>
      </c>
      <c r="J142" s="46">
        <f t="shared" si="6"/>
        <v>6.643146999999999</v>
      </c>
      <c r="K142" s="53">
        <v>26</v>
      </c>
    </row>
    <row r="143" spans="1:11" s="38" customFormat="1" ht="21" customHeight="1">
      <c r="A143" s="48"/>
      <c r="B143" s="74" t="s">
        <v>250</v>
      </c>
      <c r="C143" s="49">
        <v>15</v>
      </c>
      <c r="D143" s="58"/>
      <c r="E143" s="45"/>
      <c r="F143" s="55"/>
      <c r="G143" s="56"/>
      <c r="H143" s="45"/>
      <c r="I143" s="45">
        <f t="shared" si="5"/>
        <v>0</v>
      </c>
      <c r="J143" s="46">
        <f t="shared" si="6"/>
        <v>0</v>
      </c>
      <c r="K143" s="53">
        <f t="shared" si="7"/>
        <v>0</v>
      </c>
    </row>
    <row r="144" spans="1:11" s="38" customFormat="1" ht="21" customHeight="1">
      <c r="A144" s="48"/>
      <c r="B144" s="73" t="s">
        <v>314</v>
      </c>
      <c r="C144" s="49"/>
      <c r="D144" s="58">
        <f>((65540.4/1800)/60)*5</f>
        <v>3.0342777777777776</v>
      </c>
      <c r="E144" s="45">
        <f>D144*22%</f>
        <v>0.66754111111111103</v>
      </c>
      <c r="F144" s="55">
        <v>3.28</v>
      </c>
      <c r="G144" s="56">
        <f>C145*0.1</f>
        <v>0.5</v>
      </c>
      <c r="H144" s="45">
        <f>D144*0.34</f>
        <v>1.0316544444444444</v>
      </c>
      <c r="I144" s="45">
        <f t="shared" si="5"/>
        <v>8.5134733333333337</v>
      </c>
      <c r="J144" s="46">
        <f t="shared" si="6"/>
        <v>2.9797156666666664</v>
      </c>
      <c r="K144" s="53">
        <v>12</v>
      </c>
    </row>
    <row r="145" spans="1:11" s="38" customFormat="1" ht="21" customHeight="1">
      <c r="A145" s="48"/>
      <c r="B145" s="74" t="s">
        <v>250</v>
      </c>
      <c r="C145" s="49">
        <v>5</v>
      </c>
      <c r="D145" s="58"/>
      <c r="E145" s="45"/>
      <c r="F145" s="55"/>
      <c r="G145" s="56"/>
      <c r="H145" s="45"/>
      <c r="I145" s="45">
        <f t="shared" si="5"/>
        <v>0</v>
      </c>
      <c r="J145" s="46">
        <f t="shared" si="6"/>
        <v>0</v>
      </c>
      <c r="K145" s="53">
        <f t="shared" si="7"/>
        <v>0</v>
      </c>
    </row>
    <row r="146" spans="1:11" s="38" customFormat="1" ht="21" customHeight="1">
      <c r="A146" s="48"/>
      <c r="B146" s="43" t="s">
        <v>321</v>
      </c>
      <c r="C146" s="49"/>
      <c r="D146" s="58"/>
      <c r="E146" s="45">
        <f>D146*22%</f>
        <v>0</v>
      </c>
      <c r="F146" s="55"/>
      <c r="G146" s="56"/>
      <c r="H146" s="45">
        <f>D146*0.34</f>
        <v>0</v>
      </c>
      <c r="I146" s="45">
        <f t="shared" si="5"/>
        <v>0</v>
      </c>
      <c r="J146" s="46">
        <f t="shared" si="6"/>
        <v>0</v>
      </c>
      <c r="K146" s="47">
        <f t="shared" si="7"/>
        <v>0</v>
      </c>
    </row>
    <row r="147" spans="1:11" s="38" customFormat="1" ht="21" customHeight="1">
      <c r="A147" s="42"/>
      <c r="B147" s="54" t="s">
        <v>322</v>
      </c>
      <c r="C147" s="44"/>
      <c r="D147" s="58">
        <f>((65540.4/1800)/60)*20</f>
        <v>12.137111111111111</v>
      </c>
      <c r="E147" s="45">
        <f>D147*22%</f>
        <v>2.6701644444444441</v>
      </c>
      <c r="F147" s="49">
        <v>2.17</v>
      </c>
      <c r="G147" s="58">
        <f>C148*0.1</f>
        <v>2</v>
      </c>
      <c r="H147" s="45">
        <f>D147*0.34</f>
        <v>4.1266177777777777</v>
      </c>
      <c r="I147" s="45">
        <f t="shared" si="5"/>
        <v>23.103893333333332</v>
      </c>
      <c r="J147" s="46">
        <f t="shared" si="6"/>
        <v>8.0863626666666661</v>
      </c>
      <c r="K147" s="47">
        <v>31</v>
      </c>
    </row>
    <row r="148" spans="1:11" s="38" customFormat="1" ht="21" customHeight="1">
      <c r="A148" s="42"/>
      <c r="B148" s="68" t="s">
        <v>250</v>
      </c>
      <c r="C148" s="49">
        <v>20</v>
      </c>
      <c r="D148" s="58"/>
      <c r="E148" s="45"/>
      <c r="F148" s="49"/>
      <c r="G148" s="58"/>
      <c r="H148" s="45"/>
      <c r="I148" s="45">
        <f t="shared" si="5"/>
        <v>0</v>
      </c>
      <c r="J148" s="46">
        <f t="shared" si="6"/>
        <v>0</v>
      </c>
      <c r="K148" s="47">
        <f t="shared" si="7"/>
        <v>0</v>
      </c>
    </row>
    <row r="149" spans="1:11" s="38" customFormat="1" ht="15" customHeight="1">
      <c r="A149" s="48"/>
      <c r="B149" s="54" t="s">
        <v>302</v>
      </c>
      <c r="C149" s="49"/>
      <c r="D149" s="58">
        <f>((65540.4/1800)/60)*8</f>
        <v>4.8548444444444439</v>
      </c>
      <c r="E149" s="45">
        <f>D149*22%</f>
        <v>1.0680657777777776</v>
      </c>
      <c r="F149" s="55">
        <v>2.17</v>
      </c>
      <c r="G149" s="58">
        <f>C150*0.1</f>
        <v>0.8</v>
      </c>
      <c r="H149" s="45">
        <f>D149*0.34</f>
        <v>1.650647111111111</v>
      </c>
      <c r="I149" s="45">
        <f t="shared" si="5"/>
        <v>10.543557333333332</v>
      </c>
      <c r="J149" s="46">
        <f t="shared" si="6"/>
        <v>3.690245066666666</v>
      </c>
      <c r="K149" s="47">
        <v>14</v>
      </c>
    </row>
    <row r="150" spans="1:11" s="38" customFormat="1" ht="15" customHeight="1">
      <c r="A150" s="48"/>
      <c r="B150" s="68" t="s">
        <v>250</v>
      </c>
      <c r="C150" s="49">
        <v>8</v>
      </c>
      <c r="D150" s="58"/>
      <c r="E150" s="45"/>
      <c r="F150" s="55"/>
      <c r="G150" s="56"/>
      <c r="H150" s="45"/>
      <c r="I150" s="45">
        <f t="shared" si="5"/>
        <v>0</v>
      </c>
      <c r="J150" s="46">
        <f t="shared" si="6"/>
        <v>0</v>
      </c>
      <c r="K150" s="47">
        <f t="shared" si="7"/>
        <v>0</v>
      </c>
    </row>
    <row r="151" spans="1:11" s="38" customFormat="1" ht="15" customHeight="1">
      <c r="A151" s="48"/>
      <c r="B151" s="54" t="s">
        <v>303</v>
      </c>
      <c r="C151" s="49"/>
      <c r="D151" s="58">
        <f>((65540.4/1800)/60)*15</f>
        <v>9.1028333333333329</v>
      </c>
      <c r="E151" s="45">
        <f>D151*22%</f>
        <v>2.0026233333333332</v>
      </c>
      <c r="F151" s="55">
        <v>2.2400000000000002</v>
      </c>
      <c r="G151" s="58">
        <f>C152*0.1</f>
        <v>1.5</v>
      </c>
      <c r="H151" s="45">
        <f>D151*0.34</f>
        <v>3.0949633333333333</v>
      </c>
      <c r="I151" s="45">
        <f t="shared" si="5"/>
        <v>17.94042</v>
      </c>
      <c r="J151" s="46">
        <f t="shared" si="6"/>
        <v>6.2791469999999991</v>
      </c>
      <c r="K151" s="47">
        <v>24</v>
      </c>
    </row>
    <row r="152" spans="1:11" s="38" customFormat="1" ht="15" customHeight="1">
      <c r="A152" s="48"/>
      <c r="B152" s="68" t="s">
        <v>250</v>
      </c>
      <c r="C152" s="49">
        <v>15</v>
      </c>
      <c r="D152" s="58"/>
      <c r="E152" s="45"/>
      <c r="F152" s="55"/>
      <c r="G152" s="56"/>
      <c r="H152" s="45"/>
      <c r="I152" s="45">
        <f t="shared" si="5"/>
        <v>0</v>
      </c>
      <c r="J152" s="46">
        <f t="shared" si="6"/>
        <v>0</v>
      </c>
      <c r="K152" s="47">
        <f t="shared" si="7"/>
        <v>0</v>
      </c>
    </row>
    <row r="153" spans="1:11" s="38" customFormat="1" ht="15" customHeight="1">
      <c r="A153" s="48"/>
      <c r="B153" s="54" t="s">
        <v>304</v>
      </c>
      <c r="C153" s="49"/>
      <c r="D153" s="58">
        <f>((65540.4/1800)/60)*15</f>
        <v>9.1028333333333329</v>
      </c>
      <c r="E153" s="45">
        <f>D153*22%</f>
        <v>2.0026233333333332</v>
      </c>
      <c r="F153" s="55">
        <v>3.89</v>
      </c>
      <c r="G153" s="58">
        <f>C154*0.1</f>
        <v>1.5</v>
      </c>
      <c r="H153" s="45">
        <f>D153*0.34</f>
        <v>3.0949633333333333</v>
      </c>
      <c r="I153" s="45">
        <f t="shared" si="5"/>
        <v>19.590419999999998</v>
      </c>
      <c r="J153" s="46">
        <f t="shared" si="6"/>
        <v>6.8566469999999988</v>
      </c>
      <c r="K153" s="47">
        <v>27</v>
      </c>
    </row>
    <row r="154" spans="1:11" s="38" customFormat="1" ht="15" customHeight="1">
      <c r="A154" s="48"/>
      <c r="B154" s="68" t="s">
        <v>250</v>
      </c>
      <c r="C154" s="49">
        <v>15</v>
      </c>
      <c r="D154" s="58"/>
      <c r="E154" s="45"/>
      <c r="F154" s="55"/>
      <c r="G154" s="56"/>
      <c r="H154" s="45"/>
      <c r="I154" s="45">
        <f t="shared" si="5"/>
        <v>0</v>
      </c>
      <c r="J154" s="46">
        <f t="shared" si="6"/>
        <v>0</v>
      </c>
      <c r="K154" s="47">
        <f t="shared" si="7"/>
        <v>0</v>
      </c>
    </row>
    <row r="155" spans="1:11" s="38" customFormat="1" ht="15" customHeight="1">
      <c r="A155" s="48"/>
      <c r="B155" s="54" t="s">
        <v>305</v>
      </c>
      <c r="C155" s="49"/>
      <c r="D155" s="58">
        <f>((65540.4/1800)/60)*15</f>
        <v>9.1028333333333329</v>
      </c>
      <c r="E155" s="45">
        <f>D155*22%</f>
        <v>2.0026233333333332</v>
      </c>
      <c r="F155" s="55">
        <v>3.6</v>
      </c>
      <c r="G155" s="58">
        <f>C156*0.1</f>
        <v>1.5</v>
      </c>
      <c r="H155" s="45">
        <f>D155*0.34</f>
        <v>3.0949633333333333</v>
      </c>
      <c r="I155" s="45">
        <f t="shared" si="5"/>
        <v>19.300419999999999</v>
      </c>
      <c r="J155" s="46">
        <f t="shared" si="6"/>
        <v>6.7551469999999991</v>
      </c>
      <c r="K155" s="47">
        <v>26</v>
      </c>
    </row>
    <row r="156" spans="1:11" s="38" customFormat="1" ht="15" customHeight="1">
      <c r="A156" s="48"/>
      <c r="B156" s="68" t="s">
        <v>250</v>
      </c>
      <c r="C156" s="49">
        <v>15</v>
      </c>
      <c r="D156" s="58"/>
      <c r="E156" s="45"/>
      <c r="F156" s="55"/>
      <c r="G156" s="56"/>
      <c r="H156" s="45"/>
      <c r="I156" s="45">
        <f t="shared" si="5"/>
        <v>0</v>
      </c>
      <c r="J156" s="46">
        <f t="shared" si="6"/>
        <v>0</v>
      </c>
      <c r="K156" s="47">
        <f t="shared" si="7"/>
        <v>0</v>
      </c>
    </row>
    <row r="157" spans="1:11" s="38" customFormat="1" ht="15" customHeight="1">
      <c r="A157" s="48"/>
      <c r="B157" s="54" t="s">
        <v>306</v>
      </c>
      <c r="C157" s="49"/>
      <c r="D157" s="58">
        <f>((65540.4/1800)/60)*10</f>
        <v>6.0685555555555553</v>
      </c>
      <c r="E157" s="45">
        <f>D157*22%</f>
        <v>1.3350822222222221</v>
      </c>
      <c r="F157" s="55">
        <v>1.48</v>
      </c>
      <c r="G157" s="58">
        <f>C158*0.1</f>
        <v>1</v>
      </c>
      <c r="H157" s="45">
        <f>D157*0.34</f>
        <v>2.0633088888888889</v>
      </c>
      <c r="I157" s="45">
        <f t="shared" si="5"/>
        <v>11.946946666666665</v>
      </c>
      <c r="J157" s="46">
        <f t="shared" si="6"/>
        <v>4.1814313333333324</v>
      </c>
      <c r="K157" s="47">
        <v>16</v>
      </c>
    </row>
    <row r="158" spans="1:11" s="38" customFormat="1" ht="15" customHeight="1">
      <c r="A158" s="48"/>
      <c r="B158" s="68" t="s">
        <v>250</v>
      </c>
      <c r="C158" s="49">
        <v>10</v>
      </c>
      <c r="D158" s="58"/>
      <c r="E158" s="45"/>
      <c r="F158" s="55"/>
      <c r="G158" s="56"/>
      <c r="H158" s="45"/>
      <c r="I158" s="45">
        <f t="shared" si="5"/>
        <v>0</v>
      </c>
      <c r="J158" s="46">
        <f t="shared" si="6"/>
        <v>0</v>
      </c>
      <c r="K158" s="47">
        <f t="shared" si="7"/>
        <v>0</v>
      </c>
    </row>
    <row r="159" spans="1:11" s="38" customFormat="1" ht="15" customHeight="1">
      <c r="A159" s="48"/>
      <c r="B159" s="54" t="s">
        <v>307</v>
      </c>
      <c r="C159" s="49"/>
      <c r="D159" s="58">
        <f>((65540.4/1800)/60)*5</f>
        <v>3.0342777777777776</v>
      </c>
      <c r="E159" s="45">
        <f>D159*22%</f>
        <v>0.66754111111111103</v>
      </c>
      <c r="F159" s="55">
        <v>1.48</v>
      </c>
      <c r="G159" s="58">
        <f>C160*0.1</f>
        <v>0.5</v>
      </c>
      <c r="H159" s="45">
        <f>D159*0.34</f>
        <v>1.0316544444444444</v>
      </c>
      <c r="I159" s="45">
        <f t="shared" si="5"/>
        <v>6.713473333333333</v>
      </c>
      <c r="J159" s="46">
        <f t="shared" si="6"/>
        <v>2.3497156666666665</v>
      </c>
      <c r="K159" s="47">
        <v>9</v>
      </c>
    </row>
    <row r="160" spans="1:11" s="38" customFormat="1" ht="15" customHeight="1">
      <c r="A160" s="48"/>
      <c r="B160" s="68" t="s">
        <v>250</v>
      </c>
      <c r="C160" s="49">
        <v>5</v>
      </c>
      <c r="D160" s="58"/>
      <c r="E160" s="45"/>
      <c r="F160" s="55"/>
      <c r="G160" s="56"/>
      <c r="H160" s="45"/>
      <c r="I160" s="45">
        <f t="shared" si="5"/>
        <v>0</v>
      </c>
      <c r="J160" s="46">
        <f t="shared" si="6"/>
        <v>0</v>
      </c>
      <c r="K160" s="47">
        <f t="shared" si="7"/>
        <v>0</v>
      </c>
    </row>
    <row r="161" spans="1:11" s="38" customFormat="1" ht="15" customHeight="1">
      <c r="A161" s="48"/>
      <c r="B161" s="54" t="s">
        <v>308</v>
      </c>
      <c r="C161" s="49"/>
      <c r="D161" s="58">
        <f>((65540.4/1800)/60)*10</f>
        <v>6.0685555555555553</v>
      </c>
      <c r="E161" s="45">
        <f>D161*22%</f>
        <v>1.3350822222222221</v>
      </c>
      <c r="F161" s="55">
        <v>2.17</v>
      </c>
      <c r="G161" s="58">
        <f>C162*0.1</f>
        <v>1</v>
      </c>
      <c r="H161" s="45">
        <f>D161*0.34</f>
        <v>2.0633088888888889</v>
      </c>
      <c r="I161" s="45">
        <f t="shared" si="5"/>
        <v>12.636946666666667</v>
      </c>
      <c r="J161" s="46">
        <f t="shared" si="6"/>
        <v>4.4229313333333327</v>
      </c>
      <c r="K161" s="47">
        <v>17</v>
      </c>
    </row>
    <row r="162" spans="1:11" s="38" customFormat="1" ht="15" customHeight="1">
      <c r="A162" s="48"/>
      <c r="B162" s="68" t="s">
        <v>250</v>
      </c>
      <c r="C162" s="49">
        <v>10</v>
      </c>
      <c r="D162" s="58"/>
      <c r="E162" s="45"/>
      <c r="F162" s="55"/>
      <c r="G162" s="56"/>
      <c r="H162" s="45"/>
      <c r="I162" s="45">
        <f t="shared" si="5"/>
        <v>0</v>
      </c>
      <c r="J162" s="46">
        <f t="shared" si="6"/>
        <v>0</v>
      </c>
      <c r="K162" s="47">
        <f t="shared" si="7"/>
        <v>0</v>
      </c>
    </row>
    <row r="163" spans="1:11" s="38" customFormat="1" ht="15" customHeight="1">
      <c r="A163" s="48"/>
      <c r="B163" s="54" t="s">
        <v>309</v>
      </c>
      <c r="C163" s="49"/>
      <c r="D163" s="58">
        <f>((65540.4/1800)/60)*5</f>
        <v>3.0342777777777776</v>
      </c>
      <c r="E163" s="45">
        <f>D163*22%</f>
        <v>0.66754111111111103</v>
      </c>
      <c r="F163" s="55">
        <v>2.17</v>
      </c>
      <c r="G163" s="58">
        <f>C164*0.1</f>
        <v>0.5</v>
      </c>
      <c r="H163" s="45">
        <f>D163*0.34</f>
        <v>1.0316544444444444</v>
      </c>
      <c r="I163" s="45">
        <f t="shared" si="5"/>
        <v>7.4034733333333334</v>
      </c>
      <c r="J163" s="46">
        <f t="shared" si="6"/>
        <v>2.5912156666666664</v>
      </c>
      <c r="K163" s="47">
        <v>10</v>
      </c>
    </row>
    <row r="164" spans="1:11" s="38" customFormat="1" ht="15" customHeight="1">
      <c r="A164" s="48"/>
      <c r="B164" s="68" t="s">
        <v>250</v>
      </c>
      <c r="C164" s="49">
        <v>5</v>
      </c>
      <c r="D164" s="58"/>
      <c r="E164" s="45"/>
      <c r="F164" s="55"/>
      <c r="G164" s="56"/>
      <c r="H164" s="45"/>
      <c r="I164" s="45">
        <f t="shared" si="5"/>
        <v>0</v>
      </c>
      <c r="J164" s="46">
        <f t="shared" si="6"/>
        <v>0</v>
      </c>
      <c r="K164" s="47">
        <f t="shared" si="7"/>
        <v>0</v>
      </c>
    </row>
    <row r="165" spans="1:11" s="38" customFormat="1" ht="15" customHeight="1">
      <c r="A165" s="48"/>
      <c r="B165" s="54" t="s">
        <v>310</v>
      </c>
      <c r="C165" s="49"/>
      <c r="D165" s="58">
        <f>((65540.4/1800)/60)*15</f>
        <v>9.1028333333333329</v>
      </c>
      <c r="E165" s="45">
        <f>D165*22%</f>
        <v>2.0026233333333332</v>
      </c>
      <c r="F165" s="55">
        <v>2.31</v>
      </c>
      <c r="G165" s="58">
        <f>C166*0.1</f>
        <v>1.5</v>
      </c>
      <c r="H165" s="45">
        <f>D165*0.34</f>
        <v>3.0949633333333333</v>
      </c>
      <c r="I165" s="45">
        <f t="shared" si="5"/>
        <v>18.01042</v>
      </c>
      <c r="J165" s="46">
        <f t="shared" si="6"/>
        <v>6.3036469999999998</v>
      </c>
      <c r="K165" s="47">
        <v>24</v>
      </c>
    </row>
    <row r="166" spans="1:11" s="38" customFormat="1" ht="15" customHeight="1">
      <c r="A166" s="48"/>
      <c r="B166" s="68" t="s">
        <v>250</v>
      </c>
      <c r="C166" s="49">
        <v>15</v>
      </c>
      <c r="D166" s="58"/>
      <c r="E166" s="45"/>
      <c r="F166" s="55"/>
      <c r="G166" s="56"/>
      <c r="H166" s="45"/>
      <c r="I166" s="45">
        <f t="shared" si="5"/>
        <v>0</v>
      </c>
      <c r="J166" s="46">
        <f t="shared" si="6"/>
        <v>0</v>
      </c>
      <c r="K166" s="47">
        <f t="shared" si="7"/>
        <v>0</v>
      </c>
    </row>
    <row r="167" spans="1:11" s="38" customFormat="1" ht="15" customHeight="1">
      <c r="A167" s="48"/>
      <c r="B167" s="54" t="s">
        <v>311</v>
      </c>
      <c r="C167" s="49"/>
      <c r="D167" s="58">
        <f>((65540.4/1800)/60)*15</f>
        <v>9.1028333333333329</v>
      </c>
      <c r="E167" s="45">
        <f>D167*22%</f>
        <v>2.0026233333333332</v>
      </c>
      <c r="F167" s="55">
        <v>2.2400000000000002</v>
      </c>
      <c r="G167" s="58">
        <f>C168*0.1</f>
        <v>1.5</v>
      </c>
      <c r="H167" s="45">
        <f>D167*0.34</f>
        <v>3.0949633333333333</v>
      </c>
      <c r="I167" s="45">
        <f t="shared" si="5"/>
        <v>17.94042</v>
      </c>
      <c r="J167" s="46">
        <f t="shared" si="6"/>
        <v>6.2791469999999991</v>
      </c>
      <c r="K167" s="47">
        <v>24</v>
      </c>
    </row>
    <row r="168" spans="1:11" s="38" customFormat="1" ht="15" customHeight="1">
      <c r="A168" s="48"/>
      <c r="B168" s="68" t="s">
        <v>250</v>
      </c>
      <c r="C168" s="49">
        <v>15</v>
      </c>
      <c r="D168" s="58"/>
      <c r="E168" s="45"/>
      <c r="F168" s="55"/>
      <c r="G168" s="56"/>
      <c r="H168" s="45"/>
      <c r="I168" s="45">
        <f t="shared" si="5"/>
        <v>0</v>
      </c>
      <c r="J168" s="46">
        <f t="shared" si="6"/>
        <v>0</v>
      </c>
      <c r="K168" s="47">
        <f t="shared" si="7"/>
        <v>0</v>
      </c>
    </row>
    <row r="169" spans="1:11" s="38" customFormat="1" ht="15" customHeight="1">
      <c r="A169" s="48"/>
      <c r="B169" s="54" t="s">
        <v>312</v>
      </c>
      <c r="C169" s="49"/>
      <c r="D169" s="58">
        <f>((65540.4/1800)/60)*5</f>
        <v>3.0342777777777776</v>
      </c>
      <c r="E169" s="45">
        <f>D169*22%</f>
        <v>0.66754111111111103</v>
      </c>
      <c r="F169" s="55">
        <v>2.2400000000000002</v>
      </c>
      <c r="G169" s="58">
        <f>C170*0.1</f>
        <v>0.5</v>
      </c>
      <c r="H169" s="45">
        <f>D169*0.34</f>
        <v>1.0316544444444444</v>
      </c>
      <c r="I169" s="45">
        <f t="shared" si="5"/>
        <v>7.4734733333333336</v>
      </c>
      <c r="J169" s="46">
        <f t="shared" si="6"/>
        <v>2.6157156666666666</v>
      </c>
      <c r="K169" s="47">
        <v>10</v>
      </c>
    </row>
    <row r="170" spans="1:11" s="38" customFormat="1" ht="15" customHeight="1">
      <c r="A170" s="48"/>
      <c r="B170" s="68" t="s">
        <v>250</v>
      </c>
      <c r="C170" s="49">
        <v>5</v>
      </c>
      <c r="D170" s="58"/>
      <c r="E170" s="45"/>
      <c r="F170" s="55"/>
      <c r="G170" s="56"/>
      <c r="H170" s="45"/>
      <c r="I170" s="45">
        <f t="shared" si="5"/>
        <v>0</v>
      </c>
      <c r="J170" s="46">
        <f t="shared" si="6"/>
        <v>0</v>
      </c>
      <c r="K170" s="47">
        <f t="shared" si="7"/>
        <v>0</v>
      </c>
    </row>
    <row r="171" spans="1:11" s="38" customFormat="1" ht="15" customHeight="1">
      <c r="A171" s="48"/>
      <c r="B171" s="54" t="s">
        <v>313</v>
      </c>
      <c r="C171" s="49"/>
      <c r="D171" s="58">
        <f>((65540.4/1800)/60)*15</f>
        <v>9.1028333333333329</v>
      </c>
      <c r="E171" s="45">
        <f>D171*22%</f>
        <v>2.0026233333333332</v>
      </c>
      <c r="F171" s="55">
        <v>3.28</v>
      </c>
      <c r="G171" s="58">
        <f>C172*0.1</f>
        <v>1.5</v>
      </c>
      <c r="H171" s="45">
        <f>D171*0.34</f>
        <v>3.0949633333333333</v>
      </c>
      <c r="I171" s="45">
        <f t="shared" si="5"/>
        <v>18.980419999999999</v>
      </c>
      <c r="J171" s="46">
        <f t="shared" si="6"/>
        <v>6.643146999999999</v>
      </c>
      <c r="K171" s="47">
        <v>26</v>
      </c>
    </row>
    <row r="172" spans="1:11" s="38" customFormat="1" ht="15" customHeight="1">
      <c r="A172" s="48"/>
      <c r="B172" s="68" t="s">
        <v>250</v>
      </c>
      <c r="C172" s="49">
        <v>15</v>
      </c>
      <c r="D172" s="58"/>
      <c r="E172" s="45"/>
      <c r="F172" s="55"/>
      <c r="G172" s="56"/>
      <c r="H172" s="45"/>
      <c r="I172" s="45">
        <f t="shared" si="5"/>
        <v>0</v>
      </c>
      <c r="J172" s="46">
        <f t="shared" si="6"/>
        <v>0</v>
      </c>
      <c r="K172" s="47">
        <f t="shared" si="7"/>
        <v>0</v>
      </c>
    </row>
    <row r="173" spans="1:11" s="38" customFormat="1" ht="15" customHeight="1">
      <c r="A173" s="48"/>
      <c r="B173" s="54" t="s">
        <v>314</v>
      </c>
      <c r="C173" s="49"/>
      <c r="D173" s="58">
        <f>((65540.4/1800)/60)*5</f>
        <v>3.0342777777777776</v>
      </c>
      <c r="E173" s="45">
        <f>D173*22%</f>
        <v>0.66754111111111103</v>
      </c>
      <c r="F173" s="55">
        <v>3.28</v>
      </c>
      <c r="G173" s="58">
        <f>C174*0.1</f>
        <v>0.5</v>
      </c>
      <c r="H173" s="45">
        <f>D173*0.34</f>
        <v>1.0316544444444444</v>
      </c>
      <c r="I173" s="45">
        <f t="shared" si="5"/>
        <v>8.5134733333333337</v>
      </c>
      <c r="J173" s="46">
        <f t="shared" si="6"/>
        <v>2.9797156666666664</v>
      </c>
      <c r="K173" s="47">
        <v>12</v>
      </c>
    </row>
    <row r="174" spans="1:11" s="38" customFormat="1" ht="15" customHeight="1">
      <c r="A174" s="48"/>
      <c r="B174" s="68" t="s">
        <v>250</v>
      </c>
      <c r="C174" s="49">
        <v>5</v>
      </c>
      <c r="D174" s="58"/>
      <c r="E174" s="45"/>
      <c r="F174" s="55"/>
      <c r="G174" s="56"/>
      <c r="H174" s="45"/>
      <c r="I174" s="45">
        <f t="shared" si="5"/>
        <v>0</v>
      </c>
      <c r="J174" s="46">
        <f t="shared" si="6"/>
        <v>0</v>
      </c>
      <c r="K174" s="47">
        <f t="shared" si="7"/>
        <v>0</v>
      </c>
    </row>
    <row r="175" spans="1:11" s="38" customFormat="1" ht="15" customHeight="1">
      <c r="A175" s="48"/>
      <c r="B175" s="54" t="s">
        <v>315</v>
      </c>
      <c r="C175" s="49"/>
      <c r="D175" s="58">
        <f>((65540.4/1800)/60)*10</f>
        <v>6.0685555555555553</v>
      </c>
      <c r="E175" s="45">
        <f>D175*22%</f>
        <v>1.3350822222222221</v>
      </c>
      <c r="F175" s="55">
        <v>2.3199999999999998</v>
      </c>
      <c r="G175" s="58">
        <f>C176*0.1</f>
        <v>1</v>
      </c>
      <c r="H175" s="45">
        <f>D175*0.34</f>
        <v>2.0633088888888889</v>
      </c>
      <c r="I175" s="45">
        <f t="shared" si="5"/>
        <v>12.786946666666665</v>
      </c>
      <c r="J175" s="46">
        <f t="shared" si="6"/>
        <v>4.4754313333333329</v>
      </c>
      <c r="K175" s="47">
        <v>17</v>
      </c>
    </row>
    <row r="176" spans="1:11" s="38" customFormat="1" ht="15" customHeight="1">
      <c r="A176" s="48"/>
      <c r="B176" s="68" t="s">
        <v>250</v>
      </c>
      <c r="C176" s="49">
        <v>10</v>
      </c>
      <c r="D176" s="58"/>
      <c r="E176" s="45"/>
      <c r="F176" s="55"/>
      <c r="G176" s="56"/>
      <c r="H176" s="45"/>
      <c r="I176" s="45">
        <f t="shared" si="5"/>
        <v>0</v>
      </c>
      <c r="J176" s="46">
        <f t="shared" si="6"/>
        <v>0</v>
      </c>
      <c r="K176" s="47">
        <f t="shared" si="7"/>
        <v>0</v>
      </c>
    </row>
    <row r="177" spans="1:11" s="38" customFormat="1" ht="15" customHeight="1">
      <c r="A177" s="48"/>
      <c r="B177" s="54" t="s">
        <v>316</v>
      </c>
      <c r="C177" s="49"/>
      <c r="D177" s="58">
        <f>((65540.4/1800)/60)*15</f>
        <v>9.1028333333333329</v>
      </c>
      <c r="E177" s="45">
        <f>D177*22%</f>
        <v>2.0026233333333332</v>
      </c>
      <c r="F177" s="55">
        <v>2.3199999999999998</v>
      </c>
      <c r="G177" s="58">
        <f>C178*0.1</f>
        <v>1.5</v>
      </c>
      <c r="H177" s="45">
        <f>D177*0.34</f>
        <v>3.0949633333333333</v>
      </c>
      <c r="I177" s="45">
        <f t="shared" si="5"/>
        <v>18.020419999999998</v>
      </c>
      <c r="J177" s="46">
        <f t="shared" si="6"/>
        <v>6.3071469999999987</v>
      </c>
      <c r="K177" s="47">
        <v>24</v>
      </c>
    </row>
    <row r="178" spans="1:11" s="38" customFormat="1" ht="15" customHeight="1">
      <c r="A178" s="48"/>
      <c r="B178" s="68" t="s">
        <v>250</v>
      </c>
      <c r="C178" s="49">
        <v>15</v>
      </c>
      <c r="D178" s="58"/>
      <c r="E178" s="45"/>
      <c r="F178" s="55"/>
      <c r="G178" s="56"/>
      <c r="H178" s="45"/>
      <c r="I178" s="45">
        <f t="shared" si="5"/>
        <v>0</v>
      </c>
      <c r="J178" s="46">
        <f t="shared" si="6"/>
        <v>0</v>
      </c>
      <c r="K178" s="47">
        <f t="shared" si="7"/>
        <v>0</v>
      </c>
    </row>
    <row r="179" spans="1:11" s="38" customFormat="1" ht="15" customHeight="1">
      <c r="A179" s="48"/>
      <c r="B179" s="54" t="s">
        <v>317</v>
      </c>
      <c r="C179" s="49"/>
      <c r="D179" s="58">
        <f>((65540.4/1800)/60)*15</f>
        <v>9.1028333333333329</v>
      </c>
      <c r="E179" s="45">
        <f>D179*22%</f>
        <v>2.0026233333333332</v>
      </c>
      <c r="F179" s="55">
        <v>2.3199999999999998</v>
      </c>
      <c r="G179" s="58">
        <f>C180*0.1</f>
        <v>1.5</v>
      </c>
      <c r="H179" s="45">
        <f>D179*0.34</f>
        <v>3.0949633333333333</v>
      </c>
      <c r="I179" s="45">
        <f t="shared" si="5"/>
        <v>18.020419999999998</v>
      </c>
      <c r="J179" s="46">
        <f t="shared" si="6"/>
        <v>6.3071469999999987</v>
      </c>
      <c r="K179" s="47">
        <v>24</v>
      </c>
    </row>
    <row r="180" spans="1:11" s="38" customFormat="1" ht="15" customHeight="1">
      <c r="A180" s="48"/>
      <c r="B180" s="68" t="s">
        <v>250</v>
      </c>
      <c r="C180" s="49">
        <v>15</v>
      </c>
      <c r="D180" s="58"/>
      <c r="E180" s="45"/>
      <c r="F180" s="55"/>
      <c r="G180" s="56"/>
      <c r="H180" s="45"/>
      <c r="I180" s="45">
        <f t="shared" si="5"/>
        <v>0</v>
      </c>
      <c r="J180" s="46">
        <f t="shared" si="6"/>
        <v>0</v>
      </c>
      <c r="K180" s="47">
        <f t="shared" si="7"/>
        <v>0</v>
      </c>
    </row>
    <row r="181" spans="1:11" s="38" customFormat="1" ht="15" customHeight="1">
      <c r="A181" s="48"/>
      <c r="B181" s="54" t="s">
        <v>318</v>
      </c>
      <c r="C181" s="49"/>
      <c r="D181" s="58">
        <f>((65540.4/1800)/60)*5</f>
        <v>3.0342777777777776</v>
      </c>
      <c r="E181" s="45">
        <f>D181*22%</f>
        <v>0.66754111111111103</v>
      </c>
      <c r="F181" s="55">
        <v>2.3199999999999998</v>
      </c>
      <c r="G181" s="58"/>
      <c r="H181" s="45">
        <f>D181*0.34</f>
        <v>1.0316544444444444</v>
      </c>
      <c r="I181" s="45">
        <f t="shared" si="5"/>
        <v>7.0534733333333328</v>
      </c>
      <c r="J181" s="46">
        <f t="shared" si="6"/>
        <v>2.4687156666666663</v>
      </c>
      <c r="K181" s="47">
        <v>10</v>
      </c>
    </row>
    <row r="182" spans="1:11" s="38" customFormat="1" ht="15" customHeight="1">
      <c r="A182" s="48"/>
      <c r="B182" s="68" t="s">
        <v>250</v>
      </c>
      <c r="C182" s="49">
        <v>5</v>
      </c>
      <c r="D182" s="58"/>
      <c r="E182" s="45"/>
      <c r="F182" s="55"/>
      <c r="G182" s="58"/>
      <c r="H182" s="45"/>
      <c r="I182" s="45">
        <f t="shared" si="5"/>
        <v>0</v>
      </c>
      <c r="J182" s="46">
        <f t="shared" si="6"/>
        <v>0</v>
      </c>
      <c r="K182" s="47">
        <f t="shared" si="7"/>
        <v>0</v>
      </c>
    </row>
    <row r="183" spans="1:11" s="38" customFormat="1" ht="15" customHeight="1">
      <c r="A183" s="48"/>
      <c r="B183" s="54" t="s">
        <v>319</v>
      </c>
      <c r="C183" s="49"/>
      <c r="D183" s="58">
        <f>((65540.4/1800)/60)*5</f>
        <v>3.0342777777777776</v>
      </c>
      <c r="E183" s="45">
        <f>D183*22%</f>
        <v>0.66754111111111103</v>
      </c>
      <c r="F183" s="55">
        <v>3.28</v>
      </c>
      <c r="G183" s="58"/>
      <c r="H183" s="45">
        <f>D183*0.34</f>
        <v>1.0316544444444444</v>
      </c>
      <c r="I183" s="45">
        <f t="shared" si="5"/>
        <v>8.0134733333333337</v>
      </c>
      <c r="J183" s="46">
        <f t="shared" si="6"/>
        <v>2.8047156666666666</v>
      </c>
      <c r="K183" s="47">
        <v>11</v>
      </c>
    </row>
    <row r="184" spans="1:11" s="38" customFormat="1" ht="15" customHeight="1">
      <c r="A184" s="48"/>
      <c r="B184" s="68" t="s">
        <v>250</v>
      </c>
      <c r="C184" s="49">
        <v>5</v>
      </c>
      <c r="D184" s="58"/>
      <c r="E184" s="45"/>
      <c r="F184" s="55"/>
      <c r="G184" s="58"/>
      <c r="H184" s="45"/>
      <c r="I184" s="45">
        <f t="shared" si="5"/>
        <v>0</v>
      </c>
      <c r="J184" s="46">
        <f t="shared" si="6"/>
        <v>0</v>
      </c>
      <c r="K184" s="47">
        <f t="shared" si="7"/>
        <v>0</v>
      </c>
    </row>
    <row r="185" spans="1:11" s="38" customFormat="1" ht="22.5" customHeight="1">
      <c r="A185" s="42" t="s">
        <v>323</v>
      </c>
      <c r="B185" s="43" t="s">
        <v>324</v>
      </c>
      <c r="C185" s="49"/>
      <c r="D185" s="58">
        <f>((65540.4/1800)/60)*5</f>
        <v>3.0342777777777776</v>
      </c>
      <c r="E185" s="45">
        <f>D185*22%</f>
        <v>0.66754111111111103</v>
      </c>
      <c r="F185" s="49"/>
      <c r="G185" s="58">
        <f>C186*0.1</f>
        <v>0.5</v>
      </c>
      <c r="H185" s="45">
        <f>D185*0.34</f>
        <v>1.0316544444444444</v>
      </c>
      <c r="I185" s="45">
        <f t="shared" si="5"/>
        <v>5.2334733333333325</v>
      </c>
      <c r="J185" s="46">
        <f t="shared" si="6"/>
        <v>1.8317156666666663</v>
      </c>
      <c r="K185" s="47">
        <v>7</v>
      </c>
    </row>
    <row r="186" spans="1:11" s="38" customFormat="1" ht="15" customHeight="1">
      <c r="A186" s="48"/>
      <c r="B186" s="68" t="s">
        <v>250</v>
      </c>
      <c r="C186" s="49">
        <v>5</v>
      </c>
      <c r="D186" s="58"/>
      <c r="E186" s="45"/>
      <c r="F186" s="49"/>
      <c r="G186" s="58"/>
      <c r="H186" s="45"/>
      <c r="I186" s="45">
        <f t="shared" si="5"/>
        <v>0</v>
      </c>
      <c r="J186" s="46">
        <f t="shared" si="6"/>
        <v>0</v>
      </c>
      <c r="K186" s="47">
        <f t="shared" si="7"/>
        <v>0</v>
      </c>
    </row>
    <row r="187" spans="1:11" s="38" customFormat="1" ht="37.5" customHeight="1">
      <c r="A187" s="42" t="s">
        <v>325</v>
      </c>
      <c r="B187" s="75" t="s">
        <v>326</v>
      </c>
      <c r="C187" s="49"/>
      <c r="D187" s="58">
        <f>((65055.96/1800)/60)*10+((65540.4/1800)/60)*10</f>
        <v>12.092255555555557</v>
      </c>
      <c r="E187" s="45">
        <f>D187*22%</f>
        <v>2.6602962222222226</v>
      </c>
      <c r="F187" s="49"/>
      <c r="G187" s="58">
        <f>C188*0.1</f>
        <v>1</v>
      </c>
      <c r="H187" s="45">
        <f>D187*0.34</f>
        <v>4.1113668888888899</v>
      </c>
      <c r="I187" s="45">
        <f t="shared" si="5"/>
        <v>19.86391866666667</v>
      </c>
      <c r="J187" s="46">
        <f t="shared" si="6"/>
        <v>6.9523715333333342</v>
      </c>
      <c r="K187" s="47">
        <v>27</v>
      </c>
    </row>
    <row r="188" spans="1:11" s="38" customFormat="1" ht="15" customHeight="1">
      <c r="A188" s="42"/>
      <c r="B188" s="68" t="s">
        <v>327</v>
      </c>
      <c r="C188" s="49">
        <v>10</v>
      </c>
      <c r="D188" s="58"/>
      <c r="E188" s="45"/>
      <c r="F188" s="55"/>
      <c r="G188" s="56"/>
      <c r="H188" s="45"/>
      <c r="I188" s="45">
        <f t="shared" si="5"/>
        <v>0</v>
      </c>
      <c r="J188" s="46">
        <f t="shared" si="6"/>
        <v>0</v>
      </c>
      <c r="K188" s="47">
        <f t="shared" si="7"/>
        <v>0</v>
      </c>
    </row>
    <row r="189" spans="1:11" s="38" customFormat="1" ht="15" customHeight="1">
      <c r="A189" s="42"/>
      <c r="B189" s="68" t="s">
        <v>328</v>
      </c>
      <c r="C189" s="49">
        <v>10</v>
      </c>
      <c r="D189" s="58"/>
      <c r="E189" s="45"/>
      <c r="F189" s="55"/>
      <c r="G189" s="56"/>
      <c r="H189" s="45"/>
      <c r="I189" s="45">
        <f t="shared" si="5"/>
        <v>0</v>
      </c>
      <c r="J189" s="46">
        <f t="shared" si="6"/>
        <v>0</v>
      </c>
      <c r="K189" s="47">
        <f t="shared" si="7"/>
        <v>0</v>
      </c>
    </row>
    <row r="190" spans="1:11" s="38" customFormat="1" ht="21.75" customHeight="1">
      <c r="A190" s="42" t="s">
        <v>329</v>
      </c>
      <c r="B190" s="43" t="s">
        <v>330</v>
      </c>
      <c r="C190" s="49"/>
      <c r="D190" s="58">
        <f>((65055.96/1800)/60)*10+((65540.4/1800)/60)*10</f>
        <v>12.092255555555557</v>
      </c>
      <c r="E190" s="45">
        <f>D190*22%</f>
        <v>2.6602962222222226</v>
      </c>
      <c r="F190" s="49"/>
      <c r="G190" s="58">
        <f>C191*0.1</f>
        <v>1</v>
      </c>
      <c r="H190" s="45">
        <f>D190*0.34</f>
        <v>4.1113668888888899</v>
      </c>
      <c r="I190" s="45">
        <f t="shared" si="5"/>
        <v>19.86391866666667</v>
      </c>
      <c r="J190" s="46">
        <f t="shared" si="6"/>
        <v>6.9523715333333342</v>
      </c>
      <c r="K190" s="47">
        <v>27</v>
      </c>
    </row>
    <row r="191" spans="1:11" s="38" customFormat="1" ht="15" customHeight="1">
      <c r="A191" s="42"/>
      <c r="B191" s="68" t="s">
        <v>327</v>
      </c>
      <c r="C191" s="49">
        <v>10</v>
      </c>
      <c r="D191" s="58"/>
      <c r="E191" s="45"/>
      <c r="F191" s="55"/>
      <c r="G191" s="56"/>
      <c r="H191" s="45"/>
      <c r="I191" s="45">
        <f t="shared" si="5"/>
        <v>0</v>
      </c>
      <c r="J191" s="46">
        <f t="shared" si="6"/>
        <v>0</v>
      </c>
      <c r="K191" s="47">
        <f t="shared" si="7"/>
        <v>0</v>
      </c>
    </row>
    <row r="192" spans="1:11" s="38" customFormat="1" ht="15" customHeight="1">
      <c r="A192" s="42"/>
      <c r="B192" s="68" t="s">
        <v>328</v>
      </c>
      <c r="C192" s="49">
        <v>10</v>
      </c>
      <c r="D192" s="58"/>
      <c r="E192" s="45"/>
      <c r="F192" s="55"/>
      <c r="G192" s="56"/>
      <c r="H192" s="45"/>
      <c r="I192" s="45">
        <f t="shared" si="5"/>
        <v>0</v>
      </c>
      <c r="J192" s="46">
        <f t="shared" si="6"/>
        <v>0</v>
      </c>
      <c r="K192" s="47">
        <f t="shared" si="7"/>
        <v>0</v>
      </c>
    </row>
    <row r="193" spans="1:11" s="38" customFormat="1" ht="20.25" customHeight="1">
      <c r="A193" s="42" t="s">
        <v>331</v>
      </c>
      <c r="B193" s="43" t="s">
        <v>332</v>
      </c>
      <c r="C193" s="49"/>
      <c r="D193" s="58">
        <f>((69573.74/1800)/60)*20</f>
        <v>12.884025925925929</v>
      </c>
      <c r="E193" s="45">
        <f>D193*22%</f>
        <v>2.8344857037037046</v>
      </c>
      <c r="F193" s="49"/>
      <c r="G193" s="58">
        <f>C194*0.1</f>
        <v>2</v>
      </c>
      <c r="H193" s="45">
        <f>D193*0.34</f>
        <v>4.3805688148148159</v>
      </c>
      <c r="I193" s="45">
        <f t="shared" si="5"/>
        <v>22.09908044444445</v>
      </c>
      <c r="J193" s="46">
        <f t="shared" si="6"/>
        <v>7.7346781555555566</v>
      </c>
      <c r="K193" s="47">
        <v>30</v>
      </c>
    </row>
    <row r="194" spans="1:11" s="38" customFormat="1" ht="15" customHeight="1">
      <c r="A194" s="42"/>
      <c r="B194" s="68" t="s">
        <v>291</v>
      </c>
      <c r="C194" s="49">
        <v>20</v>
      </c>
      <c r="D194" s="58"/>
      <c r="E194" s="45"/>
      <c r="F194" s="49"/>
      <c r="G194" s="58"/>
      <c r="H194" s="45"/>
      <c r="I194" s="45">
        <f t="shared" si="5"/>
        <v>0</v>
      </c>
      <c r="J194" s="46">
        <f t="shared" si="6"/>
        <v>0</v>
      </c>
      <c r="K194" s="47">
        <f t="shared" si="7"/>
        <v>0</v>
      </c>
    </row>
    <row r="195" spans="1:11" s="38" customFormat="1" ht="18" customHeight="1">
      <c r="A195" s="42" t="s">
        <v>333</v>
      </c>
      <c r="B195" s="43" t="s">
        <v>126</v>
      </c>
      <c r="C195" s="49"/>
      <c r="D195" s="58">
        <f>((84425.64/1800)/60)*10+((65540.4/1800)/60)*10</f>
        <v>13.885744444444445</v>
      </c>
      <c r="E195" s="45">
        <f>D195*22%</f>
        <v>3.0548637777777778</v>
      </c>
      <c r="F195" s="49"/>
      <c r="G195" s="58">
        <f>C196*0.1</f>
        <v>1</v>
      </c>
      <c r="H195" s="45">
        <f>D195*0.34</f>
        <v>4.7211531111111116</v>
      </c>
      <c r="I195" s="45">
        <f t="shared" si="5"/>
        <v>22.661761333333335</v>
      </c>
      <c r="J195" s="46">
        <f t="shared" si="6"/>
        <v>7.9316164666666662</v>
      </c>
      <c r="K195" s="47">
        <v>31</v>
      </c>
    </row>
    <row r="196" spans="1:11" s="38" customFormat="1" ht="15" customHeight="1">
      <c r="A196" s="48"/>
      <c r="B196" s="68" t="s">
        <v>258</v>
      </c>
      <c r="C196" s="49">
        <v>10</v>
      </c>
      <c r="D196" s="58"/>
      <c r="E196" s="45"/>
      <c r="F196" s="55"/>
      <c r="G196" s="56"/>
      <c r="H196" s="45"/>
      <c r="I196" s="45">
        <f t="shared" si="5"/>
        <v>0</v>
      </c>
      <c r="J196" s="46">
        <f t="shared" si="6"/>
        <v>0</v>
      </c>
      <c r="K196" s="47">
        <f t="shared" si="7"/>
        <v>0</v>
      </c>
    </row>
    <row r="197" spans="1:11" s="38" customFormat="1" ht="15" customHeight="1">
      <c r="A197" s="48"/>
      <c r="B197" s="68" t="s">
        <v>250</v>
      </c>
      <c r="C197" s="49">
        <v>10</v>
      </c>
      <c r="D197" s="58"/>
      <c r="E197" s="45"/>
      <c r="F197" s="55"/>
      <c r="G197" s="56"/>
      <c r="H197" s="45"/>
      <c r="I197" s="45">
        <f t="shared" si="5"/>
        <v>0</v>
      </c>
      <c r="J197" s="46">
        <f t="shared" si="6"/>
        <v>0</v>
      </c>
      <c r="K197" s="47">
        <f t="shared" si="7"/>
        <v>0</v>
      </c>
    </row>
    <row r="198" spans="1:11" s="38" customFormat="1" ht="20.25" customHeight="1">
      <c r="A198" s="42" t="s">
        <v>334</v>
      </c>
      <c r="B198" s="43" t="s">
        <v>176</v>
      </c>
      <c r="C198" s="49"/>
      <c r="D198" s="58">
        <f>((65540.4/1800)/60)*10</f>
        <v>6.0685555555555553</v>
      </c>
      <c r="E198" s="45">
        <f>D198*22%</f>
        <v>1.3350822222222221</v>
      </c>
      <c r="F198" s="49"/>
      <c r="G198" s="58">
        <f>C199*0.1</f>
        <v>1</v>
      </c>
      <c r="H198" s="45">
        <f>D198*0.34</f>
        <v>2.0633088888888889</v>
      </c>
      <c r="I198" s="45">
        <f t="shared" si="5"/>
        <v>10.466946666666665</v>
      </c>
      <c r="J198" s="46">
        <f t="shared" si="6"/>
        <v>3.6634313333333326</v>
      </c>
      <c r="K198" s="47">
        <v>14</v>
      </c>
    </row>
    <row r="199" spans="1:11" s="38" customFormat="1" ht="15" customHeight="1">
      <c r="A199" s="48"/>
      <c r="B199" s="68" t="s">
        <v>250</v>
      </c>
      <c r="C199" s="49">
        <v>10</v>
      </c>
      <c r="D199" s="58"/>
      <c r="E199" s="45"/>
      <c r="F199" s="49"/>
      <c r="G199" s="58"/>
      <c r="H199" s="45"/>
      <c r="I199" s="45"/>
      <c r="J199" s="76"/>
      <c r="K199" s="77"/>
    </row>
    <row r="200" spans="1:11" s="38" customFormat="1" ht="15" customHeight="1">
      <c r="A200" s="249" t="s">
        <v>335</v>
      </c>
      <c r="B200" s="249"/>
      <c r="C200" s="249"/>
      <c r="D200" s="249"/>
      <c r="E200" s="249"/>
      <c r="F200" s="249"/>
      <c r="G200" s="249"/>
      <c r="H200" s="249"/>
      <c r="I200" s="249"/>
      <c r="J200" s="249"/>
      <c r="K200" s="182"/>
    </row>
    <row r="201" spans="1:11" s="38" customFormat="1" ht="18.75" customHeight="1">
      <c r="A201" s="43" t="s">
        <v>248</v>
      </c>
      <c r="B201" s="43" t="s">
        <v>336</v>
      </c>
      <c r="C201" s="44"/>
      <c r="D201" s="45">
        <f>((58809.6/1925)/60)*10+((56930.4/1925)/60)*10</f>
        <v>10.020779220779222</v>
      </c>
      <c r="E201" s="45">
        <f>D201*22%</f>
        <v>2.2045714285714286</v>
      </c>
      <c r="F201" s="49"/>
      <c r="G201" s="45">
        <f>C203*0.1978</f>
        <v>1.978</v>
      </c>
      <c r="H201" s="45">
        <f>D201*0.34</f>
        <v>3.4070649350649358</v>
      </c>
      <c r="I201" s="45">
        <f>H201+G201+F201+E201+D201</f>
        <v>17.610415584415584</v>
      </c>
      <c r="J201" s="78">
        <f>I201*35%</f>
        <v>6.1636454545454544</v>
      </c>
      <c r="K201" s="77">
        <v>24</v>
      </c>
    </row>
    <row r="202" spans="1:11" s="38" customFormat="1" ht="18.75" customHeight="1">
      <c r="A202" s="42"/>
      <c r="B202" s="68" t="s">
        <v>258</v>
      </c>
      <c r="C202" s="44">
        <v>10</v>
      </c>
      <c r="D202" s="45"/>
      <c r="E202" s="45"/>
      <c r="F202" s="55"/>
      <c r="G202" s="45"/>
      <c r="H202" s="45"/>
      <c r="I202" s="45">
        <f t="shared" ref="I202:I223" si="8">H202+G202+F202+E202+D202</f>
        <v>0</v>
      </c>
      <c r="J202" s="78">
        <f t="shared" ref="J202:J223" si="9">I202*35%</f>
        <v>0</v>
      </c>
      <c r="K202" s="77">
        <f t="shared" ref="K202:K223" si="10">I202+J202</f>
        <v>0</v>
      </c>
    </row>
    <row r="203" spans="1:11" s="38" customFormat="1" ht="18.75" customHeight="1">
      <c r="A203" s="42"/>
      <c r="B203" s="68" t="s">
        <v>337</v>
      </c>
      <c r="C203" s="44">
        <v>10</v>
      </c>
      <c r="D203" s="45"/>
      <c r="E203" s="45"/>
      <c r="F203" s="55"/>
      <c r="G203" s="45"/>
      <c r="H203" s="45"/>
      <c r="I203" s="45">
        <f t="shared" si="8"/>
        <v>0</v>
      </c>
      <c r="J203" s="78">
        <f t="shared" si="9"/>
        <v>0</v>
      </c>
      <c r="K203" s="77">
        <f t="shared" si="10"/>
        <v>0</v>
      </c>
    </row>
    <row r="204" spans="1:11" s="38" customFormat="1" ht="19.5" customHeight="1">
      <c r="A204" s="43" t="s">
        <v>251</v>
      </c>
      <c r="B204" s="43" t="s">
        <v>338</v>
      </c>
      <c r="C204" s="44"/>
      <c r="D204" s="45">
        <f>((58809.6/1925)/60)*10+((56930.4/1925)/60)*20</f>
        <v>14.949818181818182</v>
      </c>
      <c r="E204" s="45">
        <f>D204*22%</f>
        <v>3.2889600000000003</v>
      </c>
      <c r="F204" s="49"/>
      <c r="G204" s="45">
        <f>C206*0.1978</f>
        <v>3.956</v>
      </c>
      <c r="H204" s="45">
        <f>D204*0.34</f>
        <v>5.0829381818181822</v>
      </c>
      <c r="I204" s="45">
        <f t="shared" si="8"/>
        <v>27.277716363636365</v>
      </c>
      <c r="J204" s="78">
        <f t="shared" si="9"/>
        <v>9.5472007272727275</v>
      </c>
      <c r="K204" s="77">
        <v>37</v>
      </c>
    </row>
    <row r="205" spans="1:11" s="38" customFormat="1" ht="19.5" customHeight="1">
      <c r="A205" s="42"/>
      <c r="B205" s="68" t="s">
        <v>258</v>
      </c>
      <c r="C205" s="44">
        <v>10</v>
      </c>
      <c r="D205" s="45"/>
      <c r="E205" s="45"/>
      <c r="F205" s="55"/>
      <c r="G205" s="45"/>
      <c r="H205" s="45"/>
      <c r="I205" s="45">
        <f t="shared" si="8"/>
        <v>0</v>
      </c>
      <c r="J205" s="78">
        <f t="shared" si="9"/>
        <v>0</v>
      </c>
      <c r="K205" s="77">
        <f t="shared" si="10"/>
        <v>0</v>
      </c>
    </row>
    <row r="206" spans="1:11" s="38" customFormat="1" ht="19.5" customHeight="1">
      <c r="A206" s="42"/>
      <c r="B206" s="68" t="s">
        <v>337</v>
      </c>
      <c r="C206" s="44">
        <v>20</v>
      </c>
      <c r="D206" s="45"/>
      <c r="E206" s="45"/>
      <c r="F206" s="55"/>
      <c r="G206" s="45"/>
      <c r="H206" s="45"/>
      <c r="I206" s="45">
        <f t="shared" si="8"/>
        <v>0</v>
      </c>
      <c r="J206" s="78">
        <f t="shared" si="9"/>
        <v>0</v>
      </c>
      <c r="K206" s="77">
        <f t="shared" si="10"/>
        <v>0</v>
      </c>
    </row>
    <row r="207" spans="1:11" s="38" customFormat="1" ht="22.5" customHeight="1">
      <c r="A207" s="43" t="s">
        <v>262</v>
      </c>
      <c r="B207" s="50" t="s">
        <v>339</v>
      </c>
      <c r="C207" s="44"/>
      <c r="D207" s="45">
        <f>((56930.4/1925)/60)*15</f>
        <v>7.3935584415584419</v>
      </c>
      <c r="E207" s="45">
        <f>D207*22%</f>
        <v>1.6265828571428573</v>
      </c>
      <c r="F207" s="49"/>
      <c r="G207" s="45">
        <f>C208*0.1978</f>
        <v>2.9670000000000001</v>
      </c>
      <c r="H207" s="45">
        <f>D207*0.34</f>
        <v>2.5138098701298706</v>
      </c>
      <c r="I207" s="45">
        <f t="shared" si="8"/>
        <v>14.50095116883117</v>
      </c>
      <c r="J207" s="78">
        <f t="shared" si="9"/>
        <v>5.0753329090909096</v>
      </c>
      <c r="K207" s="77">
        <v>20</v>
      </c>
    </row>
    <row r="208" spans="1:11" s="38" customFormat="1" ht="18.75" customHeight="1">
      <c r="A208" s="42"/>
      <c r="B208" s="68" t="s">
        <v>337</v>
      </c>
      <c r="C208" s="44">
        <v>15</v>
      </c>
      <c r="D208" s="45"/>
      <c r="E208" s="45"/>
      <c r="F208" s="49"/>
      <c r="G208" s="45"/>
      <c r="H208" s="45"/>
      <c r="I208" s="45">
        <f t="shared" si="8"/>
        <v>0</v>
      </c>
      <c r="J208" s="78">
        <f t="shared" si="9"/>
        <v>0</v>
      </c>
      <c r="K208" s="77">
        <f t="shared" si="10"/>
        <v>0</v>
      </c>
    </row>
    <row r="209" spans="1:11" s="38" customFormat="1" ht="18.75" customHeight="1">
      <c r="A209" s="43" t="s">
        <v>272</v>
      </c>
      <c r="B209" s="43" t="s">
        <v>340</v>
      </c>
      <c r="C209" s="44"/>
      <c r="D209" s="45">
        <f>((58809.6/1925)/60)*25+((56930.4/1925)/60)*2</f>
        <v>13.71515844155844</v>
      </c>
      <c r="E209" s="45">
        <f>D209*22%</f>
        <v>3.0173348571428567</v>
      </c>
      <c r="F209" s="49"/>
      <c r="G209" s="45">
        <f>C211*0.1978</f>
        <v>0.39560000000000001</v>
      </c>
      <c r="H209" s="45">
        <f>D209*0.34</f>
        <v>4.6631538701298698</v>
      </c>
      <c r="I209" s="45">
        <f t="shared" si="8"/>
        <v>21.791247168831166</v>
      </c>
      <c r="J209" s="78">
        <f t="shared" si="9"/>
        <v>7.6269365090909078</v>
      </c>
      <c r="K209" s="77">
        <v>30</v>
      </c>
    </row>
    <row r="210" spans="1:11" s="38" customFormat="1" ht="18.75" customHeight="1">
      <c r="A210" s="42"/>
      <c r="B210" s="68" t="s">
        <v>258</v>
      </c>
      <c r="C210" s="44">
        <v>25</v>
      </c>
      <c r="D210" s="45"/>
      <c r="E210" s="45"/>
      <c r="F210" s="55"/>
      <c r="G210" s="45"/>
      <c r="H210" s="45"/>
      <c r="I210" s="45">
        <f t="shared" si="8"/>
        <v>0</v>
      </c>
      <c r="J210" s="78">
        <f t="shared" si="9"/>
        <v>0</v>
      </c>
      <c r="K210" s="77">
        <f t="shared" si="10"/>
        <v>0</v>
      </c>
    </row>
    <row r="211" spans="1:11" s="38" customFormat="1" ht="18.75" customHeight="1">
      <c r="A211" s="42"/>
      <c r="B211" s="68" t="s">
        <v>337</v>
      </c>
      <c r="C211" s="44">
        <v>2</v>
      </c>
      <c r="D211" s="45"/>
      <c r="E211" s="45"/>
      <c r="F211" s="55"/>
      <c r="G211" s="45"/>
      <c r="H211" s="45"/>
      <c r="I211" s="45">
        <f t="shared" si="8"/>
        <v>0</v>
      </c>
      <c r="J211" s="78">
        <f t="shared" si="9"/>
        <v>0</v>
      </c>
      <c r="K211" s="77">
        <f t="shared" si="10"/>
        <v>0</v>
      </c>
    </row>
    <row r="212" spans="1:11" s="38" customFormat="1" ht="18.75" customHeight="1">
      <c r="A212" s="43" t="s">
        <v>277</v>
      </c>
      <c r="B212" s="43" t="s">
        <v>341</v>
      </c>
      <c r="C212" s="44"/>
      <c r="D212" s="45">
        <f>((58809.6/1925)/60)*30+((56930.4/1925)/60)*10</f>
        <v>20.20425974025974</v>
      </c>
      <c r="E212" s="45">
        <f>D212*22%</f>
        <v>4.4449371428571425</v>
      </c>
      <c r="F212" s="49"/>
      <c r="G212" s="45">
        <f>C214*0.1978</f>
        <v>1.978</v>
      </c>
      <c r="H212" s="45">
        <f>D212*0.34</f>
        <v>6.8694483116883118</v>
      </c>
      <c r="I212" s="45">
        <f t="shared" si="8"/>
        <v>33.496645194805197</v>
      </c>
      <c r="J212" s="78">
        <f t="shared" si="9"/>
        <v>11.723825818181819</v>
      </c>
      <c r="K212" s="77">
        <v>45</v>
      </c>
    </row>
    <row r="213" spans="1:11" s="38" customFormat="1" ht="18.75" customHeight="1">
      <c r="A213" s="42"/>
      <c r="B213" s="68" t="s">
        <v>258</v>
      </c>
      <c r="C213" s="44">
        <v>30</v>
      </c>
      <c r="D213" s="45"/>
      <c r="E213" s="45"/>
      <c r="F213" s="55"/>
      <c r="G213" s="45"/>
      <c r="H213" s="45"/>
      <c r="I213" s="45">
        <f t="shared" si="8"/>
        <v>0</v>
      </c>
      <c r="J213" s="78">
        <f t="shared" si="9"/>
        <v>0</v>
      </c>
      <c r="K213" s="77">
        <f t="shared" si="10"/>
        <v>0</v>
      </c>
    </row>
    <row r="214" spans="1:11" s="38" customFormat="1" ht="18.75" customHeight="1">
      <c r="A214" s="42"/>
      <c r="B214" s="68" t="s">
        <v>337</v>
      </c>
      <c r="C214" s="44">
        <v>10</v>
      </c>
      <c r="D214" s="45"/>
      <c r="E214" s="45"/>
      <c r="F214" s="55"/>
      <c r="G214" s="45"/>
      <c r="H214" s="45"/>
      <c r="I214" s="45">
        <f t="shared" si="8"/>
        <v>0</v>
      </c>
      <c r="J214" s="78">
        <f t="shared" si="9"/>
        <v>0</v>
      </c>
      <c r="K214" s="77">
        <f t="shared" si="10"/>
        <v>0</v>
      </c>
    </row>
    <row r="215" spans="1:11" s="38" customFormat="1" ht="18" customHeight="1">
      <c r="A215" s="43" t="s">
        <v>279</v>
      </c>
      <c r="B215" s="43" t="s">
        <v>342</v>
      </c>
      <c r="C215" s="44"/>
      <c r="D215" s="45">
        <f>((58809.6/1925)/60)*5+((56930.4/1925)/60)*15</f>
        <v>9.9394285714285715</v>
      </c>
      <c r="E215" s="45">
        <f>D215*22%</f>
        <v>2.1866742857142856</v>
      </c>
      <c r="F215" s="49">
        <v>9.06</v>
      </c>
      <c r="G215" s="45">
        <f>C217*0.1978</f>
        <v>2.9670000000000001</v>
      </c>
      <c r="H215" s="45">
        <f>D215*0.34</f>
        <v>3.3794057142857143</v>
      </c>
      <c r="I215" s="45">
        <f t="shared" si="8"/>
        <v>27.532508571428572</v>
      </c>
      <c r="J215" s="78">
        <f t="shared" si="9"/>
        <v>9.6363779999999988</v>
      </c>
      <c r="K215" s="77">
        <v>37</v>
      </c>
    </row>
    <row r="216" spans="1:11" s="38" customFormat="1" ht="18" customHeight="1">
      <c r="A216" s="42"/>
      <c r="B216" s="68" t="s">
        <v>258</v>
      </c>
      <c r="C216" s="44">
        <v>5</v>
      </c>
      <c r="D216" s="45"/>
      <c r="E216" s="45"/>
      <c r="F216" s="55"/>
      <c r="G216" s="45"/>
      <c r="H216" s="45"/>
      <c r="I216" s="45">
        <f t="shared" si="8"/>
        <v>0</v>
      </c>
      <c r="J216" s="78">
        <f t="shared" si="9"/>
        <v>0</v>
      </c>
      <c r="K216" s="77">
        <f t="shared" si="10"/>
        <v>0</v>
      </c>
    </row>
    <row r="217" spans="1:11" s="38" customFormat="1" ht="18" customHeight="1">
      <c r="A217" s="42"/>
      <c r="B217" s="68" t="s">
        <v>337</v>
      </c>
      <c r="C217" s="44">
        <v>15</v>
      </c>
      <c r="D217" s="45"/>
      <c r="E217" s="45"/>
      <c r="F217" s="55"/>
      <c r="G217" s="45"/>
      <c r="H217" s="45"/>
      <c r="I217" s="45">
        <f t="shared" si="8"/>
        <v>0</v>
      </c>
      <c r="J217" s="78">
        <f t="shared" si="9"/>
        <v>0</v>
      </c>
      <c r="K217" s="77">
        <f t="shared" si="10"/>
        <v>0</v>
      </c>
    </row>
    <row r="218" spans="1:11" s="38" customFormat="1" ht="17.25" customHeight="1">
      <c r="A218" s="43" t="s">
        <v>281</v>
      </c>
      <c r="B218" s="43" t="s">
        <v>343</v>
      </c>
      <c r="C218" s="44"/>
      <c r="D218" s="45">
        <f>((58809.6/1925)/60)*13+((56930.4/1925)/60)*7</f>
        <v>10.06958961038961</v>
      </c>
      <c r="E218" s="45">
        <f>D218*22%</f>
        <v>2.2153097142857141</v>
      </c>
      <c r="F218" s="49">
        <v>12.8</v>
      </c>
      <c r="G218" s="45">
        <f>C220*0.1978</f>
        <v>1.3846000000000001</v>
      </c>
      <c r="H218" s="45">
        <f>D218*0.34</f>
        <v>3.4236604675324673</v>
      </c>
      <c r="I218" s="45">
        <f t="shared" si="8"/>
        <v>29.89315979220779</v>
      </c>
      <c r="J218" s="78">
        <f t="shared" si="9"/>
        <v>10.462605927272726</v>
      </c>
      <c r="K218" s="77">
        <v>40</v>
      </c>
    </row>
    <row r="219" spans="1:11" s="38" customFormat="1" ht="17.25" customHeight="1">
      <c r="A219" s="42"/>
      <c r="B219" s="68" t="s">
        <v>258</v>
      </c>
      <c r="C219" s="44">
        <v>13</v>
      </c>
      <c r="D219" s="45"/>
      <c r="E219" s="45"/>
      <c r="F219" s="55"/>
      <c r="G219" s="45"/>
      <c r="H219" s="45"/>
      <c r="I219" s="45">
        <f t="shared" si="8"/>
        <v>0</v>
      </c>
      <c r="J219" s="78">
        <f t="shared" si="9"/>
        <v>0</v>
      </c>
      <c r="K219" s="77">
        <f t="shared" si="10"/>
        <v>0</v>
      </c>
    </row>
    <row r="220" spans="1:11" s="38" customFormat="1" ht="17.25" customHeight="1">
      <c r="A220" s="42"/>
      <c r="B220" s="68" t="s">
        <v>337</v>
      </c>
      <c r="C220" s="44">
        <v>7</v>
      </c>
      <c r="D220" s="45"/>
      <c r="E220" s="45"/>
      <c r="F220" s="55"/>
      <c r="G220" s="45"/>
      <c r="H220" s="45"/>
      <c r="I220" s="45">
        <f t="shared" si="8"/>
        <v>0</v>
      </c>
      <c r="J220" s="78">
        <f t="shared" si="9"/>
        <v>0</v>
      </c>
      <c r="K220" s="77">
        <f t="shared" si="10"/>
        <v>0</v>
      </c>
    </row>
    <row r="221" spans="1:11" s="38" customFormat="1" ht="18" customHeight="1">
      <c r="A221" s="43" t="s">
        <v>283</v>
      </c>
      <c r="B221" s="43" t="s">
        <v>344</v>
      </c>
      <c r="C221" s="44"/>
      <c r="D221" s="45">
        <f>((58809.6/1925)/60)*20+((56930.4/1925)/60)*10</f>
        <v>15.112519480519481</v>
      </c>
      <c r="E221" s="45">
        <f>D221*22%</f>
        <v>3.324754285714286</v>
      </c>
      <c r="F221" s="49">
        <v>12.8</v>
      </c>
      <c r="G221" s="45">
        <f>C223*0.1978</f>
        <v>1.978</v>
      </c>
      <c r="H221" s="45">
        <f>D221*0.34</f>
        <v>5.1382566233766243</v>
      </c>
      <c r="I221" s="45">
        <f t="shared" si="8"/>
        <v>38.353530389610391</v>
      </c>
      <c r="J221" s="78">
        <f t="shared" si="9"/>
        <v>13.423735636363636</v>
      </c>
      <c r="K221" s="77">
        <v>52</v>
      </c>
    </row>
    <row r="222" spans="1:11" s="38" customFormat="1" ht="15" customHeight="1">
      <c r="A222" s="48"/>
      <c r="B222" s="68" t="s">
        <v>258</v>
      </c>
      <c r="C222" s="44">
        <v>20</v>
      </c>
      <c r="D222" s="45"/>
      <c r="E222" s="45"/>
      <c r="F222" s="55"/>
      <c r="G222" s="45"/>
      <c r="H222" s="45"/>
      <c r="I222" s="45">
        <f t="shared" si="8"/>
        <v>0</v>
      </c>
      <c r="J222" s="78">
        <f t="shared" si="9"/>
        <v>0</v>
      </c>
      <c r="K222" s="77">
        <f t="shared" si="10"/>
        <v>0</v>
      </c>
    </row>
    <row r="223" spans="1:11" s="38" customFormat="1" ht="15" customHeight="1">
      <c r="A223" s="48"/>
      <c r="B223" s="68" t="s">
        <v>337</v>
      </c>
      <c r="C223" s="44">
        <v>10</v>
      </c>
      <c r="D223" s="45"/>
      <c r="E223" s="45"/>
      <c r="F223" s="55"/>
      <c r="G223" s="45"/>
      <c r="H223" s="45"/>
      <c r="I223" s="45">
        <f t="shared" si="8"/>
        <v>0</v>
      </c>
      <c r="J223" s="78">
        <f t="shared" si="9"/>
        <v>0</v>
      </c>
      <c r="K223" s="77">
        <f t="shared" si="10"/>
        <v>0</v>
      </c>
    </row>
    <row r="224" spans="1:11" s="38" customFormat="1" ht="15" customHeight="1">
      <c r="A224" s="249" t="s">
        <v>345</v>
      </c>
      <c r="B224" s="249"/>
      <c r="C224" s="249"/>
      <c r="D224" s="249"/>
      <c r="E224" s="249"/>
      <c r="F224" s="249"/>
      <c r="G224" s="249"/>
      <c r="H224" s="249"/>
      <c r="I224" s="249"/>
      <c r="J224" s="249"/>
      <c r="K224" s="182"/>
    </row>
    <row r="225" spans="1:11" s="38" customFormat="1" ht="18.75" customHeight="1">
      <c r="A225" s="43" t="s">
        <v>248</v>
      </c>
      <c r="B225" s="50" t="s">
        <v>346</v>
      </c>
      <c r="C225" s="44"/>
      <c r="D225" s="45">
        <f>((126006.97/1925)/60)*45+((57504.96/1925)/60)*45</f>
        <v>71.49815454545454</v>
      </c>
      <c r="E225" s="45">
        <f>D225*22%</f>
        <v>15.729593999999999</v>
      </c>
      <c r="F225" s="49">
        <v>25.67</v>
      </c>
      <c r="G225" s="45">
        <f>C226*0.1848</f>
        <v>8.3159999999999989</v>
      </c>
      <c r="H225" s="45">
        <f>D225*0.34</f>
        <v>24.309372545454544</v>
      </c>
      <c r="I225" s="45">
        <f>H225+G225+F225+E225+D225</f>
        <v>145.52312109090906</v>
      </c>
      <c r="J225" s="78">
        <f>I225*35%</f>
        <v>50.93309238181817</v>
      </c>
      <c r="K225" s="47">
        <v>197</v>
      </c>
    </row>
    <row r="226" spans="1:11" s="38" customFormat="1" ht="18.75" customHeight="1">
      <c r="A226" s="42"/>
      <c r="B226" s="79" t="s">
        <v>258</v>
      </c>
      <c r="C226" s="44">
        <v>45</v>
      </c>
      <c r="D226" s="45"/>
      <c r="E226" s="45"/>
      <c r="F226" s="55"/>
      <c r="G226" s="56"/>
      <c r="H226" s="45"/>
      <c r="I226" s="45">
        <f t="shared" ref="I226:I260" si="11">H226+G226+F226+E226+D226</f>
        <v>0</v>
      </c>
      <c r="J226" s="78">
        <f t="shared" ref="J226:J260" si="12">I226*35%</f>
        <v>0</v>
      </c>
      <c r="K226" s="47">
        <f t="shared" ref="K226:K260" si="13">I226+J226</f>
        <v>0</v>
      </c>
    </row>
    <row r="227" spans="1:11" s="38" customFormat="1" ht="18.75" customHeight="1">
      <c r="A227" s="42"/>
      <c r="B227" s="79" t="s">
        <v>337</v>
      </c>
      <c r="C227" s="44">
        <v>45</v>
      </c>
      <c r="D227" s="45"/>
      <c r="E227" s="45"/>
      <c r="F227" s="55"/>
      <c r="G227" s="56"/>
      <c r="H227" s="45"/>
      <c r="I227" s="45">
        <f t="shared" si="11"/>
        <v>0</v>
      </c>
      <c r="J227" s="78">
        <f t="shared" si="12"/>
        <v>0</v>
      </c>
      <c r="K227" s="47">
        <f t="shared" si="13"/>
        <v>0</v>
      </c>
    </row>
    <row r="228" spans="1:11" s="38" customFormat="1" ht="15" customHeight="1">
      <c r="A228" s="43" t="s">
        <v>251</v>
      </c>
      <c r="B228" s="43" t="s">
        <v>347</v>
      </c>
      <c r="C228" s="44"/>
      <c r="D228" s="45">
        <f>((126006.97/1925)/60)*60+((57504.96/1925)/60)*60</f>
        <v>95.33087272727272</v>
      </c>
      <c r="E228" s="45">
        <f>D228*22%</f>
        <v>20.972791999999998</v>
      </c>
      <c r="F228" s="49">
        <v>30.12</v>
      </c>
      <c r="G228" s="45">
        <f>C229*0.1848</f>
        <v>11.087999999999999</v>
      </c>
      <c r="H228" s="45">
        <f>D228*0.34</f>
        <v>32.412496727272725</v>
      </c>
      <c r="I228" s="45">
        <f t="shared" si="11"/>
        <v>189.92416145454544</v>
      </c>
      <c r="J228" s="78">
        <f t="shared" si="12"/>
        <v>66.473456509090894</v>
      </c>
      <c r="K228" s="47">
        <v>256</v>
      </c>
    </row>
    <row r="229" spans="1:11" s="38" customFormat="1" ht="15" customHeight="1">
      <c r="A229" s="42"/>
      <c r="B229" s="79" t="s">
        <v>258</v>
      </c>
      <c r="C229" s="44">
        <v>60</v>
      </c>
      <c r="D229" s="45"/>
      <c r="E229" s="45"/>
      <c r="F229" s="55"/>
      <c r="G229" s="56"/>
      <c r="H229" s="45"/>
      <c r="I229" s="45">
        <f t="shared" si="11"/>
        <v>0</v>
      </c>
      <c r="J229" s="78">
        <f t="shared" si="12"/>
        <v>0</v>
      </c>
      <c r="K229" s="47">
        <f t="shared" si="13"/>
        <v>0</v>
      </c>
    </row>
    <row r="230" spans="1:11" s="38" customFormat="1" ht="15" customHeight="1">
      <c r="A230" s="42"/>
      <c r="B230" s="79" t="s">
        <v>337</v>
      </c>
      <c r="C230" s="44">
        <v>60</v>
      </c>
      <c r="D230" s="45"/>
      <c r="E230" s="45"/>
      <c r="F230" s="55"/>
      <c r="G230" s="56"/>
      <c r="H230" s="45"/>
      <c r="I230" s="45">
        <f t="shared" si="11"/>
        <v>0</v>
      </c>
      <c r="J230" s="78">
        <f t="shared" si="12"/>
        <v>0</v>
      </c>
      <c r="K230" s="47">
        <f t="shared" si="13"/>
        <v>0</v>
      </c>
    </row>
    <row r="231" spans="1:11" s="38" customFormat="1" ht="15" customHeight="1">
      <c r="A231" s="43" t="s">
        <v>262</v>
      </c>
      <c r="B231" s="43" t="s">
        <v>348</v>
      </c>
      <c r="C231" s="44"/>
      <c r="D231" s="45">
        <f>((126006.97/1925)/60)*5+((57504.96/1925)/60)*15</f>
        <v>12.923023809523809</v>
      </c>
      <c r="E231" s="45">
        <f>D231*22%</f>
        <v>2.8430652380952379</v>
      </c>
      <c r="F231" s="58">
        <v>18.38</v>
      </c>
      <c r="G231" s="45">
        <f>C232*0.1848</f>
        <v>0.92399999999999993</v>
      </c>
      <c r="H231" s="45">
        <f>D231*0.34</f>
        <v>4.3938280952380948</v>
      </c>
      <c r="I231" s="45">
        <f t="shared" si="11"/>
        <v>39.463917142857142</v>
      </c>
      <c r="J231" s="78">
        <f t="shared" si="12"/>
        <v>13.812370999999999</v>
      </c>
      <c r="K231" s="47">
        <v>53</v>
      </c>
    </row>
    <row r="232" spans="1:11" s="38" customFormat="1" ht="15" customHeight="1">
      <c r="A232" s="42"/>
      <c r="B232" s="68" t="s">
        <v>258</v>
      </c>
      <c r="C232" s="44">
        <v>5</v>
      </c>
      <c r="D232" s="45"/>
      <c r="E232" s="45"/>
      <c r="F232" s="56"/>
      <c r="G232" s="56"/>
      <c r="H232" s="45"/>
      <c r="I232" s="45">
        <f t="shared" si="11"/>
        <v>0</v>
      </c>
      <c r="J232" s="78">
        <f t="shared" si="12"/>
        <v>0</v>
      </c>
      <c r="K232" s="47">
        <f t="shared" si="13"/>
        <v>0</v>
      </c>
    </row>
    <row r="233" spans="1:11" s="38" customFormat="1" ht="15" customHeight="1">
      <c r="A233" s="42"/>
      <c r="B233" s="68" t="s">
        <v>337</v>
      </c>
      <c r="C233" s="44">
        <v>15</v>
      </c>
      <c r="D233" s="45"/>
      <c r="E233" s="45"/>
      <c r="F233" s="56"/>
      <c r="G233" s="56"/>
      <c r="H233" s="45"/>
      <c r="I233" s="45">
        <f t="shared" si="11"/>
        <v>0</v>
      </c>
      <c r="J233" s="78">
        <f t="shared" si="12"/>
        <v>0</v>
      </c>
      <c r="K233" s="47">
        <f t="shared" si="13"/>
        <v>0</v>
      </c>
    </row>
    <row r="234" spans="1:11" s="38" customFormat="1" ht="15" customHeight="1">
      <c r="A234" s="43" t="s">
        <v>272</v>
      </c>
      <c r="B234" s="43" t="s">
        <v>349</v>
      </c>
      <c r="C234" s="44"/>
      <c r="D234" s="45">
        <f>((126006.97/1925)/60)*3+((57504.96/1925)/60)*5</f>
        <v>5.7623005194805188</v>
      </c>
      <c r="E234" s="45">
        <f>D234*22%</f>
        <v>1.2677061142857142</v>
      </c>
      <c r="F234" s="58">
        <v>13.98</v>
      </c>
      <c r="G234" s="45">
        <f>C235*0.1848</f>
        <v>0.5544</v>
      </c>
      <c r="H234" s="45">
        <f>D234*0.34</f>
        <v>1.9591821766233766</v>
      </c>
      <c r="I234" s="45">
        <f t="shared" si="11"/>
        <v>23.523588810389612</v>
      </c>
      <c r="J234" s="78">
        <f t="shared" si="12"/>
        <v>8.2332560836363644</v>
      </c>
      <c r="K234" s="47">
        <v>32</v>
      </c>
    </row>
    <row r="235" spans="1:11" s="38" customFormat="1" ht="15" customHeight="1">
      <c r="A235" s="42"/>
      <c r="B235" s="68" t="s">
        <v>258</v>
      </c>
      <c r="C235" s="44">
        <v>3</v>
      </c>
      <c r="D235" s="45"/>
      <c r="E235" s="45"/>
      <c r="F235" s="55"/>
      <c r="G235" s="56"/>
      <c r="H235" s="45"/>
      <c r="I235" s="45">
        <f t="shared" si="11"/>
        <v>0</v>
      </c>
      <c r="J235" s="78">
        <f t="shared" si="12"/>
        <v>0</v>
      </c>
      <c r="K235" s="47">
        <f t="shared" si="13"/>
        <v>0</v>
      </c>
    </row>
    <row r="236" spans="1:11" s="38" customFormat="1" ht="15" customHeight="1">
      <c r="A236" s="42"/>
      <c r="B236" s="68" t="s">
        <v>337</v>
      </c>
      <c r="C236" s="44">
        <v>5</v>
      </c>
      <c r="D236" s="45"/>
      <c r="E236" s="45"/>
      <c r="F236" s="55"/>
      <c r="G236" s="56"/>
      <c r="H236" s="45"/>
      <c r="I236" s="45">
        <f t="shared" si="11"/>
        <v>0</v>
      </c>
      <c r="J236" s="78">
        <f t="shared" si="12"/>
        <v>0</v>
      </c>
      <c r="K236" s="47">
        <f t="shared" si="13"/>
        <v>0</v>
      </c>
    </row>
    <row r="237" spans="1:11" s="38" customFormat="1" ht="15" customHeight="1">
      <c r="A237" s="43" t="s">
        <v>277</v>
      </c>
      <c r="B237" s="43" t="s">
        <v>350</v>
      </c>
      <c r="C237" s="44"/>
      <c r="D237" s="45">
        <f>((126006.97/1925)/60)*5+((57504.96/1925)/60)*10</f>
        <v>10.433631601731602</v>
      </c>
      <c r="E237" s="45">
        <f>D237*22%</f>
        <v>2.2953989523809524</v>
      </c>
      <c r="F237" s="58">
        <v>13.88</v>
      </c>
      <c r="G237" s="45">
        <f>C238*0.1848</f>
        <v>0.92399999999999993</v>
      </c>
      <c r="H237" s="45">
        <f>D237*0.34</f>
        <v>3.5474347445887449</v>
      </c>
      <c r="I237" s="45">
        <f t="shared" si="11"/>
        <v>31.080465298701299</v>
      </c>
      <c r="J237" s="78">
        <f t="shared" si="12"/>
        <v>10.878162854545455</v>
      </c>
      <c r="K237" s="47">
        <v>42</v>
      </c>
    </row>
    <row r="238" spans="1:11" s="38" customFormat="1" ht="15" customHeight="1">
      <c r="A238" s="42"/>
      <c r="B238" s="68" t="s">
        <v>258</v>
      </c>
      <c r="C238" s="44">
        <v>5</v>
      </c>
      <c r="D238" s="45"/>
      <c r="E238" s="45"/>
      <c r="F238" s="56"/>
      <c r="G238" s="56"/>
      <c r="H238" s="45"/>
      <c r="I238" s="45">
        <f t="shared" si="11"/>
        <v>0</v>
      </c>
      <c r="J238" s="78">
        <f t="shared" si="12"/>
        <v>0</v>
      </c>
      <c r="K238" s="47">
        <f t="shared" si="13"/>
        <v>0</v>
      </c>
    </row>
    <row r="239" spans="1:11" s="38" customFormat="1" ht="15" customHeight="1">
      <c r="A239" s="42"/>
      <c r="B239" s="68" t="s">
        <v>337</v>
      </c>
      <c r="C239" s="44">
        <v>10</v>
      </c>
      <c r="D239" s="45"/>
      <c r="E239" s="45"/>
      <c r="F239" s="56"/>
      <c r="G239" s="56"/>
      <c r="H239" s="45"/>
      <c r="I239" s="45">
        <f t="shared" si="11"/>
        <v>0</v>
      </c>
      <c r="J239" s="78">
        <f t="shared" si="12"/>
        <v>0</v>
      </c>
      <c r="K239" s="47">
        <f t="shared" si="13"/>
        <v>0</v>
      </c>
    </row>
    <row r="240" spans="1:11" s="38" customFormat="1" ht="15" customHeight="1">
      <c r="A240" s="43" t="s">
        <v>279</v>
      </c>
      <c r="B240" s="43" t="s">
        <v>351</v>
      </c>
      <c r="C240" s="44"/>
      <c r="D240" s="45">
        <f>((126006.97/1925)/60)*10+((57504.96/1925)/60)*15</f>
        <v>18.377870995670996</v>
      </c>
      <c r="E240" s="45">
        <f>D240*22%</f>
        <v>4.0431316190476192</v>
      </c>
      <c r="F240" s="58">
        <v>4.7</v>
      </c>
      <c r="G240" s="45">
        <f>C241*0.1848</f>
        <v>1.8479999999999999</v>
      </c>
      <c r="H240" s="45">
        <f>D240*0.34</f>
        <v>6.2484761385281393</v>
      </c>
      <c r="I240" s="45">
        <f t="shared" si="11"/>
        <v>35.217478753246752</v>
      </c>
      <c r="J240" s="78">
        <f t="shared" si="12"/>
        <v>12.326117563636362</v>
      </c>
      <c r="K240" s="47">
        <v>48</v>
      </c>
    </row>
    <row r="241" spans="1:11" s="38" customFormat="1" ht="15" customHeight="1">
      <c r="A241" s="42"/>
      <c r="B241" s="68" t="s">
        <v>258</v>
      </c>
      <c r="C241" s="44">
        <v>10</v>
      </c>
      <c r="D241" s="45"/>
      <c r="E241" s="45"/>
      <c r="F241" s="55"/>
      <c r="G241" s="56"/>
      <c r="H241" s="45"/>
      <c r="I241" s="45">
        <f t="shared" si="11"/>
        <v>0</v>
      </c>
      <c r="J241" s="78">
        <f t="shared" si="12"/>
        <v>0</v>
      </c>
      <c r="K241" s="47">
        <f t="shared" si="13"/>
        <v>0</v>
      </c>
    </row>
    <row r="242" spans="1:11" s="38" customFormat="1" ht="15" customHeight="1">
      <c r="A242" s="42"/>
      <c r="B242" s="68" t="s">
        <v>337</v>
      </c>
      <c r="C242" s="44">
        <v>15</v>
      </c>
      <c r="D242" s="45"/>
      <c r="E242" s="45"/>
      <c r="F242" s="55"/>
      <c r="G242" s="56"/>
      <c r="H242" s="45"/>
      <c r="I242" s="45">
        <f t="shared" si="11"/>
        <v>0</v>
      </c>
      <c r="J242" s="78">
        <f t="shared" si="12"/>
        <v>0</v>
      </c>
      <c r="K242" s="47">
        <f t="shared" si="13"/>
        <v>0</v>
      </c>
    </row>
    <row r="243" spans="1:11" s="38" customFormat="1" ht="15" customHeight="1">
      <c r="A243" s="43" t="s">
        <v>281</v>
      </c>
      <c r="B243" s="43" t="s">
        <v>352</v>
      </c>
      <c r="C243" s="44"/>
      <c r="D243" s="45">
        <f>((126006.97/1925)/60)*15+((57504.96/1925)/60)*30</f>
        <v>31.300894805194805</v>
      </c>
      <c r="E243" s="45">
        <f>D243*22%</f>
        <v>6.8861968571428571</v>
      </c>
      <c r="F243" s="58">
        <v>1.52</v>
      </c>
      <c r="G243" s="45">
        <f>C244*0.1848</f>
        <v>2.7719999999999998</v>
      </c>
      <c r="H243" s="45">
        <f>D243*0.34</f>
        <v>10.642304233766234</v>
      </c>
      <c r="I243" s="45">
        <f t="shared" si="11"/>
        <v>53.121395896103891</v>
      </c>
      <c r="J243" s="78">
        <f t="shared" si="12"/>
        <v>18.592488563636362</v>
      </c>
      <c r="K243" s="47">
        <v>72</v>
      </c>
    </row>
    <row r="244" spans="1:11" s="38" customFormat="1" ht="15" customHeight="1">
      <c r="A244" s="42"/>
      <c r="B244" s="68" t="s">
        <v>258</v>
      </c>
      <c r="C244" s="44">
        <v>15</v>
      </c>
      <c r="D244" s="45"/>
      <c r="E244" s="45"/>
      <c r="F244" s="56"/>
      <c r="G244" s="56"/>
      <c r="H244" s="45"/>
      <c r="I244" s="45">
        <f t="shared" si="11"/>
        <v>0</v>
      </c>
      <c r="J244" s="78">
        <f t="shared" si="12"/>
        <v>0</v>
      </c>
      <c r="K244" s="47">
        <f t="shared" si="13"/>
        <v>0</v>
      </c>
    </row>
    <row r="245" spans="1:11" s="38" customFormat="1" ht="15" customHeight="1">
      <c r="A245" s="42"/>
      <c r="B245" s="68" t="s">
        <v>337</v>
      </c>
      <c r="C245" s="44">
        <v>30</v>
      </c>
      <c r="D245" s="45"/>
      <c r="E245" s="45"/>
      <c r="F245" s="56"/>
      <c r="G245" s="56"/>
      <c r="H245" s="45"/>
      <c r="I245" s="45">
        <f t="shared" si="11"/>
        <v>0</v>
      </c>
      <c r="J245" s="78">
        <f t="shared" si="12"/>
        <v>0</v>
      </c>
      <c r="K245" s="47">
        <f t="shared" si="13"/>
        <v>0</v>
      </c>
    </row>
    <row r="246" spans="1:11" s="38" customFormat="1" ht="15" customHeight="1">
      <c r="A246" s="43" t="s">
        <v>283</v>
      </c>
      <c r="B246" s="43" t="s">
        <v>353</v>
      </c>
      <c r="C246" s="44"/>
      <c r="D246" s="45">
        <f>((126006.97/1925)/60)*30+((57504.96/1925)/60)*60</f>
        <v>62.601789610389609</v>
      </c>
      <c r="E246" s="45">
        <f>D246*22%</f>
        <v>13.772393714285714</v>
      </c>
      <c r="F246" s="58">
        <v>0.91</v>
      </c>
      <c r="G246" s="45">
        <f>C247*0.1848</f>
        <v>5.5439999999999996</v>
      </c>
      <c r="H246" s="45">
        <f>D246*0.34</f>
        <v>21.284608467532468</v>
      </c>
      <c r="I246" s="45">
        <f t="shared" si="11"/>
        <v>104.11279179220779</v>
      </c>
      <c r="J246" s="78">
        <f t="shared" si="12"/>
        <v>36.439477127272724</v>
      </c>
      <c r="K246" s="47">
        <v>141</v>
      </c>
    </row>
    <row r="247" spans="1:11" s="38" customFormat="1" ht="15" customHeight="1">
      <c r="A247" s="42"/>
      <c r="B247" s="68" t="s">
        <v>258</v>
      </c>
      <c r="C247" s="44">
        <v>30</v>
      </c>
      <c r="D247" s="45"/>
      <c r="E247" s="45"/>
      <c r="F247" s="55"/>
      <c r="G247" s="56"/>
      <c r="H247" s="45"/>
      <c r="I247" s="45">
        <f t="shared" si="11"/>
        <v>0</v>
      </c>
      <c r="J247" s="78">
        <f t="shared" si="12"/>
        <v>0</v>
      </c>
      <c r="K247" s="47">
        <f t="shared" si="13"/>
        <v>0</v>
      </c>
    </row>
    <row r="248" spans="1:11" s="38" customFormat="1" ht="15" customHeight="1">
      <c r="A248" s="42"/>
      <c r="B248" s="68" t="s">
        <v>337</v>
      </c>
      <c r="C248" s="44">
        <v>60</v>
      </c>
      <c r="D248" s="45"/>
      <c r="E248" s="45"/>
      <c r="F248" s="55"/>
      <c r="G248" s="56"/>
      <c r="H248" s="45"/>
      <c r="I248" s="45">
        <f t="shared" si="11"/>
        <v>0</v>
      </c>
      <c r="J248" s="78">
        <f t="shared" si="12"/>
        <v>0</v>
      </c>
      <c r="K248" s="47">
        <f t="shared" si="13"/>
        <v>0</v>
      </c>
    </row>
    <row r="249" spans="1:11" s="38" customFormat="1" ht="15" customHeight="1">
      <c r="A249" s="43" t="s">
        <v>285</v>
      </c>
      <c r="B249" s="43" t="s">
        <v>354</v>
      </c>
      <c r="C249" s="44"/>
      <c r="D249" s="45">
        <f>((126006.97/1925)/60)*30+((57504.96/1925)/60)*60</f>
        <v>62.601789610389609</v>
      </c>
      <c r="E249" s="45">
        <f>D249*22%</f>
        <v>13.772393714285714</v>
      </c>
      <c r="F249" s="58">
        <v>14.29</v>
      </c>
      <c r="G249" s="45">
        <f>C250*0.1848</f>
        <v>5.5439999999999996</v>
      </c>
      <c r="H249" s="45">
        <f>D249*0.34</f>
        <v>21.284608467532468</v>
      </c>
      <c r="I249" s="45">
        <f t="shared" si="11"/>
        <v>117.49279179220778</v>
      </c>
      <c r="J249" s="78">
        <f t="shared" si="12"/>
        <v>41.122477127272724</v>
      </c>
      <c r="K249" s="47">
        <v>159</v>
      </c>
    </row>
    <row r="250" spans="1:11" s="38" customFormat="1" ht="15" customHeight="1">
      <c r="A250" s="42"/>
      <c r="B250" s="68" t="s">
        <v>258</v>
      </c>
      <c r="C250" s="44">
        <v>30</v>
      </c>
      <c r="D250" s="45"/>
      <c r="E250" s="45"/>
      <c r="F250" s="55"/>
      <c r="G250" s="56"/>
      <c r="H250" s="45"/>
      <c r="I250" s="45">
        <f t="shared" si="11"/>
        <v>0</v>
      </c>
      <c r="J250" s="78">
        <f t="shared" si="12"/>
        <v>0</v>
      </c>
      <c r="K250" s="47">
        <f t="shared" si="13"/>
        <v>0</v>
      </c>
    </row>
    <row r="251" spans="1:11" s="38" customFormat="1" ht="15" customHeight="1">
      <c r="A251" s="42"/>
      <c r="B251" s="68" t="s">
        <v>337</v>
      </c>
      <c r="C251" s="44">
        <v>60</v>
      </c>
      <c r="D251" s="45"/>
      <c r="E251" s="45"/>
      <c r="F251" s="55"/>
      <c r="G251" s="56"/>
      <c r="H251" s="45"/>
      <c r="I251" s="45">
        <f t="shared" si="11"/>
        <v>0</v>
      </c>
      <c r="J251" s="78">
        <f t="shared" si="12"/>
        <v>0</v>
      </c>
      <c r="K251" s="47">
        <f t="shared" si="13"/>
        <v>0</v>
      </c>
    </row>
    <row r="252" spans="1:11" s="38" customFormat="1" ht="15" customHeight="1">
      <c r="A252" s="43" t="s">
        <v>287</v>
      </c>
      <c r="B252" s="43" t="s">
        <v>355</v>
      </c>
      <c r="C252" s="44"/>
      <c r="D252" s="45">
        <f>((126006.97/1925)/60)*30+((57504.96/1925)/60)*60</f>
        <v>62.601789610389609</v>
      </c>
      <c r="E252" s="45">
        <f>D252*22%</f>
        <v>13.772393714285714</v>
      </c>
      <c r="F252" s="58">
        <v>14.29</v>
      </c>
      <c r="G252" s="45">
        <f>C253*0.1848</f>
        <v>5.5439999999999996</v>
      </c>
      <c r="H252" s="45">
        <f>D252*0.34</f>
        <v>21.284608467532468</v>
      </c>
      <c r="I252" s="45">
        <f t="shared" si="11"/>
        <v>117.49279179220778</v>
      </c>
      <c r="J252" s="78">
        <f t="shared" si="12"/>
        <v>41.122477127272724</v>
      </c>
      <c r="K252" s="47">
        <v>159</v>
      </c>
    </row>
    <row r="253" spans="1:11" s="38" customFormat="1" ht="15" customHeight="1">
      <c r="A253" s="42"/>
      <c r="B253" s="68" t="s">
        <v>258</v>
      </c>
      <c r="C253" s="44">
        <v>30</v>
      </c>
      <c r="D253" s="45"/>
      <c r="E253" s="45"/>
      <c r="F253" s="56"/>
      <c r="G253" s="56"/>
      <c r="H253" s="45"/>
      <c r="I253" s="45">
        <f t="shared" si="11"/>
        <v>0</v>
      </c>
      <c r="J253" s="78">
        <f t="shared" si="12"/>
        <v>0</v>
      </c>
      <c r="K253" s="47">
        <f t="shared" si="13"/>
        <v>0</v>
      </c>
    </row>
    <row r="254" spans="1:11" s="38" customFormat="1" ht="15" customHeight="1">
      <c r="A254" s="42"/>
      <c r="B254" s="68" t="s">
        <v>337</v>
      </c>
      <c r="C254" s="44">
        <v>60</v>
      </c>
      <c r="D254" s="45"/>
      <c r="E254" s="45"/>
      <c r="F254" s="56"/>
      <c r="G254" s="56"/>
      <c r="H254" s="45"/>
      <c r="I254" s="45">
        <f t="shared" si="11"/>
        <v>0</v>
      </c>
      <c r="J254" s="78">
        <f t="shared" si="12"/>
        <v>0</v>
      </c>
      <c r="K254" s="47">
        <f t="shared" si="13"/>
        <v>0</v>
      </c>
    </row>
    <row r="255" spans="1:11" s="38" customFormat="1" ht="15" customHeight="1">
      <c r="A255" s="43" t="s">
        <v>289</v>
      </c>
      <c r="B255" s="43" t="s">
        <v>356</v>
      </c>
      <c r="C255" s="44"/>
      <c r="D255" s="45">
        <f>((126006.97/1925)/60)*10+((57504.96/1925)/60)*10</f>
        <v>15.888478787878785</v>
      </c>
      <c r="E255" s="45">
        <f>D255*22%</f>
        <v>3.4954653333333328</v>
      </c>
      <c r="F255" s="58">
        <v>2</v>
      </c>
      <c r="G255" s="45">
        <f>C256*0.1848</f>
        <v>1.8479999999999999</v>
      </c>
      <c r="H255" s="45">
        <f>D255*0.34</f>
        <v>5.4020827878787872</v>
      </c>
      <c r="I255" s="45">
        <f t="shared" si="11"/>
        <v>28.634026909090906</v>
      </c>
      <c r="J255" s="78">
        <f t="shared" si="12"/>
        <v>10.021909418181817</v>
      </c>
      <c r="K255" s="47">
        <v>39</v>
      </c>
    </row>
    <row r="256" spans="1:11" s="38" customFormat="1" ht="15" customHeight="1">
      <c r="A256" s="42"/>
      <c r="B256" s="68" t="s">
        <v>258</v>
      </c>
      <c r="C256" s="44">
        <v>10</v>
      </c>
      <c r="D256" s="45"/>
      <c r="E256" s="45"/>
      <c r="F256" s="55"/>
      <c r="G256" s="56"/>
      <c r="H256" s="45"/>
      <c r="I256" s="45">
        <f t="shared" si="11"/>
        <v>0</v>
      </c>
      <c r="J256" s="78">
        <f t="shared" si="12"/>
        <v>0</v>
      </c>
      <c r="K256" s="47">
        <f t="shared" si="13"/>
        <v>0</v>
      </c>
    </row>
    <row r="257" spans="1:11" s="38" customFormat="1" ht="15" customHeight="1">
      <c r="A257" s="42"/>
      <c r="B257" s="68" t="s">
        <v>337</v>
      </c>
      <c r="C257" s="44">
        <v>10</v>
      </c>
      <c r="D257" s="45"/>
      <c r="E257" s="45"/>
      <c r="F257" s="55"/>
      <c r="G257" s="56"/>
      <c r="H257" s="45"/>
      <c r="I257" s="45">
        <f t="shared" si="11"/>
        <v>0</v>
      </c>
      <c r="J257" s="78">
        <f t="shared" si="12"/>
        <v>0</v>
      </c>
      <c r="K257" s="47">
        <f t="shared" si="13"/>
        <v>0</v>
      </c>
    </row>
    <row r="258" spans="1:11" s="38" customFormat="1" ht="15" customHeight="1">
      <c r="A258" s="43" t="s">
        <v>293</v>
      </c>
      <c r="B258" s="43" t="s">
        <v>357</v>
      </c>
      <c r="C258" s="44"/>
      <c r="D258" s="45">
        <f>((126006.97/1925)/60)*10+((57504.96/1925)/60)*10</f>
        <v>15.888478787878785</v>
      </c>
      <c r="E258" s="45">
        <f>D258*22%</f>
        <v>3.4954653333333328</v>
      </c>
      <c r="F258" s="58">
        <v>7.62</v>
      </c>
      <c r="G258" s="45">
        <f>C259*0.1848</f>
        <v>1.8479999999999999</v>
      </c>
      <c r="H258" s="45">
        <f>D258*0.34</f>
        <v>5.4020827878787872</v>
      </c>
      <c r="I258" s="45">
        <f t="shared" si="11"/>
        <v>34.254026909090904</v>
      </c>
      <c r="J258" s="78">
        <f t="shared" si="12"/>
        <v>11.988909418181816</v>
      </c>
      <c r="K258" s="47">
        <v>46</v>
      </c>
    </row>
    <row r="259" spans="1:11" s="38" customFormat="1" ht="15" customHeight="1">
      <c r="A259" s="48"/>
      <c r="B259" s="68" t="s">
        <v>258</v>
      </c>
      <c r="C259" s="44">
        <v>10</v>
      </c>
      <c r="D259" s="45"/>
      <c r="E259" s="45"/>
      <c r="F259" s="55"/>
      <c r="G259" s="56"/>
      <c r="H259" s="45"/>
      <c r="I259" s="45">
        <f t="shared" si="11"/>
        <v>0</v>
      </c>
      <c r="J259" s="78">
        <f t="shared" si="12"/>
        <v>0</v>
      </c>
      <c r="K259" s="47">
        <f t="shared" si="13"/>
        <v>0</v>
      </c>
    </row>
    <row r="260" spans="1:11" s="38" customFormat="1" ht="15" customHeight="1">
      <c r="A260" s="48"/>
      <c r="B260" s="68" t="s">
        <v>337</v>
      </c>
      <c r="C260" s="44">
        <v>10</v>
      </c>
      <c r="D260" s="45"/>
      <c r="E260" s="45"/>
      <c r="F260" s="55"/>
      <c r="G260" s="56"/>
      <c r="H260" s="45"/>
      <c r="I260" s="45">
        <f t="shared" si="11"/>
        <v>0</v>
      </c>
      <c r="J260" s="78">
        <f t="shared" si="12"/>
        <v>0</v>
      </c>
      <c r="K260" s="47">
        <f t="shared" si="13"/>
        <v>0</v>
      </c>
    </row>
    <row r="261" spans="1:11" s="38" customFormat="1" ht="21.6" customHeight="1">
      <c r="A261" s="249" t="s">
        <v>358</v>
      </c>
      <c r="B261" s="249"/>
      <c r="C261" s="249"/>
      <c r="D261" s="249"/>
      <c r="E261" s="249"/>
      <c r="F261" s="249"/>
      <c r="G261" s="249"/>
      <c r="H261" s="249"/>
      <c r="I261" s="249"/>
      <c r="J261" s="249"/>
      <c r="K261" s="182"/>
    </row>
    <row r="262" spans="1:11" s="38" customFormat="1" ht="21" customHeight="1">
      <c r="A262" s="80" t="s">
        <v>248</v>
      </c>
      <c r="B262" s="80" t="s">
        <v>359</v>
      </c>
      <c r="C262" s="81"/>
      <c r="D262" s="45">
        <f>((84538.8/1500)/60)*10+((60321.11/1500)/60)*15</f>
        <v>19.446718333333333</v>
      </c>
      <c r="E262" s="45">
        <f>D262*22%</f>
        <v>4.2782780333333337</v>
      </c>
      <c r="F262" s="82">
        <v>15.5</v>
      </c>
      <c r="G262" s="45">
        <f>C263*3.15</f>
        <v>31.5</v>
      </c>
      <c r="H262" s="45">
        <f>D262*0.34</f>
        <v>6.6118842333333339</v>
      </c>
      <c r="I262" s="45">
        <f>H262+G262+F262+E262+D262</f>
        <v>77.336880600000001</v>
      </c>
      <c r="J262" s="83">
        <f>I262*35%</f>
        <v>27.067908209999999</v>
      </c>
      <c r="K262" s="47">
        <v>104</v>
      </c>
    </row>
    <row r="263" spans="1:11" s="38" customFormat="1" ht="19.5" customHeight="1">
      <c r="A263" s="84"/>
      <c r="B263" s="68" t="s">
        <v>258</v>
      </c>
      <c r="C263" s="81">
        <v>10</v>
      </c>
      <c r="D263" s="45"/>
      <c r="E263" s="45"/>
      <c r="F263" s="56"/>
      <c r="G263" s="56"/>
      <c r="H263" s="45"/>
      <c r="I263" s="45">
        <f t="shared" ref="I263:I326" si="14">H263+G263+F263+E263+D263</f>
        <v>0</v>
      </c>
      <c r="J263" s="83">
        <f t="shared" ref="J263:J326" si="15">I263*35%</f>
        <v>0</v>
      </c>
      <c r="K263" s="47">
        <f t="shared" ref="K263:K326" si="16">I263+J263</f>
        <v>0</v>
      </c>
    </row>
    <row r="264" spans="1:11" s="38" customFormat="1" ht="21" customHeight="1">
      <c r="A264" s="84"/>
      <c r="B264" s="68" t="s">
        <v>360</v>
      </c>
      <c r="C264" s="81">
        <v>15</v>
      </c>
      <c r="D264" s="45"/>
      <c r="E264" s="45"/>
      <c r="F264" s="56"/>
      <c r="G264" s="56"/>
      <c r="H264" s="45"/>
      <c r="I264" s="45">
        <f t="shared" si="14"/>
        <v>0</v>
      </c>
      <c r="J264" s="83">
        <f t="shared" si="15"/>
        <v>0</v>
      </c>
      <c r="K264" s="47">
        <f t="shared" si="16"/>
        <v>0</v>
      </c>
    </row>
    <row r="265" spans="1:11" s="38" customFormat="1" ht="18.75" customHeight="1">
      <c r="A265" s="80" t="s">
        <v>251</v>
      </c>
      <c r="B265" s="80" t="s">
        <v>20</v>
      </c>
      <c r="C265" s="81"/>
      <c r="D265" s="45">
        <f>((84538.8/1500)/60)*10+((60321.11/1500)/60)*15</f>
        <v>19.446718333333333</v>
      </c>
      <c r="E265" s="45">
        <f>D265*22%</f>
        <v>4.2782780333333337</v>
      </c>
      <c r="F265" s="82">
        <v>31</v>
      </c>
      <c r="G265" s="45">
        <f>C266*3.15</f>
        <v>31.5</v>
      </c>
      <c r="H265" s="45">
        <f>D265*0.34</f>
        <v>6.6118842333333339</v>
      </c>
      <c r="I265" s="45">
        <f t="shared" si="14"/>
        <v>92.836880600000015</v>
      </c>
      <c r="J265" s="83">
        <f t="shared" si="15"/>
        <v>32.492908210000003</v>
      </c>
      <c r="K265" s="47">
        <v>125</v>
      </c>
    </row>
    <row r="266" spans="1:11" s="38" customFormat="1" ht="20.25" customHeight="1">
      <c r="A266" s="84"/>
      <c r="B266" s="68" t="s">
        <v>258</v>
      </c>
      <c r="C266" s="81">
        <v>10</v>
      </c>
      <c r="D266" s="45"/>
      <c r="E266" s="45"/>
      <c r="F266" s="56"/>
      <c r="G266" s="56"/>
      <c r="H266" s="45"/>
      <c r="I266" s="45">
        <f t="shared" si="14"/>
        <v>0</v>
      </c>
      <c r="J266" s="83">
        <f t="shared" si="15"/>
        <v>0</v>
      </c>
      <c r="K266" s="47">
        <f t="shared" si="16"/>
        <v>0</v>
      </c>
    </row>
    <row r="267" spans="1:11" s="38" customFormat="1" ht="19.5" customHeight="1">
      <c r="A267" s="84"/>
      <c r="B267" s="68" t="s">
        <v>360</v>
      </c>
      <c r="C267" s="81">
        <v>15</v>
      </c>
      <c r="D267" s="45"/>
      <c r="E267" s="45"/>
      <c r="F267" s="56"/>
      <c r="G267" s="56"/>
      <c r="H267" s="45"/>
      <c r="I267" s="45">
        <f t="shared" si="14"/>
        <v>0</v>
      </c>
      <c r="J267" s="83">
        <f t="shared" si="15"/>
        <v>0</v>
      </c>
      <c r="K267" s="47">
        <f t="shared" si="16"/>
        <v>0</v>
      </c>
    </row>
    <row r="268" spans="1:11" s="38" customFormat="1" ht="19.5" customHeight="1">
      <c r="A268" s="80" t="s">
        <v>262</v>
      </c>
      <c r="B268" s="80" t="s">
        <v>361</v>
      </c>
      <c r="C268" s="55"/>
      <c r="D268" s="45">
        <f>((84538.8/1500)/60)*10+((60321.11/1500)/60)*15</f>
        <v>19.446718333333333</v>
      </c>
      <c r="E268" s="45">
        <f>D268*22%</f>
        <v>4.2782780333333337</v>
      </c>
      <c r="F268" s="82">
        <v>9.4</v>
      </c>
      <c r="G268" s="45">
        <f>C269*3.15</f>
        <v>31.5</v>
      </c>
      <c r="H268" s="45">
        <f>D268*0.34</f>
        <v>6.6118842333333339</v>
      </c>
      <c r="I268" s="45">
        <f t="shared" si="14"/>
        <v>71.236880600000006</v>
      </c>
      <c r="J268" s="83">
        <f t="shared" si="15"/>
        <v>24.932908210000001</v>
      </c>
      <c r="K268" s="47">
        <v>96</v>
      </c>
    </row>
    <row r="269" spans="1:11" s="38" customFormat="1" ht="19.5" customHeight="1">
      <c r="A269" s="84"/>
      <c r="B269" s="68" t="s">
        <v>258</v>
      </c>
      <c r="C269" s="55">
        <v>10</v>
      </c>
      <c r="D269" s="45"/>
      <c r="E269" s="45"/>
      <c r="F269" s="56"/>
      <c r="G269" s="56"/>
      <c r="H269" s="45"/>
      <c r="I269" s="45">
        <f t="shared" si="14"/>
        <v>0</v>
      </c>
      <c r="J269" s="83">
        <f t="shared" si="15"/>
        <v>0</v>
      </c>
      <c r="K269" s="47">
        <f t="shared" si="16"/>
        <v>0</v>
      </c>
    </row>
    <row r="270" spans="1:11" s="38" customFormat="1" ht="21" customHeight="1">
      <c r="A270" s="84"/>
      <c r="B270" s="68" t="s">
        <v>360</v>
      </c>
      <c r="C270" s="55">
        <v>15</v>
      </c>
      <c r="D270" s="45"/>
      <c r="E270" s="45"/>
      <c r="F270" s="56"/>
      <c r="G270" s="56"/>
      <c r="H270" s="45"/>
      <c r="I270" s="45">
        <f t="shared" si="14"/>
        <v>0</v>
      </c>
      <c r="J270" s="83">
        <f t="shared" si="15"/>
        <v>0</v>
      </c>
      <c r="K270" s="47">
        <f t="shared" si="16"/>
        <v>0</v>
      </c>
    </row>
    <row r="271" spans="1:11" s="38" customFormat="1" ht="18" customHeight="1">
      <c r="A271" s="80" t="s">
        <v>272</v>
      </c>
      <c r="B271" s="80" t="s">
        <v>362</v>
      </c>
      <c r="C271" s="55"/>
      <c r="D271" s="45">
        <f>((84538.8/1500)/60)*10+((60321.11/1500)/60)*15</f>
        <v>19.446718333333333</v>
      </c>
      <c r="E271" s="45">
        <f>D271*22%</f>
        <v>4.2782780333333337</v>
      </c>
      <c r="F271" s="82">
        <v>15.5</v>
      </c>
      <c r="G271" s="45">
        <f>C272*3.15</f>
        <v>31.5</v>
      </c>
      <c r="H271" s="45">
        <f>D271*0.34</f>
        <v>6.6118842333333339</v>
      </c>
      <c r="I271" s="45">
        <f t="shared" si="14"/>
        <v>77.336880600000001</v>
      </c>
      <c r="J271" s="83">
        <f t="shared" si="15"/>
        <v>27.067908209999999</v>
      </c>
      <c r="K271" s="47">
        <v>104</v>
      </c>
    </row>
    <row r="272" spans="1:11" s="38" customFormat="1" ht="21.75" customHeight="1">
      <c r="A272" s="84"/>
      <c r="B272" s="68" t="s">
        <v>258</v>
      </c>
      <c r="C272" s="55">
        <v>10</v>
      </c>
      <c r="D272" s="45"/>
      <c r="E272" s="45"/>
      <c r="F272" s="56"/>
      <c r="G272" s="56"/>
      <c r="H272" s="45"/>
      <c r="I272" s="45">
        <f t="shared" si="14"/>
        <v>0</v>
      </c>
      <c r="J272" s="83">
        <f t="shared" si="15"/>
        <v>0</v>
      </c>
      <c r="K272" s="47">
        <f t="shared" si="16"/>
        <v>0</v>
      </c>
    </row>
    <row r="273" spans="1:11" s="38" customFormat="1" ht="20.25" customHeight="1">
      <c r="A273" s="84"/>
      <c r="B273" s="68" t="s">
        <v>360</v>
      </c>
      <c r="C273" s="55">
        <v>15</v>
      </c>
      <c r="D273" s="45"/>
      <c r="E273" s="45"/>
      <c r="F273" s="56"/>
      <c r="G273" s="56"/>
      <c r="H273" s="45"/>
      <c r="I273" s="45">
        <f t="shared" si="14"/>
        <v>0</v>
      </c>
      <c r="J273" s="83">
        <f t="shared" si="15"/>
        <v>0</v>
      </c>
      <c r="K273" s="47">
        <f t="shared" si="16"/>
        <v>0</v>
      </c>
    </row>
    <row r="274" spans="1:11" s="38" customFormat="1" ht="19.5" customHeight="1">
      <c r="A274" s="80" t="s">
        <v>277</v>
      </c>
      <c r="B274" s="85" t="s">
        <v>363</v>
      </c>
      <c r="C274" s="86"/>
      <c r="D274" s="45">
        <f>((84538.8/1500)/60)*10+((60321.11/1500)/60)*15</f>
        <v>19.446718333333333</v>
      </c>
      <c r="E274" s="45">
        <f>D274*22%</f>
        <v>4.2782780333333337</v>
      </c>
      <c r="F274" s="82">
        <v>31</v>
      </c>
      <c r="G274" s="45">
        <f>C275*3.15</f>
        <v>31.5</v>
      </c>
      <c r="H274" s="45">
        <f>D274*0.34</f>
        <v>6.6118842333333339</v>
      </c>
      <c r="I274" s="45">
        <f t="shared" si="14"/>
        <v>92.836880600000015</v>
      </c>
      <c r="J274" s="83">
        <f t="shared" si="15"/>
        <v>32.492908210000003</v>
      </c>
      <c r="K274" s="47">
        <v>125</v>
      </c>
    </row>
    <row r="275" spans="1:11" s="38" customFormat="1" ht="18.75" customHeight="1">
      <c r="A275" s="84"/>
      <c r="B275" s="68" t="s">
        <v>258</v>
      </c>
      <c r="C275" s="86">
        <v>10</v>
      </c>
      <c r="D275" s="45"/>
      <c r="E275" s="45"/>
      <c r="F275" s="66"/>
      <c r="G275" s="56"/>
      <c r="H275" s="45"/>
      <c r="I275" s="45">
        <f t="shared" si="14"/>
        <v>0</v>
      </c>
      <c r="J275" s="83">
        <f t="shared" si="15"/>
        <v>0</v>
      </c>
      <c r="K275" s="47">
        <f t="shared" si="16"/>
        <v>0</v>
      </c>
    </row>
    <row r="276" spans="1:11" s="38" customFormat="1" ht="18" customHeight="1">
      <c r="A276" s="84"/>
      <c r="B276" s="68" t="s">
        <v>360</v>
      </c>
      <c r="C276" s="86">
        <v>15</v>
      </c>
      <c r="D276" s="45"/>
      <c r="E276" s="45"/>
      <c r="F276" s="66"/>
      <c r="G276" s="56"/>
      <c r="H276" s="45"/>
      <c r="I276" s="45">
        <f t="shared" si="14"/>
        <v>0</v>
      </c>
      <c r="J276" s="83">
        <f t="shared" si="15"/>
        <v>0</v>
      </c>
      <c r="K276" s="47">
        <f t="shared" si="16"/>
        <v>0</v>
      </c>
    </row>
    <row r="277" spans="1:11" s="38" customFormat="1" ht="19.5" customHeight="1">
      <c r="A277" s="80" t="s">
        <v>279</v>
      </c>
      <c r="B277" s="80" t="s">
        <v>364</v>
      </c>
      <c r="C277" s="86"/>
      <c r="D277" s="45">
        <f>((84538.8/1500)/60)*10+((60321.11/1500)/60)*15</f>
        <v>19.446718333333333</v>
      </c>
      <c r="E277" s="45">
        <f>D277*22%</f>
        <v>4.2782780333333337</v>
      </c>
      <c r="F277" s="82">
        <v>15.5</v>
      </c>
      <c r="G277" s="45">
        <f>C278*3.15</f>
        <v>31.5</v>
      </c>
      <c r="H277" s="45">
        <f>D277*0.34</f>
        <v>6.6118842333333339</v>
      </c>
      <c r="I277" s="45">
        <f t="shared" si="14"/>
        <v>77.336880600000001</v>
      </c>
      <c r="J277" s="83">
        <f t="shared" si="15"/>
        <v>27.067908209999999</v>
      </c>
      <c r="K277" s="47">
        <v>104</v>
      </c>
    </row>
    <row r="278" spans="1:11" s="38" customFormat="1" ht="18.75" customHeight="1">
      <c r="A278" s="84"/>
      <c r="B278" s="68" t="s">
        <v>258</v>
      </c>
      <c r="C278" s="86">
        <v>10</v>
      </c>
      <c r="D278" s="45"/>
      <c r="E278" s="45"/>
      <c r="F278" s="66"/>
      <c r="G278" s="56"/>
      <c r="H278" s="45"/>
      <c r="I278" s="45">
        <f t="shared" si="14"/>
        <v>0</v>
      </c>
      <c r="J278" s="83">
        <f t="shared" si="15"/>
        <v>0</v>
      </c>
      <c r="K278" s="47">
        <f t="shared" si="16"/>
        <v>0</v>
      </c>
    </row>
    <row r="279" spans="1:11" s="38" customFormat="1" ht="18.75" customHeight="1">
      <c r="A279" s="84"/>
      <c r="B279" s="68" t="s">
        <v>360</v>
      </c>
      <c r="C279" s="86">
        <v>15</v>
      </c>
      <c r="D279" s="45"/>
      <c r="E279" s="45"/>
      <c r="F279" s="66"/>
      <c r="G279" s="56"/>
      <c r="H279" s="45"/>
      <c r="I279" s="45">
        <f t="shared" si="14"/>
        <v>0</v>
      </c>
      <c r="J279" s="83">
        <f t="shared" si="15"/>
        <v>0</v>
      </c>
      <c r="K279" s="47">
        <f t="shared" si="16"/>
        <v>0</v>
      </c>
    </row>
    <row r="280" spans="1:11" s="38" customFormat="1" ht="20.25" customHeight="1">
      <c r="A280" s="80" t="s">
        <v>281</v>
      </c>
      <c r="B280" s="80" t="s">
        <v>365</v>
      </c>
      <c r="C280" s="86"/>
      <c r="D280" s="45">
        <f>((84538.8/1500)/60)*10+((60321.11/1500)/60)*15</f>
        <v>19.446718333333333</v>
      </c>
      <c r="E280" s="45">
        <f>D280*22%</f>
        <v>4.2782780333333337</v>
      </c>
      <c r="F280" s="82">
        <v>31</v>
      </c>
      <c r="G280" s="45">
        <f>C281*3.15</f>
        <v>31.5</v>
      </c>
      <c r="H280" s="45">
        <f>D280*0.34</f>
        <v>6.6118842333333339</v>
      </c>
      <c r="I280" s="45">
        <f t="shared" si="14"/>
        <v>92.836880600000015</v>
      </c>
      <c r="J280" s="83">
        <f t="shared" si="15"/>
        <v>32.492908210000003</v>
      </c>
      <c r="K280" s="47">
        <v>125</v>
      </c>
    </row>
    <row r="281" spans="1:11" s="38" customFormat="1" ht="18" customHeight="1">
      <c r="A281" s="84"/>
      <c r="B281" s="68" t="s">
        <v>258</v>
      </c>
      <c r="C281" s="86">
        <v>10</v>
      </c>
      <c r="D281" s="45"/>
      <c r="E281" s="45"/>
      <c r="F281" s="66"/>
      <c r="G281" s="56"/>
      <c r="H281" s="45"/>
      <c r="I281" s="45">
        <f t="shared" si="14"/>
        <v>0</v>
      </c>
      <c r="J281" s="83">
        <f t="shared" si="15"/>
        <v>0</v>
      </c>
      <c r="K281" s="47">
        <f t="shared" si="16"/>
        <v>0</v>
      </c>
    </row>
    <row r="282" spans="1:11" s="38" customFormat="1" ht="18" customHeight="1">
      <c r="A282" s="84"/>
      <c r="B282" s="68" t="s">
        <v>360</v>
      </c>
      <c r="C282" s="86">
        <v>15</v>
      </c>
      <c r="D282" s="45"/>
      <c r="E282" s="45"/>
      <c r="F282" s="66"/>
      <c r="G282" s="56"/>
      <c r="H282" s="45"/>
      <c r="I282" s="45">
        <f t="shared" si="14"/>
        <v>0</v>
      </c>
      <c r="J282" s="83">
        <f t="shared" si="15"/>
        <v>0</v>
      </c>
      <c r="K282" s="47">
        <f t="shared" si="16"/>
        <v>0</v>
      </c>
    </row>
    <row r="283" spans="1:11" s="38" customFormat="1" ht="39" customHeight="1">
      <c r="A283" s="80" t="s">
        <v>283</v>
      </c>
      <c r="B283" s="80" t="s">
        <v>366</v>
      </c>
      <c r="C283" s="86"/>
      <c r="D283" s="45">
        <f>((84538.8/1500)/60)*10+((60321.11/1500)/60)*15</f>
        <v>19.446718333333333</v>
      </c>
      <c r="E283" s="45">
        <f>D283*22%</f>
        <v>4.2782780333333337</v>
      </c>
      <c r="F283" s="82">
        <v>9.4</v>
      </c>
      <c r="G283" s="45">
        <f>C284*3.15</f>
        <v>31.5</v>
      </c>
      <c r="H283" s="45">
        <f>D283*0.34</f>
        <v>6.6118842333333339</v>
      </c>
      <c r="I283" s="45">
        <f t="shared" si="14"/>
        <v>71.236880600000006</v>
      </c>
      <c r="J283" s="83">
        <f t="shared" si="15"/>
        <v>24.932908210000001</v>
      </c>
      <c r="K283" s="47">
        <v>96</v>
      </c>
    </row>
    <row r="284" spans="1:11" s="38" customFormat="1" ht="20.25" customHeight="1">
      <c r="A284" s="84"/>
      <c r="B284" s="68" t="s">
        <v>258</v>
      </c>
      <c r="C284" s="86">
        <v>10</v>
      </c>
      <c r="D284" s="45"/>
      <c r="E284" s="45"/>
      <c r="F284" s="66"/>
      <c r="G284" s="56"/>
      <c r="H284" s="45"/>
      <c r="I284" s="45">
        <f t="shared" si="14"/>
        <v>0</v>
      </c>
      <c r="J284" s="83">
        <f t="shared" si="15"/>
        <v>0</v>
      </c>
      <c r="K284" s="47">
        <f t="shared" si="16"/>
        <v>0</v>
      </c>
    </row>
    <row r="285" spans="1:11" s="38" customFormat="1" ht="20.25" customHeight="1">
      <c r="A285" s="84"/>
      <c r="B285" s="68" t="s">
        <v>360</v>
      </c>
      <c r="C285" s="86">
        <v>15</v>
      </c>
      <c r="D285" s="45"/>
      <c r="E285" s="45"/>
      <c r="F285" s="66"/>
      <c r="G285" s="56"/>
      <c r="H285" s="45"/>
      <c r="I285" s="45">
        <f t="shared" si="14"/>
        <v>0</v>
      </c>
      <c r="J285" s="83">
        <f t="shared" si="15"/>
        <v>0</v>
      </c>
      <c r="K285" s="47">
        <f t="shared" si="16"/>
        <v>0</v>
      </c>
    </row>
    <row r="286" spans="1:11" s="38" customFormat="1" ht="39" customHeight="1">
      <c r="A286" s="80" t="s">
        <v>285</v>
      </c>
      <c r="B286" s="85" t="s">
        <v>367</v>
      </c>
      <c r="C286" s="86"/>
      <c r="D286" s="45">
        <f>((84538.8/1500)/60)*10+((60321.11/1500)/60)*15</f>
        <v>19.446718333333333</v>
      </c>
      <c r="E286" s="45">
        <f>D286*22%</f>
        <v>4.2782780333333337</v>
      </c>
      <c r="F286" s="82">
        <v>18.8</v>
      </c>
      <c r="G286" s="45">
        <f>C287*3.15</f>
        <v>31.5</v>
      </c>
      <c r="H286" s="45">
        <f>D286*0.34</f>
        <v>6.6118842333333339</v>
      </c>
      <c r="I286" s="45">
        <f t="shared" si="14"/>
        <v>80.636880600000012</v>
      </c>
      <c r="J286" s="83">
        <f t="shared" si="15"/>
        <v>28.222908210000003</v>
      </c>
      <c r="K286" s="47">
        <v>109</v>
      </c>
    </row>
    <row r="287" spans="1:11" s="38" customFormat="1" ht="17.25" customHeight="1">
      <c r="A287" s="84"/>
      <c r="B287" s="68" t="s">
        <v>258</v>
      </c>
      <c r="C287" s="86">
        <v>10</v>
      </c>
      <c r="D287" s="45"/>
      <c r="E287" s="45"/>
      <c r="F287" s="56"/>
      <c r="G287" s="56"/>
      <c r="H287" s="45"/>
      <c r="I287" s="45">
        <f t="shared" si="14"/>
        <v>0</v>
      </c>
      <c r="J287" s="83">
        <f t="shared" si="15"/>
        <v>0</v>
      </c>
      <c r="K287" s="47">
        <f t="shared" si="16"/>
        <v>0</v>
      </c>
    </row>
    <row r="288" spans="1:11" s="38" customFormat="1" ht="17.25" customHeight="1">
      <c r="A288" s="84"/>
      <c r="B288" s="68" t="s">
        <v>360</v>
      </c>
      <c r="C288" s="86">
        <v>15</v>
      </c>
      <c r="D288" s="45"/>
      <c r="E288" s="45"/>
      <c r="F288" s="56"/>
      <c r="G288" s="56"/>
      <c r="H288" s="45"/>
      <c r="I288" s="45">
        <f t="shared" si="14"/>
        <v>0</v>
      </c>
      <c r="J288" s="83">
        <f t="shared" si="15"/>
        <v>0</v>
      </c>
      <c r="K288" s="47">
        <f t="shared" si="16"/>
        <v>0</v>
      </c>
    </row>
    <row r="289" spans="1:11" s="38" customFormat="1" ht="40.5" customHeight="1">
      <c r="A289" s="80" t="s">
        <v>287</v>
      </c>
      <c r="B289" s="85" t="s">
        <v>368</v>
      </c>
      <c r="C289" s="87"/>
      <c r="D289" s="45">
        <f>((84538.8/1500)/60)*10+((60321.11/1500)/60)*15</f>
        <v>19.446718333333333</v>
      </c>
      <c r="E289" s="45">
        <f>D289*22%</f>
        <v>4.2782780333333337</v>
      </c>
      <c r="F289" s="82">
        <v>9.4</v>
      </c>
      <c r="G289" s="45">
        <f>C290*3.15</f>
        <v>31.5</v>
      </c>
      <c r="H289" s="45">
        <f>D289*0.34</f>
        <v>6.6118842333333339</v>
      </c>
      <c r="I289" s="45">
        <f t="shared" si="14"/>
        <v>71.236880600000006</v>
      </c>
      <c r="J289" s="83">
        <f t="shared" si="15"/>
        <v>24.932908210000001</v>
      </c>
      <c r="K289" s="47">
        <v>96</v>
      </c>
    </row>
    <row r="290" spans="1:11" s="38" customFormat="1" ht="15.75" customHeight="1">
      <c r="A290" s="84"/>
      <c r="B290" s="68" t="s">
        <v>258</v>
      </c>
      <c r="C290" s="87">
        <v>10</v>
      </c>
      <c r="D290" s="45"/>
      <c r="E290" s="45"/>
      <c r="F290" s="56"/>
      <c r="G290" s="56"/>
      <c r="H290" s="45"/>
      <c r="I290" s="45">
        <f t="shared" si="14"/>
        <v>0</v>
      </c>
      <c r="J290" s="83">
        <f t="shared" si="15"/>
        <v>0</v>
      </c>
      <c r="K290" s="47">
        <f t="shared" si="16"/>
        <v>0</v>
      </c>
    </row>
    <row r="291" spans="1:11" s="38" customFormat="1" ht="15.75" customHeight="1">
      <c r="A291" s="84"/>
      <c r="B291" s="68" t="s">
        <v>360</v>
      </c>
      <c r="C291" s="87">
        <v>15</v>
      </c>
      <c r="D291" s="45"/>
      <c r="E291" s="45"/>
      <c r="F291" s="56"/>
      <c r="G291" s="56"/>
      <c r="H291" s="45"/>
      <c r="I291" s="45">
        <f t="shared" si="14"/>
        <v>0</v>
      </c>
      <c r="J291" s="83">
        <f t="shared" si="15"/>
        <v>0</v>
      </c>
      <c r="K291" s="47">
        <f t="shared" si="16"/>
        <v>0</v>
      </c>
    </row>
    <row r="292" spans="1:11" s="38" customFormat="1" ht="33.75" customHeight="1">
      <c r="A292" s="80" t="s">
        <v>289</v>
      </c>
      <c r="B292" s="85" t="s">
        <v>369</v>
      </c>
      <c r="C292" s="87"/>
      <c r="D292" s="45">
        <f>((84538.8/1500)/60)*10+((60321.11/1500)/60)*15</f>
        <v>19.446718333333333</v>
      </c>
      <c r="E292" s="45">
        <f>D292*22%</f>
        <v>4.2782780333333337</v>
      </c>
      <c r="F292" s="82">
        <v>18.8</v>
      </c>
      <c r="G292" s="45">
        <f>C293*3.15</f>
        <v>31.5</v>
      </c>
      <c r="H292" s="45">
        <f>D292*0.34</f>
        <v>6.6118842333333339</v>
      </c>
      <c r="I292" s="45">
        <f t="shared" si="14"/>
        <v>80.636880600000012</v>
      </c>
      <c r="J292" s="83">
        <f t="shared" si="15"/>
        <v>28.222908210000003</v>
      </c>
      <c r="K292" s="47">
        <v>109</v>
      </c>
    </row>
    <row r="293" spans="1:11" s="38" customFormat="1" ht="18" customHeight="1">
      <c r="A293" s="84"/>
      <c r="B293" s="68" t="s">
        <v>258</v>
      </c>
      <c r="C293" s="87">
        <v>10</v>
      </c>
      <c r="D293" s="45"/>
      <c r="E293" s="45"/>
      <c r="F293" s="56"/>
      <c r="G293" s="56"/>
      <c r="H293" s="45"/>
      <c r="I293" s="45">
        <f t="shared" si="14"/>
        <v>0</v>
      </c>
      <c r="J293" s="83">
        <f t="shared" si="15"/>
        <v>0</v>
      </c>
      <c r="K293" s="47">
        <f t="shared" si="16"/>
        <v>0</v>
      </c>
    </row>
    <row r="294" spans="1:11" s="38" customFormat="1" ht="18.75" customHeight="1">
      <c r="A294" s="84"/>
      <c r="B294" s="68" t="s">
        <v>360</v>
      </c>
      <c r="C294" s="87">
        <v>15</v>
      </c>
      <c r="D294" s="45"/>
      <c r="E294" s="45"/>
      <c r="F294" s="56"/>
      <c r="G294" s="56"/>
      <c r="H294" s="45"/>
      <c r="I294" s="45">
        <f t="shared" si="14"/>
        <v>0</v>
      </c>
      <c r="J294" s="83">
        <f t="shared" si="15"/>
        <v>0</v>
      </c>
      <c r="K294" s="47">
        <f t="shared" si="16"/>
        <v>0</v>
      </c>
    </row>
    <row r="295" spans="1:11" s="38" customFormat="1" ht="18" customHeight="1">
      <c r="A295" s="80" t="s">
        <v>293</v>
      </c>
      <c r="B295" s="80" t="s">
        <v>370</v>
      </c>
      <c r="C295" s="55"/>
      <c r="D295" s="45">
        <f>((84538.8/1500)/60)*10+((60321.11/1500)/60)*15</f>
        <v>19.446718333333333</v>
      </c>
      <c r="E295" s="45">
        <f>D295*22%</f>
        <v>4.2782780333333337</v>
      </c>
      <c r="F295" s="82">
        <v>15.5</v>
      </c>
      <c r="G295" s="45">
        <f>C296*3.15</f>
        <v>31.5</v>
      </c>
      <c r="H295" s="45">
        <f>D295*0.34</f>
        <v>6.6118842333333339</v>
      </c>
      <c r="I295" s="45">
        <f t="shared" si="14"/>
        <v>77.336880600000001</v>
      </c>
      <c r="J295" s="83">
        <f t="shared" si="15"/>
        <v>27.067908209999999</v>
      </c>
      <c r="K295" s="47">
        <v>104</v>
      </c>
    </row>
    <row r="296" spans="1:11" s="38" customFormat="1" ht="16.5" customHeight="1">
      <c r="A296" s="84"/>
      <c r="B296" s="68" t="s">
        <v>258</v>
      </c>
      <c r="C296" s="55">
        <v>10</v>
      </c>
      <c r="D296" s="45"/>
      <c r="E296" s="45"/>
      <c r="F296" s="56"/>
      <c r="G296" s="56"/>
      <c r="H296" s="45"/>
      <c r="I296" s="45">
        <f t="shared" si="14"/>
        <v>0</v>
      </c>
      <c r="J296" s="83">
        <f t="shared" si="15"/>
        <v>0</v>
      </c>
      <c r="K296" s="47">
        <f t="shared" si="16"/>
        <v>0</v>
      </c>
    </row>
    <row r="297" spans="1:11" s="38" customFormat="1" ht="17.25" customHeight="1">
      <c r="A297" s="84"/>
      <c r="B297" s="68" t="s">
        <v>360</v>
      </c>
      <c r="C297" s="55">
        <v>15</v>
      </c>
      <c r="D297" s="45"/>
      <c r="E297" s="45"/>
      <c r="F297" s="56"/>
      <c r="G297" s="56"/>
      <c r="H297" s="45"/>
      <c r="I297" s="45">
        <f t="shared" si="14"/>
        <v>0</v>
      </c>
      <c r="J297" s="83">
        <f t="shared" si="15"/>
        <v>0</v>
      </c>
      <c r="K297" s="47">
        <f t="shared" si="16"/>
        <v>0</v>
      </c>
    </row>
    <row r="298" spans="1:11" s="38" customFormat="1" ht="21.75" customHeight="1">
      <c r="A298" s="80" t="s">
        <v>300</v>
      </c>
      <c r="B298" s="80" t="s">
        <v>371</v>
      </c>
      <c r="C298" s="87"/>
      <c r="D298" s="45">
        <f>((84538.8/1500)/60)*10+((60321.11/1500)/60)*15</f>
        <v>19.446718333333333</v>
      </c>
      <c r="E298" s="45">
        <f>D298*22%</f>
        <v>4.2782780333333337</v>
      </c>
      <c r="F298" s="82">
        <v>25.8</v>
      </c>
      <c r="G298" s="45">
        <f>C299*3.15</f>
        <v>31.5</v>
      </c>
      <c r="H298" s="45">
        <f>D298*0.34</f>
        <v>6.6118842333333339</v>
      </c>
      <c r="I298" s="45">
        <f t="shared" si="14"/>
        <v>87.636880600000012</v>
      </c>
      <c r="J298" s="83">
        <f t="shared" si="15"/>
        <v>30.672908210000003</v>
      </c>
      <c r="K298" s="47">
        <v>118</v>
      </c>
    </row>
    <row r="299" spans="1:11" s="38" customFormat="1" ht="18" customHeight="1">
      <c r="A299" s="84"/>
      <c r="B299" s="68" t="s">
        <v>258</v>
      </c>
      <c r="C299" s="87">
        <v>10</v>
      </c>
      <c r="D299" s="45"/>
      <c r="E299" s="45"/>
      <c r="F299" s="56"/>
      <c r="G299" s="56"/>
      <c r="H299" s="45"/>
      <c r="I299" s="45">
        <f t="shared" si="14"/>
        <v>0</v>
      </c>
      <c r="J299" s="83">
        <f t="shared" si="15"/>
        <v>0</v>
      </c>
      <c r="K299" s="47">
        <f t="shared" si="16"/>
        <v>0</v>
      </c>
    </row>
    <row r="300" spans="1:11" s="38" customFormat="1" ht="17.25" customHeight="1">
      <c r="A300" s="84"/>
      <c r="B300" s="68" t="s">
        <v>360</v>
      </c>
      <c r="C300" s="87">
        <v>15</v>
      </c>
      <c r="D300" s="45"/>
      <c r="E300" s="45"/>
      <c r="F300" s="56"/>
      <c r="G300" s="56"/>
      <c r="H300" s="45"/>
      <c r="I300" s="45">
        <f t="shared" si="14"/>
        <v>0</v>
      </c>
      <c r="J300" s="83">
        <f t="shared" si="15"/>
        <v>0</v>
      </c>
      <c r="K300" s="47">
        <f t="shared" si="16"/>
        <v>0</v>
      </c>
    </row>
    <row r="301" spans="1:11" s="38" customFormat="1" ht="20.25" customHeight="1">
      <c r="A301" s="80" t="s">
        <v>323</v>
      </c>
      <c r="B301" s="80" t="s">
        <v>372</v>
      </c>
      <c r="C301" s="87"/>
      <c r="D301" s="45">
        <f>((84538.8/1500)/60)*10+((60321.11/1500)/60)*15</f>
        <v>19.446718333333333</v>
      </c>
      <c r="E301" s="45">
        <f>D301*22%</f>
        <v>4.2782780333333337</v>
      </c>
      <c r="F301" s="82">
        <v>41.3</v>
      </c>
      <c r="G301" s="45">
        <f>C302*3.15</f>
        <v>31.5</v>
      </c>
      <c r="H301" s="45">
        <f>D301*0.34</f>
        <v>6.6118842333333339</v>
      </c>
      <c r="I301" s="45">
        <f t="shared" si="14"/>
        <v>103.1368806</v>
      </c>
      <c r="J301" s="83">
        <f t="shared" si="15"/>
        <v>36.09790821</v>
      </c>
      <c r="K301" s="47">
        <v>139</v>
      </c>
    </row>
    <row r="302" spans="1:11" s="38" customFormat="1" ht="15.75" customHeight="1">
      <c r="A302" s="84"/>
      <c r="B302" s="68" t="s">
        <v>258</v>
      </c>
      <c r="C302" s="87">
        <v>10</v>
      </c>
      <c r="D302" s="45"/>
      <c r="E302" s="45"/>
      <c r="F302" s="56"/>
      <c r="G302" s="56"/>
      <c r="H302" s="45"/>
      <c r="I302" s="45">
        <f t="shared" si="14"/>
        <v>0</v>
      </c>
      <c r="J302" s="83">
        <f t="shared" si="15"/>
        <v>0</v>
      </c>
      <c r="K302" s="47">
        <f t="shared" si="16"/>
        <v>0</v>
      </c>
    </row>
    <row r="303" spans="1:11" s="38" customFormat="1" ht="15.75" customHeight="1">
      <c r="A303" s="84"/>
      <c r="B303" s="68" t="s">
        <v>360</v>
      </c>
      <c r="C303" s="87">
        <v>15</v>
      </c>
      <c r="D303" s="45"/>
      <c r="E303" s="45"/>
      <c r="F303" s="56"/>
      <c r="G303" s="56"/>
      <c r="H303" s="45"/>
      <c r="I303" s="45">
        <f t="shared" si="14"/>
        <v>0</v>
      </c>
      <c r="J303" s="83">
        <f t="shared" si="15"/>
        <v>0</v>
      </c>
      <c r="K303" s="47">
        <f t="shared" si="16"/>
        <v>0</v>
      </c>
    </row>
    <row r="304" spans="1:11" s="38" customFormat="1" ht="18" customHeight="1">
      <c r="A304" s="80" t="s">
        <v>325</v>
      </c>
      <c r="B304" s="85" t="s">
        <v>373</v>
      </c>
      <c r="C304" s="86"/>
      <c r="D304" s="45">
        <f>((84538.8/1500)/60)*10+((60321.11/1500)/60)*15</f>
        <v>19.446718333333333</v>
      </c>
      <c r="E304" s="45">
        <f>D304*22%</f>
        <v>4.2782780333333337</v>
      </c>
      <c r="F304" s="82">
        <v>15.5</v>
      </c>
      <c r="G304" s="45">
        <f>C305*3.15</f>
        <v>31.5</v>
      </c>
      <c r="H304" s="45">
        <f>D304*0.34</f>
        <v>6.6118842333333339</v>
      </c>
      <c r="I304" s="45">
        <f t="shared" si="14"/>
        <v>77.336880600000001</v>
      </c>
      <c r="J304" s="83">
        <f t="shared" si="15"/>
        <v>27.067908209999999</v>
      </c>
      <c r="K304" s="47">
        <v>104</v>
      </c>
    </row>
    <row r="305" spans="1:11" s="38" customFormat="1" ht="15.75" customHeight="1">
      <c r="A305" s="84"/>
      <c r="B305" s="68" t="s">
        <v>258</v>
      </c>
      <c r="C305" s="86">
        <v>10</v>
      </c>
      <c r="D305" s="45"/>
      <c r="E305" s="45"/>
      <c r="F305" s="56"/>
      <c r="G305" s="56"/>
      <c r="H305" s="45"/>
      <c r="I305" s="45">
        <f t="shared" si="14"/>
        <v>0</v>
      </c>
      <c r="J305" s="83">
        <f t="shared" si="15"/>
        <v>0</v>
      </c>
      <c r="K305" s="47">
        <f t="shared" si="16"/>
        <v>0</v>
      </c>
    </row>
    <row r="306" spans="1:11" s="38" customFormat="1" ht="15" customHeight="1">
      <c r="A306" s="84"/>
      <c r="B306" s="68" t="s">
        <v>360</v>
      </c>
      <c r="C306" s="86">
        <v>15</v>
      </c>
      <c r="D306" s="45"/>
      <c r="E306" s="45"/>
      <c r="F306" s="56"/>
      <c r="G306" s="56"/>
      <c r="H306" s="45"/>
      <c r="I306" s="45">
        <f t="shared" si="14"/>
        <v>0</v>
      </c>
      <c r="J306" s="83">
        <f t="shared" si="15"/>
        <v>0</v>
      </c>
      <c r="K306" s="47">
        <f t="shared" si="16"/>
        <v>0</v>
      </c>
    </row>
    <row r="307" spans="1:11" s="38" customFormat="1" ht="21" customHeight="1">
      <c r="A307" s="80" t="s">
        <v>329</v>
      </c>
      <c r="B307" s="85" t="s">
        <v>12</v>
      </c>
      <c r="C307" s="86"/>
      <c r="D307" s="45">
        <f>((84538.8/1500)/60)*10+((60321.11/1500)/60)*15</f>
        <v>19.446718333333333</v>
      </c>
      <c r="E307" s="45">
        <f>D307*22%</f>
        <v>4.2782780333333337</v>
      </c>
      <c r="F307" s="82">
        <v>15.5</v>
      </c>
      <c r="G307" s="45">
        <f>C308*3.15</f>
        <v>31.5</v>
      </c>
      <c r="H307" s="45">
        <f>D307*0.34</f>
        <v>6.6118842333333339</v>
      </c>
      <c r="I307" s="45">
        <f t="shared" si="14"/>
        <v>77.336880600000001</v>
      </c>
      <c r="J307" s="83">
        <f t="shared" si="15"/>
        <v>27.067908209999999</v>
      </c>
      <c r="K307" s="47">
        <v>104</v>
      </c>
    </row>
    <row r="308" spans="1:11" s="38" customFormat="1" ht="16.5" customHeight="1">
      <c r="A308" s="84"/>
      <c r="B308" s="68" t="s">
        <v>258</v>
      </c>
      <c r="C308" s="86">
        <v>10</v>
      </c>
      <c r="D308" s="45"/>
      <c r="E308" s="45"/>
      <c r="F308" s="56"/>
      <c r="G308" s="56"/>
      <c r="H308" s="45"/>
      <c r="I308" s="45">
        <f t="shared" si="14"/>
        <v>0</v>
      </c>
      <c r="J308" s="83">
        <f t="shared" si="15"/>
        <v>0</v>
      </c>
      <c r="K308" s="47">
        <f t="shared" si="16"/>
        <v>0</v>
      </c>
    </row>
    <row r="309" spans="1:11" s="38" customFormat="1" ht="16.5" customHeight="1">
      <c r="A309" s="84"/>
      <c r="B309" s="68" t="s">
        <v>360</v>
      </c>
      <c r="C309" s="86">
        <v>15</v>
      </c>
      <c r="D309" s="45"/>
      <c r="E309" s="45"/>
      <c r="F309" s="56"/>
      <c r="G309" s="56"/>
      <c r="H309" s="45"/>
      <c r="I309" s="45">
        <f t="shared" si="14"/>
        <v>0</v>
      </c>
      <c r="J309" s="83">
        <f t="shared" si="15"/>
        <v>0</v>
      </c>
      <c r="K309" s="47">
        <f t="shared" si="16"/>
        <v>0</v>
      </c>
    </row>
    <row r="310" spans="1:11" s="38" customFormat="1" ht="21" customHeight="1">
      <c r="A310" s="85" t="s">
        <v>331</v>
      </c>
      <c r="B310" s="85" t="s">
        <v>374</v>
      </c>
      <c r="C310" s="86"/>
      <c r="D310" s="45">
        <f>((84538.8/1500)/60)*30+((86428.4/1925)/60)*30</f>
        <v>50.628535064935065</v>
      </c>
      <c r="E310" s="45">
        <f>D310*22%</f>
        <v>11.138277714285714</v>
      </c>
      <c r="F310" s="82">
        <v>88.5</v>
      </c>
      <c r="G310" s="45">
        <f>C311*3.15</f>
        <v>94.5</v>
      </c>
      <c r="H310" s="45">
        <f>D310*0.34</f>
        <v>17.213701922077924</v>
      </c>
      <c r="I310" s="45">
        <f t="shared" si="14"/>
        <v>261.98051470129872</v>
      </c>
      <c r="J310" s="83">
        <f t="shared" si="15"/>
        <v>91.693180145454548</v>
      </c>
      <c r="K310" s="47">
        <v>354</v>
      </c>
    </row>
    <row r="311" spans="1:11" s="38" customFormat="1" ht="15" customHeight="1">
      <c r="A311" s="88"/>
      <c r="B311" s="67" t="s">
        <v>258</v>
      </c>
      <c r="C311" s="86">
        <v>30</v>
      </c>
      <c r="D311" s="62"/>
      <c r="E311" s="45"/>
      <c r="F311" s="66"/>
      <c r="G311" s="66"/>
      <c r="H311" s="45"/>
      <c r="I311" s="45">
        <f t="shared" si="14"/>
        <v>0</v>
      </c>
      <c r="J311" s="83">
        <f t="shared" si="15"/>
        <v>0</v>
      </c>
      <c r="K311" s="47">
        <f t="shared" si="16"/>
        <v>0</v>
      </c>
    </row>
    <row r="312" spans="1:11" s="38" customFormat="1" ht="17.25" customHeight="1">
      <c r="A312" s="88"/>
      <c r="B312" s="67" t="s">
        <v>375</v>
      </c>
      <c r="C312" s="86">
        <v>30</v>
      </c>
      <c r="D312" s="56"/>
      <c r="E312" s="45"/>
      <c r="F312" s="66"/>
      <c r="G312" s="66"/>
      <c r="H312" s="45"/>
      <c r="I312" s="45">
        <f t="shared" si="14"/>
        <v>0</v>
      </c>
      <c r="J312" s="83">
        <f t="shared" si="15"/>
        <v>0</v>
      </c>
      <c r="K312" s="47">
        <f t="shared" si="16"/>
        <v>0</v>
      </c>
    </row>
    <row r="313" spans="1:11" s="38" customFormat="1" ht="36.75" customHeight="1">
      <c r="A313" s="80" t="s">
        <v>333</v>
      </c>
      <c r="B313" s="85" t="s">
        <v>376</v>
      </c>
      <c r="C313" s="65"/>
      <c r="D313" s="45">
        <f>((84538.8/1500)/60)*10+((60321.11/1500)/60)*15</f>
        <v>19.446718333333333</v>
      </c>
      <c r="E313" s="45">
        <f>D313*22%</f>
        <v>4.2782780333333337</v>
      </c>
      <c r="F313" s="82">
        <v>9.4</v>
      </c>
      <c r="G313" s="45">
        <f>C314*3.15</f>
        <v>31.5</v>
      </c>
      <c r="H313" s="45">
        <f>D313*0.34</f>
        <v>6.6118842333333339</v>
      </c>
      <c r="I313" s="45">
        <f t="shared" si="14"/>
        <v>71.236880600000006</v>
      </c>
      <c r="J313" s="83">
        <f t="shared" si="15"/>
        <v>24.932908210000001</v>
      </c>
      <c r="K313" s="47">
        <v>96</v>
      </c>
    </row>
    <row r="314" spans="1:11" s="38" customFormat="1" ht="17.45" customHeight="1">
      <c r="A314" s="84"/>
      <c r="B314" s="68" t="s">
        <v>258</v>
      </c>
      <c r="C314" s="65">
        <v>10</v>
      </c>
      <c r="D314" s="45"/>
      <c r="E314" s="45"/>
      <c r="F314" s="56"/>
      <c r="G314" s="56"/>
      <c r="H314" s="45"/>
      <c r="I314" s="45">
        <f t="shared" si="14"/>
        <v>0</v>
      </c>
      <c r="J314" s="83">
        <f t="shared" si="15"/>
        <v>0</v>
      </c>
      <c r="K314" s="47">
        <f t="shared" si="16"/>
        <v>0</v>
      </c>
    </row>
    <row r="315" spans="1:11" s="38" customFormat="1" ht="15.75" customHeight="1">
      <c r="A315" s="84"/>
      <c r="B315" s="68" t="s">
        <v>360</v>
      </c>
      <c r="C315" s="65">
        <v>15</v>
      </c>
      <c r="D315" s="45"/>
      <c r="E315" s="45"/>
      <c r="F315" s="56"/>
      <c r="G315" s="56"/>
      <c r="H315" s="45"/>
      <c r="I315" s="45">
        <f t="shared" si="14"/>
        <v>0</v>
      </c>
      <c r="J315" s="83">
        <f t="shared" si="15"/>
        <v>0</v>
      </c>
      <c r="K315" s="47">
        <f t="shared" si="16"/>
        <v>0</v>
      </c>
    </row>
    <row r="316" spans="1:11" s="38" customFormat="1" ht="36.75" customHeight="1">
      <c r="A316" s="80" t="s">
        <v>334</v>
      </c>
      <c r="B316" s="85" t="s">
        <v>377</v>
      </c>
      <c r="C316" s="65"/>
      <c r="D316" s="45">
        <f>((84538.8/1500)/60)*10+((60321.11/1500)/60)*15</f>
        <v>19.446718333333333</v>
      </c>
      <c r="E316" s="45">
        <f>D316*22%</f>
        <v>4.2782780333333337</v>
      </c>
      <c r="F316" s="82">
        <v>18.8</v>
      </c>
      <c r="G316" s="45">
        <f>C317*3.15</f>
        <v>31.5</v>
      </c>
      <c r="H316" s="45">
        <f>D316*0.34</f>
        <v>6.6118842333333339</v>
      </c>
      <c r="I316" s="45">
        <f t="shared" si="14"/>
        <v>80.636880600000012</v>
      </c>
      <c r="J316" s="83">
        <f t="shared" si="15"/>
        <v>28.222908210000003</v>
      </c>
      <c r="K316" s="47">
        <v>109</v>
      </c>
    </row>
    <row r="317" spans="1:11" s="38" customFormat="1" ht="16.5" customHeight="1">
      <c r="A317" s="84"/>
      <c r="B317" s="68" t="s">
        <v>258</v>
      </c>
      <c r="C317" s="65">
        <v>10</v>
      </c>
      <c r="D317" s="45"/>
      <c r="E317" s="45"/>
      <c r="F317" s="56"/>
      <c r="G317" s="56"/>
      <c r="H317" s="45"/>
      <c r="I317" s="45">
        <f t="shared" si="14"/>
        <v>0</v>
      </c>
      <c r="J317" s="83">
        <f t="shared" si="15"/>
        <v>0</v>
      </c>
      <c r="K317" s="47">
        <f t="shared" si="16"/>
        <v>0</v>
      </c>
    </row>
    <row r="318" spans="1:11" s="38" customFormat="1" ht="18" customHeight="1">
      <c r="A318" s="84"/>
      <c r="B318" s="68" t="s">
        <v>360</v>
      </c>
      <c r="C318" s="65">
        <v>15</v>
      </c>
      <c r="D318" s="45"/>
      <c r="E318" s="45"/>
      <c r="F318" s="56"/>
      <c r="G318" s="56"/>
      <c r="H318" s="45"/>
      <c r="I318" s="45">
        <f t="shared" si="14"/>
        <v>0</v>
      </c>
      <c r="J318" s="83">
        <f t="shared" si="15"/>
        <v>0</v>
      </c>
      <c r="K318" s="47">
        <f t="shared" si="16"/>
        <v>0</v>
      </c>
    </row>
    <row r="319" spans="1:11" s="38" customFormat="1" ht="21" customHeight="1">
      <c r="A319" s="80" t="s">
        <v>378</v>
      </c>
      <c r="B319" s="85" t="s">
        <v>379</v>
      </c>
      <c r="C319" s="65"/>
      <c r="D319" s="45">
        <f>((84538.8/1500)/60)*10+((60321.11/1500)/60)*15</f>
        <v>19.446718333333333</v>
      </c>
      <c r="E319" s="45">
        <f>D319*22%</f>
        <v>4.2782780333333337</v>
      </c>
      <c r="F319" s="82">
        <v>5.2</v>
      </c>
      <c r="G319" s="45">
        <f>C320*3.15</f>
        <v>31.5</v>
      </c>
      <c r="H319" s="45">
        <f>D319*0.34</f>
        <v>6.6118842333333339</v>
      </c>
      <c r="I319" s="45">
        <f t="shared" si="14"/>
        <v>67.036880600000003</v>
      </c>
      <c r="J319" s="83">
        <f t="shared" si="15"/>
        <v>23.462908209999998</v>
      </c>
      <c r="K319" s="47">
        <v>91</v>
      </c>
    </row>
    <row r="320" spans="1:11" s="38" customFormat="1" ht="15.75" customHeight="1">
      <c r="A320" s="84"/>
      <c r="B320" s="68" t="s">
        <v>258</v>
      </c>
      <c r="C320" s="65">
        <v>10</v>
      </c>
      <c r="D320" s="45"/>
      <c r="E320" s="45"/>
      <c r="F320" s="56"/>
      <c r="G320" s="56"/>
      <c r="H320" s="45"/>
      <c r="I320" s="45">
        <f t="shared" si="14"/>
        <v>0</v>
      </c>
      <c r="J320" s="83">
        <f t="shared" si="15"/>
        <v>0</v>
      </c>
      <c r="K320" s="47">
        <f t="shared" si="16"/>
        <v>0</v>
      </c>
    </row>
    <row r="321" spans="1:11" s="38" customFormat="1" ht="15.75" customHeight="1">
      <c r="A321" s="84"/>
      <c r="B321" s="68" t="s">
        <v>360</v>
      </c>
      <c r="C321" s="65">
        <v>15</v>
      </c>
      <c r="D321" s="45"/>
      <c r="E321" s="45"/>
      <c r="F321" s="56"/>
      <c r="G321" s="56"/>
      <c r="H321" s="45"/>
      <c r="I321" s="45">
        <f t="shared" si="14"/>
        <v>0</v>
      </c>
      <c r="J321" s="83">
        <f t="shared" si="15"/>
        <v>0</v>
      </c>
      <c r="K321" s="47">
        <f t="shared" si="16"/>
        <v>0</v>
      </c>
    </row>
    <row r="322" spans="1:11" s="38" customFormat="1" ht="18.75" customHeight="1">
      <c r="A322" s="80" t="s">
        <v>380</v>
      </c>
      <c r="B322" s="85" t="s">
        <v>381</v>
      </c>
      <c r="C322" s="65"/>
      <c r="D322" s="45">
        <f>((84538.8/1500)/60)*10+((60321.11/1500)/60)*15</f>
        <v>19.446718333333333</v>
      </c>
      <c r="E322" s="45">
        <f>D322*22%</f>
        <v>4.2782780333333337</v>
      </c>
      <c r="F322" s="82">
        <v>10.4</v>
      </c>
      <c r="G322" s="45">
        <f>C323*3.15</f>
        <v>31.5</v>
      </c>
      <c r="H322" s="45">
        <f>D322*0.34</f>
        <v>6.6118842333333339</v>
      </c>
      <c r="I322" s="45">
        <f t="shared" si="14"/>
        <v>72.236880600000006</v>
      </c>
      <c r="J322" s="83">
        <f t="shared" si="15"/>
        <v>25.282908210000002</v>
      </c>
      <c r="K322" s="47">
        <v>98</v>
      </c>
    </row>
    <row r="323" spans="1:11" s="38" customFormat="1" ht="15.75" customHeight="1">
      <c r="A323" s="84"/>
      <c r="B323" s="68" t="s">
        <v>258</v>
      </c>
      <c r="C323" s="65">
        <v>10</v>
      </c>
      <c r="D323" s="45"/>
      <c r="E323" s="45"/>
      <c r="F323" s="56"/>
      <c r="G323" s="56"/>
      <c r="H323" s="45"/>
      <c r="I323" s="45">
        <f t="shared" si="14"/>
        <v>0</v>
      </c>
      <c r="J323" s="83">
        <f t="shared" si="15"/>
        <v>0</v>
      </c>
      <c r="K323" s="47">
        <f t="shared" si="16"/>
        <v>0</v>
      </c>
    </row>
    <row r="324" spans="1:11" s="38" customFormat="1" ht="16.5" customHeight="1">
      <c r="A324" s="84"/>
      <c r="B324" s="68" t="s">
        <v>360</v>
      </c>
      <c r="C324" s="65">
        <v>15</v>
      </c>
      <c r="D324" s="45"/>
      <c r="E324" s="45"/>
      <c r="F324" s="56"/>
      <c r="G324" s="56"/>
      <c r="H324" s="45"/>
      <c r="I324" s="45">
        <f t="shared" si="14"/>
        <v>0</v>
      </c>
      <c r="J324" s="83">
        <f t="shared" si="15"/>
        <v>0</v>
      </c>
      <c r="K324" s="47">
        <f t="shared" si="16"/>
        <v>0</v>
      </c>
    </row>
    <row r="325" spans="1:11" s="38" customFormat="1" ht="21" customHeight="1">
      <c r="A325" s="80" t="s">
        <v>382</v>
      </c>
      <c r="B325" s="85" t="s">
        <v>31</v>
      </c>
      <c r="C325" s="86"/>
      <c r="D325" s="45">
        <f>((84538.8/1500)/60)*10+((60321.11/1500)/60)*15</f>
        <v>19.446718333333333</v>
      </c>
      <c r="E325" s="45">
        <f>D325*22%</f>
        <v>4.2782780333333337</v>
      </c>
      <c r="F325" s="82">
        <v>115</v>
      </c>
      <c r="G325" s="45">
        <f>C326*3.15</f>
        <v>31.5</v>
      </c>
      <c r="H325" s="45">
        <f>D325*0.34</f>
        <v>6.6118842333333339</v>
      </c>
      <c r="I325" s="45">
        <f t="shared" si="14"/>
        <v>176.8368806</v>
      </c>
      <c r="J325" s="83">
        <f t="shared" si="15"/>
        <v>61.892908209999995</v>
      </c>
      <c r="K325" s="47">
        <v>239</v>
      </c>
    </row>
    <row r="326" spans="1:11" s="38" customFormat="1" ht="16.5" customHeight="1">
      <c r="A326" s="84"/>
      <c r="B326" s="68" t="s">
        <v>258</v>
      </c>
      <c r="C326" s="86">
        <v>10</v>
      </c>
      <c r="D326" s="45"/>
      <c r="E326" s="45"/>
      <c r="F326" s="56"/>
      <c r="G326" s="56"/>
      <c r="H326" s="45"/>
      <c r="I326" s="45">
        <f t="shared" si="14"/>
        <v>0</v>
      </c>
      <c r="J326" s="83">
        <f t="shared" si="15"/>
        <v>0</v>
      </c>
      <c r="K326" s="47">
        <f t="shared" si="16"/>
        <v>0</v>
      </c>
    </row>
    <row r="327" spans="1:11" s="38" customFormat="1" ht="16.5" customHeight="1">
      <c r="A327" s="84"/>
      <c r="B327" s="68" t="s">
        <v>360</v>
      </c>
      <c r="C327" s="86">
        <v>15</v>
      </c>
      <c r="D327" s="45"/>
      <c r="E327" s="45"/>
      <c r="F327" s="56"/>
      <c r="G327" s="56"/>
      <c r="H327" s="45"/>
      <c r="I327" s="45">
        <f t="shared" ref="I327:I346" si="17">H327+G327+F327+E327+D327</f>
        <v>0</v>
      </c>
      <c r="J327" s="83">
        <f t="shared" ref="J327:J346" si="18">I327*35%</f>
        <v>0</v>
      </c>
      <c r="K327" s="47">
        <f t="shared" ref="K327:K346" si="19">I327+J327</f>
        <v>0</v>
      </c>
    </row>
    <row r="328" spans="1:11" s="38" customFormat="1" ht="18.75" customHeight="1">
      <c r="A328" s="80" t="s">
        <v>383</v>
      </c>
      <c r="B328" s="85" t="s">
        <v>384</v>
      </c>
      <c r="C328" s="86"/>
      <c r="D328" s="45">
        <f>((84538.8/1500)/60)*20+((53451.48/1500)/60)*20</f>
        <v>30.664506666666668</v>
      </c>
      <c r="E328" s="45">
        <f>D328*22%</f>
        <v>6.7461914666666667</v>
      </c>
      <c r="F328" s="82">
        <v>170.2</v>
      </c>
      <c r="G328" s="45">
        <f>C329*3.15</f>
        <v>63</v>
      </c>
      <c r="H328" s="45">
        <f>D328*0.34</f>
        <v>10.425932266666669</v>
      </c>
      <c r="I328" s="45">
        <f t="shared" si="17"/>
        <v>281.03663039999998</v>
      </c>
      <c r="J328" s="83">
        <f t="shared" si="18"/>
        <v>98.362820639999981</v>
      </c>
      <c r="K328" s="47">
        <v>379</v>
      </c>
    </row>
    <row r="329" spans="1:11" s="38" customFormat="1" ht="20.25" customHeight="1">
      <c r="A329" s="84"/>
      <c r="B329" s="68" t="s">
        <v>258</v>
      </c>
      <c r="C329" s="86">
        <v>20</v>
      </c>
      <c r="D329" s="45"/>
      <c r="E329" s="45"/>
      <c r="F329" s="56"/>
      <c r="G329" s="56"/>
      <c r="H329" s="45"/>
      <c r="I329" s="45">
        <f t="shared" si="17"/>
        <v>0</v>
      </c>
      <c r="J329" s="83">
        <f t="shared" si="18"/>
        <v>0</v>
      </c>
      <c r="K329" s="47">
        <f t="shared" si="19"/>
        <v>0</v>
      </c>
    </row>
    <row r="330" spans="1:11" s="38" customFormat="1" ht="20.25" customHeight="1">
      <c r="A330" s="84"/>
      <c r="B330" s="89" t="s">
        <v>385</v>
      </c>
      <c r="C330" s="86">
        <v>20</v>
      </c>
      <c r="D330" s="45"/>
      <c r="E330" s="45"/>
      <c r="F330" s="56"/>
      <c r="G330" s="56"/>
      <c r="H330" s="45"/>
      <c r="I330" s="45">
        <f t="shared" si="17"/>
        <v>0</v>
      </c>
      <c r="J330" s="83">
        <f t="shared" si="18"/>
        <v>0</v>
      </c>
      <c r="K330" s="47">
        <f t="shared" si="19"/>
        <v>0</v>
      </c>
    </row>
    <row r="331" spans="1:11" s="38" customFormat="1" ht="21.75" customHeight="1">
      <c r="A331" s="80" t="s">
        <v>386</v>
      </c>
      <c r="B331" s="85" t="s">
        <v>32</v>
      </c>
      <c r="C331" s="86"/>
      <c r="D331" s="45">
        <f>((84538.8/1500)/60)*35+((53451.48/1500)/60)*35</f>
        <v>53.662886666666672</v>
      </c>
      <c r="E331" s="45">
        <f>D331*22%</f>
        <v>11.805835066666669</v>
      </c>
      <c r="F331" s="82">
        <v>298.5</v>
      </c>
      <c r="G331" s="45">
        <f>C332*3.15</f>
        <v>110.25</v>
      </c>
      <c r="H331" s="45">
        <f>D331*0.34</f>
        <v>18.245381466666672</v>
      </c>
      <c r="I331" s="45">
        <f t="shared" si="17"/>
        <v>492.46410320000001</v>
      </c>
      <c r="J331" s="83">
        <f t="shared" si="18"/>
        <v>172.36243611999998</v>
      </c>
      <c r="K331" s="47">
        <v>665</v>
      </c>
    </row>
    <row r="332" spans="1:11" s="38" customFormat="1" ht="16.5" customHeight="1">
      <c r="A332" s="84"/>
      <c r="B332" s="68" t="s">
        <v>258</v>
      </c>
      <c r="C332" s="86">
        <v>35</v>
      </c>
      <c r="D332" s="45"/>
      <c r="E332" s="45"/>
      <c r="F332" s="56"/>
      <c r="G332" s="56"/>
      <c r="H332" s="45"/>
      <c r="I332" s="45">
        <f t="shared" si="17"/>
        <v>0</v>
      </c>
      <c r="J332" s="83">
        <f t="shared" si="18"/>
        <v>0</v>
      </c>
      <c r="K332" s="47">
        <f t="shared" si="19"/>
        <v>0</v>
      </c>
    </row>
    <row r="333" spans="1:11" s="38" customFormat="1" ht="17.25" customHeight="1">
      <c r="A333" s="84"/>
      <c r="B333" s="89" t="s">
        <v>385</v>
      </c>
      <c r="C333" s="86">
        <v>35</v>
      </c>
      <c r="D333" s="45"/>
      <c r="E333" s="45"/>
      <c r="F333" s="56"/>
      <c r="G333" s="56"/>
      <c r="H333" s="45"/>
      <c r="I333" s="45">
        <f t="shared" si="17"/>
        <v>0</v>
      </c>
      <c r="J333" s="83">
        <f t="shared" si="18"/>
        <v>0</v>
      </c>
      <c r="K333" s="47">
        <f t="shared" si="19"/>
        <v>0</v>
      </c>
    </row>
    <row r="334" spans="1:11" s="38" customFormat="1" ht="19.5" customHeight="1">
      <c r="A334" s="80" t="s">
        <v>387</v>
      </c>
      <c r="B334" s="85" t="s">
        <v>388</v>
      </c>
      <c r="C334" s="86"/>
      <c r="D334" s="45">
        <f>((84538.8/1500)/60)*30+((126006.97/1925)/60)*30+((60321.11/1500)/60)*30</f>
        <v>81.015719783549784</v>
      </c>
      <c r="E334" s="45">
        <f>D334*22%</f>
        <v>17.823458352380953</v>
      </c>
      <c r="F334" s="82">
        <v>28.2</v>
      </c>
      <c r="G334" s="45">
        <f>C335*3.15</f>
        <v>94.5</v>
      </c>
      <c r="H334" s="45">
        <f>D334*0.34</f>
        <v>27.545344726406928</v>
      </c>
      <c r="I334" s="45">
        <f t="shared" si="17"/>
        <v>249.08452286233768</v>
      </c>
      <c r="J334" s="83">
        <f t="shared" si="18"/>
        <v>87.179583001818187</v>
      </c>
      <c r="K334" s="47">
        <v>336</v>
      </c>
    </row>
    <row r="335" spans="1:11" s="38" customFormat="1" ht="18" customHeight="1">
      <c r="A335" s="84"/>
      <c r="B335" s="68" t="s">
        <v>258</v>
      </c>
      <c r="C335" s="86">
        <v>30</v>
      </c>
      <c r="D335" s="45"/>
      <c r="E335" s="45"/>
      <c r="F335" s="56"/>
      <c r="G335" s="56"/>
      <c r="H335" s="45"/>
      <c r="I335" s="45">
        <f t="shared" si="17"/>
        <v>0</v>
      </c>
      <c r="J335" s="83">
        <f t="shared" si="18"/>
        <v>0</v>
      </c>
      <c r="K335" s="47">
        <f t="shared" si="19"/>
        <v>0</v>
      </c>
    </row>
    <row r="336" spans="1:11" s="38" customFormat="1" ht="18.75" customHeight="1">
      <c r="A336" s="84"/>
      <c r="B336" s="68" t="s">
        <v>389</v>
      </c>
      <c r="C336" s="86">
        <v>30</v>
      </c>
      <c r="D336" s="45"/>
      <c r="E336" s="45"/>
      <c r="F336" s="56"/>
      <c r="G336" s="56"/>
      <c r="H336" s="45"/>
      <c r="I336" s="45">
        <f t="shared" si="17"/>
        <v>0</v>
      </c>
      <c r="J336" s="83">
        <f t="shared" si="18"/>
        <v>0</v>
      </c>
      <c r="K336" s="47">
        <f t="shared" si="19"/>
        <v>0</v>
      </c>
    </row>
    <row r="337" spans="1:11" s="38" customFormat="1" ht="16.5" customHeight="1">
      <c r="A337" s="84"/>
      <c r="B337" s="68" t="s">
        <v>360</v>
      </c>
      <c r="C337" s="86">
        <v>30</v>
      </c>
      <c r="D337" s="45"/>
      <c r="E337" s="45"/>
      <c r="F337" s="56"/>
      <c r="G337" s="56"/>
      <c r="H337" s="45"/>
      <c r="I337" s="45">
        <f t="shared" si="17"/>
        <v>0</v>
      </c>
      <c r="J337" s="83">
        <f t="shared" si="18"/>
        <v>0</v>
      </c>
      <c r="K337" s="47">
        <f t="shared" si="19"/>
        <v>0</v>
      </c>
    </row>
    <row r="338" spans="1:11" s="38" customFormat="1" ht="17.25" customHeight="1">
      <c r="A338" s="80" t="s">
        <v>390</v>
      </c>
      <c r="B338" s="85" t="s">
        <v>26</v>
      </c>
      <c r="C338" s="86"/>
      <c r="D338" s="45">
        <f>((84538.8/1500)/60)*10+((60321.11/1500)/60)*15</f>
        <v>19.446718333333333</v>
      </c>
      <c r="E338" s="45">
        <f>D338*22%</f>
        <v>4.2782780333333337</v>
      </c>
      <c r="F338" s="82">
        <v>9.4</v>
      </c>
      <c r="G338" s="45">
        <f>C339*3.15</f>
        <v>31.5</v>
      </c>
      <c r="H338" s="45">
        <f>D338*0.34</f>
        <v>6.6118842333333339</v>
      </c>
      <c r="I338" s="45">
        <f t="shared" si="17"/>
        <v>71.236880600000006</v>
      </c>
      <c r="J338" s="83">
        <f t="shared" si="18"/>
        <v>24.932908210000001</v>
      </c>
      <c r="K338" s="47">
        <v>96</v>
      </c>
    </row>
    <row r="339" spans="1:11" s="38" customFormat="1" ht="15.75" customHeight="1">
      <c r="A339" s="84"/>
      <c r="B339" s="68" t="s">
        <v>258</v>
      </c>
      <c r="C339" s="86">
        <v>10</v>
      </c>
      <c r="D339" s="45"/>
      <c r="E339" s="45"/>
      <c r="F339" s="56"/>
      <c r="G339" s="56"/>
      <c r="H339" s="45"/>
      <c r="I339" s="45">
        <f t="shared" si="17"/>
        <v>0</v>
      </c>
      <c r="J339" s="83">
        <f t="shared" si="18"/>
        <v>0</v>
      </c>
      <c r="K339" s="47">
        <f t="shared" si="19"/>
        <v>0</v>
      </c>
    </row>
    <row r="340" spans="1:11" s="38" customFormat="1" ht="16.5" customHeight="1">
      <c r="A340" s="84"/>
      <c r="B340" s="68" t="s">
        <v>360</v>
      </c>
      <c r="C340" s="86">
        <v>15</v>
      </c>
      <c r="D340" s="45"/>
      <c r="E340" s="45"/>
      <c r="F340" s="56"/>
      <c r="G340" s="56"/>
      <c r="H340" s="45"/>
      <c r="I340" s="45">
        <f t="shared" si="17"/>
        <v>0</v>
      </c>
      <c r="J340" s="83">
        <f t="shared" si="18"/>
        <v>0</v>
      </c>
      <c r="K340" s="47">
        <f t="shared" si="19"/>
        <v>0</v>
      </c>
    </row>
    <row r="341" spans="1:11" s="38" customFormat="1" ht="21.75" customHeight="1">
      <c r="A341" s="80" t="s">
        <v>391</v>
      </c>
      <c r="B341" s="85" t="s">
        <v>392</v>
      </c>
      <c r="C341" s="86"/>
      <c r="D341" s="45">
        <f>((84538.8/1500)/60)*10+((60321.11/1500)/60)*15</f>
        <v>19.446718333333333</v>
      </c>
      <c r="E341" s="45">
        <f>D341*22%</f>
        <v>4.2782780333333337</v>
      </c>
      <c r="F341" s="82">
        <v>9.4</v>
      </c>
      <c r="G341" s="45">
        <f>C342*3.15</f>
        <v>31.5</v>
      </c>
      <c r="H341" s="45">
        <f>D341*0.34</f>
        <v>6.6118842333333339</v>
      </c>
      <c r="I341" s="45">
        <f t="shared" si="17"/>
        <v>71.236880600000006</v>
      </c>
      <c r="J341" s="83">
        <f t="shared" si="18"/>
        <v>24.932908210000001</v>
      </c>
      <c r="K341" s="47">
        <v>96</v>
      </c>
    </row>
    <row r="342" spans="1:11" s="38" customFormat="1" ht="16.5" customHeight="1">
      <c r="A342" s="84"/>
      <c r="B342" s="68" t="s">
        <v>258</v>
      </c>
      <c r="C342" s="86">
        <v>10</v>
      </c>
      <c r="D342" s="45"/>
      <c r="E342" s="45"/>
      <c r="F342" s="56"/>
      <c r="G342" s="56"/>
      <c r="H342" s="45"/>
      <c r="I342" s="45">
        <f t="shared" si="17"/>
        <v>0</v>
      </c>
      <c r="J342" s="83">
        <f t="shared" si="18"/>
        <v>0</v>
      </c>
      <c r="K342" s="47">
        <f t="shared" si="19"/>
        <v>0</v>
      </c>
    </row>
    <row r="343" spans="1:11" s="38" customFormat="1" ht="17.25" customHeight="1">
      <c r="A343" s="84"/>
      <c r="B343" s="68" t="s">
        <v>360</v>
      </c>
      <c r="C343" s="86">
        <v>15</v>
      </c>
      <c r="D343" s="45"/>
      <c r="E343" s="45"/>
      <c r="F343" s="56"/>
      <c r="G343" s="56"/>
      <c r="H343" s="45"/>
      <c r="I343" s="45">
        <f t="shared" si="17"/>
        <v>0</v>
      </c>
      <c r="J343" s="83">
        <f t="shared" si="18"/>
        <v>0</v>
      </c>
      <c r="K343" s="47">
        <f t="shared" si="19"/>
        <v>0</v>
      </c>
    </row>
    <row r="344" spans="1:11" s="38" customFormat="1" ht="18.75" customHeight="1">
      <c r="A344" s="80" t="s">
        <v>393</v>
      </c>
      <c r="B344" s="85" t="s">
        <v>394</v>
      </c>
      <c r="C344" s="86"/>
      <c r="D344" s="45">
        <f>((84538.8/1500)/60)*10+((60321.11/1500)/60)*15</f>
        <v>19.446718333333333</v>
      </c>
      <c r="E344" s="45">
        <f>D344*22%</f>
        <v>4.2782780333333337</v>
      </c>
      <c r="F344" s="82">
        <v>31</v>
      </c>
      <c r="G344" s="45">
        <f>C345*3.15</f>
        <v>31.5</v>
      </c>
      <c r="H344" s="45">
        <f>D344*0.34</f>
        <v>6.6118842333333339</v>
      </c>
      <c r="I344" s="45">
        <f t="shared" si="17"/>
        <v>92.836880600000015</v>
      </c>
      <c r="J344" s="83">
        <f t="shared" si="18"/>
        <v>32.492908210000003</v>
      </c>
      <c r="K344" s="47">
        <v>125</v>
      </c>
    </row>
    <row r="345" spans="1:11" s="38" customFormat="1" ht="16.5" customHeight="1">
      <c r="A345" s="84"/>
      <c r="B345" s="68" t="s">
        <v>258</v>
      </c>
      <c r="C345" s="86">
        <v>10</v>
      </c>
      <c r="D345" s="45"/>
      <c r="E345" s="45"/>
      <c r="F345" s="56"/>
      <c r="G345" s="56"/>
      <c r="H345" s="45"/>
      <c r="I345" s="45">
        <f t="shared" si="17"/>
        <v>0</v>
      </c>
      <c r="J345" s="83">
        <f t="shared" si="18"/>
        <v>0</v>
      </c>
      <c r="K345" s="47">
        <f t="shared" si="19"/>
        <v>0</v>
      </c>
    </row>
    <row r="346" spans="1:11" s="38" customFormat="1" ht="16.5" customHeight="1">
      <c r="A346" s="84"/>
      <c r="B346" s="68" t="s">
        <v>360</v>
      </c>
      <c r="C346" s="86">
        <v>15</v>
      </c>
      <c r="D346" s="45"/>
      <c r="E346" s="45"/>
      <c r="F346" s="56"/>
      <c r="G346" s="56"/>
      <c r="H346" s="45"/>
      <c r="I346" s="45">
        <f t="shared" si="17"/>
        <v>0</v>
      </c>
      <c r="J346" s="83">
        <f t="shared" si="18"/>
        <v>0</v>
      </c>
      <c r="K346" s="47">
        <f t="shared" si="19"/>
        <v>0</v>
      </c>
    </row>
    <row r="347" spans="1:11" s="38" customFormat="1" ht="25.5" customHeight="1">
      <c r="A347" s="249" t="s">
        <v>395</v>
      </c>
      <c r="B347" s="249"/>
      <c r="C347" s="249"/>
      <c r="D347" s="249"/>
      <c r="E347" s="249"/>
      <c r="F347" s="249"/>
      <c r="G347" s="249"/>
      <c r="H347" s="249"/>
      <c r="I347" s="249"/>
      <c r="J347" s="249"/>
      <c r="K347" s="182"/>
    </row>
    <row r="348" spans="1:11" s="38" customFormat="1" ht="42" customHeight="1">
      <c r="A348" s="90" t="s">
        <v>248</v>
      </c>
      <c r="B348" s="91" t="s">
        <v>396</v>
      </c>
      <c r="C348" s="87"/>
      <c r="D348" s="92"/>
      <c r="E348" s="92"/>
      <c r="F348" s="92"/>
      <c r="G348" s="58"/>
      <c r="H348" s="58"/>
      <c r="I348" s="58"/>
      <c r="J348" s="93"/>
      <c r="K348" s="76"/>
    </row>
    <row r="349" spans="1:11" s="38" customFormat="1" ht="33.950000000000003" customHeight="1">
      <c r="A349" s="94" t="s">
        <v>397</v>
      </c>
      <c r="B349" s="85" t="s">
        <v>398</v>
      </c>
      <c r="C349" s="87"/>
      <c r="D349" s="45">
        <f>((63420.3/1925)/60)*25+((57248.28/1925)/60)*25</f>
        <v>26.118740259740257</v>
      </c>
      <c r="E349" s="45">
        <f>D349*22%</f>
        <v>5.7461228571428569</v>
      </c>
      <c r="F349" s="82">
        <v>15.39</v>
      </c>
      <c r="G349" s="45">
        <f>C350*2.38</f>
        <v>59.5</v>
      </c>
      <c r="H349" s="45">
        <f>D349*0.34</f>
        <v>8.8803716883116888</v>
      </c>
      <c r="I349" s="45">
        <f>D349+E349+F349+G349+H349</f>
        <v>115.6352348051948</v>
      </c>
      <c r="J349" s="83">
        <f>I349*35%</f>
        <v>40.472332181818174</v>
      </c>
      <c r="K349" s="47">
        <v>156</v>
      </c>
    </row>
    <row r="350" spans="1:11" s="38" customFormat="1" ht="18.75" customHeight="1">
      <c r="A350" s="95"/>
      <c r="B350" s="96" t="s">
        <v>258</v>
      </c>
      <c r="C350" s="87">
        <v>25</v>
      </c>
      <c r="D350" s="58"/>
      <c r="E350" s="45"/>
      <c r="F350" s="97"/>
      <c r="G350" s="56"/>
      <c r="H350" s="58"/>
      <c r="I350" s="45">
        <f t="shared" ref="I350:I413" si="20">D350+E350+F350+G350+H350</f>
        <v>0</v>
      </c>
      <c r="J350" s="83">
        <f t="shared" ref="J350:J413" si="21">I350*35%</f>
        <v>0</v>
      </c>
      <c r="K350" s="47">
        <f t="shared" ref="K350:K413" si="22">I350+J350</f>
        <v>0</v>
      </c>
    </row>
    <row r="351" spans="1:11" s="38" customFormat="1" ht="17.25" customHeight="1">
      <c r="A351" s="95"/>
      <c r="B351" s="96" t="s">
        <v>337</v>
      </c>
      <c r="C351" s="87">
        <v>25</v>
      </c>
      <c r="D351" s="58"/>
      <c r="E351" s="45"/>
      <c r="F351" s="97"/>
      <c r="G351" s="56"/>
      <c r="H351" s="58"/>
      <c r="I351" s="45">
        <f t="shared" si="20"/>
        <v>0</v>
      </c>
      <c r="J351" s="83">
        <f t="shared" si="21"/>
        <v>0</v>
      </c>
      <c r="K351" s="47">
        <f t="shared" si="22"/>
        <v>0</v>
      </c>
    </row>
    <row r="352" spans="1:11" s="38" customFormat="1" ht="17.25" customHeight="1">
      <c r="A352" s="94" t="s">
        <v>399</v>
      </c>
      <c r="B352" s="85" t="s">
        <v>400</v>
      </c>
      <c r="C352" s="87"/>
      <c r="D352" s="92"/>
      <c r="E352" s="45">
        <f>D352*22%</f>
        <v>0</v>
      </c>
      <c r="F352" s="92"/>
      <c r="G352" s="58"/>
      <c r="H352" s="58">
        <f>D352*0.34</f>
        <v>0</v>
      </c>
      <c r="I352" s="45">
        <f t="shared" si="20"/>
        <v>0</v>
      </c>
      <c r="J352" s="83">
        <f t="shared" si="21"/>
        <v>0</v>
      </c>
      <c r="K352" s="47">
        <f t="shared" si="22"/>
        <v>0</v>
      </c>
    </row>
    <row r="353" spans="1:11" s="38" customFormat="1" ht="20.25" customHeight="1">
      <c r="A353" s="94"/>
      <c r="B353" s="98" t="s">
        <v>401</v>
      </c>
      <c r="C353" s="87"/>
      <c r="D353" s="45">
        <f>((63420.3/1925)/60)*15+((57248.28/1925)/60)*15</f>
        <v>15.671244155844157</v>
      </c>
      <c r="E353" s="45">
        <f>D353*22%</f>
        <v>3.4476737142857146</v>
      </c>
      <c r="F353" s="82">
        <v>10.54</v>
      </c>
      <c r="G353" s="45">
        <f>C354*2.38</f>
        <v>35.699999999999996</v>
      </c>
      <c r="H353" s="45">
        <f>D353*0.34</f>
        <v>5.3282230129870136</v>
      </c>
      <c r="I353" s="45">
        <f t="shared" si="20"/>
        <v>70.687140883116868</v>
      </c>
      <c r="J353" s="83">
        <f t="shared" si="21"/>
        <v>24.740499309090904</v>
      </c>
      <c r="K353" s="47">
        <v>95</v>
      </c>
    </row>
    <row r="354" spans="1:11" s="38" customFormat="1" ht="16.5" customHeight="1">
      <c r="A354" s="90"/>
      <c r="B354" s="96" t="s">
        <v>258</v>
      </c>
      <c r="C354" s="87">
        <v>15</v>
      </c>
      <c r="D354" s="58"/>
      <c r="E354" s="45"/>
      <c r="F354" s="97"/>
      <c r="G354" s="56"/>
      <c r="H354" s="58"/>
      <c r="I354" s="45">
        <f t="shared" si="20"/>
        <v>0</v>
      </c>
      <c r="J354" s="83">
        <f t="shared" si="21"/>
        <v>0</v>
      </c>
      <c r="K354" s="47">
        <f t="shared" si="22"/>
        <v>0</v>
      </c>
    </row>
    <row r="355" spans="1:11" s="38" customFormat="1" ht="18" customHeight="1">
      <c r="A355" s="90"/>
      <c r="B355" s="96" t="s">
        <v>337</v>
      </c>
      <c r="C355" s="87">
        <v>15</v>
      </c>
      <c r="D355" s="58"/>
      <c r="E355" s="45"/>
      <c r="F355" s="97"/>
      <c r="G355" s="56"/>
      <c r="H355" s="58"/>
      <c r="I355" s="45">
        <f t="shared" si="20"/>
        <v>0</v>
      </c>
      <c r="J355" s="83">
        <f t="shared" si="21"/>
        <v>0</v>
      </c>
      <c r="K355" s="47">
        <f t="shared" si="22"/>
        <v>0</v>
      </c>
    </row>
    <row r="356" spans="1:11" s="38" customFormat="1" ht="17.25" customHeight="1">
      <c r="A356" s="90"/>
      <c r="B356" s="98" t="s">
        <v>402</v>
      </c>
      <c r="C356" s="87"/>
      <c r="D356" s="45">
        <f>((63420.3/1925)/60)*10+((57248.28/1925)/60)*10</f>
        <v>10.447496103896103</v>
      </c>
      <c r="E356" s="45">
        <f>D356*22%</f>
        <v>2.2984491428571427</v>
      </c>
      <c r="F356" s="82">
        <v>10.54</v>
      </c>
      <c r="G356" s="45">
        <f>C357*2.38</f>
        <v>23.799999999999997</v>
      </c>
      <c r="H356" s="45">
        <f>D356*0.34</f>
        <v>3.5521486753246756</v>
      </c>
      <c r="I356" s="45">
        <f t="shared" si="20"/>
        <v>50.638093922077914</v>
      </c>
      <c r="J356" s="83">
        <f t="shared" si="21"/>
        <v>17.723332872727269</v>
      </c>
      <c r="K356" s="47">
        <v>68</v>
      </c>
    </row>
    <row r="357" spans="1:11" s="38" customFormat="1" ht="17.25" customHeight="1">
      <c r="A357" s="90"/>
      <c r="B357" s="96" t="s">
        <v>258</v>
      </c>
      <c r="C357" s="87">
        <v>10</v>
      </c>
      <c r="D357" s="58"/>
      <c r="E357" s="45"/>
      <c r="F357" s="97"/>
      <c r="G357" s="56"/>
      <c r="H357" s="58"/>
      <c r="I357" s="45">
        <f t="shared" si="20"/>
        <v>0</v>
      </c>
      <c r="J357" s="83">
        <f t="shared" si="21"/>
        <v>0</v>
      </c>
      <c r="K357" s="47">
        <f t="shared" si="22"/>
        <v>0</v>
      </c>
    </row>
    <row r="358" spans="1:11" s="38" customFormat="1" ht="17.25" customHeight="1">
      <c r="A358" s="90"/>
      <c r="B358" s="96" t="s">
        <v>337</v>
      </c>
      <c r="C358" s="87">
        <v>10</v>
      </c>
      <c r="D358" s="58"/>
      <c r="E358" s="45"/>
      <c r="F358" s="97"/>
      <c r="G358" s="56"/>
      <c r="H358" s="58"/>
      <c r="I358" s="45">
        <f t="shared" si="20"/>
        <v>0</v>
      </c>
      <c r="J358" s="83">
        <f t="shared" si="21"/>
        <v>0</v>
      </c>
      <c r="K358" s="47">
        <f t="shared" si="22"/>
        <v>0</v>
      </c>
    </row>
    <row r="359" spans="1:11" s="38" customFormat="1" ht="21" customHeight="1">
      <c r="A359" s="90"/>
      <c r="B359" s="98" t="s">
        <v>403</v>
      </c>
      <c r="C359" s="87"/>
      <c r="D359" s="45">
        <f>((63420.3/1925)/60)*10+((57248.28/1925)/60)*10</f>
        <v>10.447496103896103</v>
      </c>
      <c r="E359" s="45">
        <f>D359*22%</f>
        <v>2.2984491428571427</v>
      </c>
      <c r="F359" s="82">
        <v>10.54</v>
      </c>
      <c r="G359" s="45">
        <f>C360*2.38</f>
        <v>23.799999999999997</v>
      </c>
      <c r="H359" s="45">
        <f>D359*0.34</f>
        <v>3.5521486753246756</v>
      </c>
      <c r="I359" s="45">
        <f t="shared" si="20"/>
        <v>50.638093922077914</v>
      </c>
      <c r="J359" s="83">
        <f t="shared" si="21"/>
        <v>17.723332872727269</v>
      </c>
      <c r="K359" s="47">
        <v>68</v>
      </c>
    </row>
    <row r="360" spans="1:11" s="38" customFormat="1" ht="15.75" customHeight="1">
      <c r="A360" s="90"/>
      <c r="B360" s="96" t="s">
        <v>258</v>
      </c>
      <c r="C360" s="87">
        <v>10</v>
      </c>
      <c r="D360" s="58"/>
      <c r="E360" s="45"/>
      <c r="F360" s="97"/>
      <c r="G360" s="56"/>
      <c r="H360" s="58"/>
      <c r="I360" s="45">
        <f t="shared" si="20"/>
        <v>0</v>
      </c>
      <c r="J360" s="83">
        <f t="shared" si="21"/>
        <v>0</v>
      </c>
      <c r="K360" s="47">
        <f t="shared" si="22"/>
        <v>0</v>
      </c>
    </row>
    <row r="361" spans="1:11" s="38" customFormat="1" ht="15.75" customHeight="1">
      <c r="A361" s="90"/>
      <c r="B361" s="96" t="s">
        <v>337</v>
      </c>
      <c r="C361" s="87">
        <v>10</v>
      </c>
      <c r="D361" s="58"/>
      <c r="E361" s="45"/>
      <c r="F361" s="97"/>
      <c r="G361" s="56"/>
      <c r="H361" s="58"/>
      <c r="I361" s="45">
        <f t="shared" si="20"/>
        <v>0</v>
      </c>
      <c r="J361" s="83">
        <f t="shared" si="21"/>
        <v>0</v>
      </c>
      <c r="K361" s="47">
        <f t="shared" si="22"/>
        <v>0</v>
      </c>
    </row>
    <row r="362" spans="1:11" s="38" customFormat="1" ht="18" customHeight="1">
      <c r="A362" s="90"/>
      <c r="B362" s="98" t="s">
        <v>404</v>
      </c>
      <c r="C362" s="87"/>
      <c r="D362" s="45">
        <f>((63420.3/1925)/60)*15+((57248.28/1925)/60)*15</f>
        <v>15.671244155844157</v>
      </c>
      <c r="E362" s="45">
        <f>D362*22%</f>
        <v>3.4476737142857146</v>
      </c>
      <c r="F362" s="82">
        <v>10.54</v>
      </c>
      <c r="G362" s="45">
        <f>C363*2.38</f>
        <v>35.699999999999996</v>
      </c>
      <c r="H362" s="45">
        <f>D362*0.34</f>
        <v>5.3282230129870136</v>
      </c>
      <c r="I362" s="45">
        <f t="shared" si="20"/>
        <v>70.687140883116868</v>
      </c>
      <c r="J362" s="83">
        <f t="shared" si="21"/>
        <v>24.740499309090904</v>
      </c>
      <c r="K362" s="47">
        <v>95</v>
      </c>
    </row>
    <row r="363" spans="1:11" s="38" customFormat="1" ht="15.75" customHeight="1">
      <c r="A363" s="90"/>
      <c r="B363" s="96" t="s">
        <v>258</v>
      </c>
      <c r="C363" s="87">
        <v>15</v>
      </c>
      <c r="D363" s="58"/>
      <c r="E363" s="45"/>
      <c r="F363" s="97"/>
      <c r="G363" s="56"/>
      <c r="H363" s="58"/>
      <c r="I363" s="45">
        <f t="shared" si="20"/>
        <v>0</v>
      </c>
      <c r="J363" s="83">
        <f t="shared" si="21"/>
        <v>0</v>
      </c>
      <c r="K363" s="47">
        <f t="shared" si="22"/>
        <v>0</v>
      </c>
    </row>
    <row r="364" spans="1:11" s="38" customFormat="1" ht="15" customHeight="1">
      <c r="A364" s="90"/>
      <c r="B364" s="96" t="s">
        <v>337</v>
      </c>
      <c r="C364" s="87">
        <v>15</v>
      </c>
      <c r="D364" s="58"/>
      <c r="E364" s="45"/>
      <c r="F364" s="97"/>
      <c r="G364" s="56"/>
      <c r="H364" s="58"/>
      <c r="I364" s="45">
        <f t="shared" si="20"/>
        <v>0</v>
      </c>
      <c r="J364" s="83">
        <f t="shared" si="21"/>
        <v>0</v>
      </c>
      <c r="K364" s="47">
        <f t="shared" si="22"/>
        <v>0</v>
      </c>
    </row>
    <row r="365" spans="1:11" s="38" customFormat="1" ht="21.75" customHeight="1">
      <c r="A365" s="90"/>
      <c r="B365" s="98" t="s">
        <v>405</v>
      </c>
      <c r="C365" s="87"/>
      <c r="D365" s="45">
        <f>((63420.3/1925)/60)*15+((57248.28/1925)/60)*15</f>
        <v>15.671244155844157</v>
      </c>
      <c r="E365" s="45">
        <f>D365*22%</f>
        <v>3.4476737142857146</v>
      </c>
      <c r="F365" s="82">
        <v>10.54</v>
      </c>
      <c r="G365" s="45">
        <f>C366*2.38</f>
        <v>35.699999999999996</v>
      </c>
      <c r="H365" s="45">
        <f>D365*0.34</f>
        <v>5.3282230129870136</v>
      </c>
      <c r="I365" s="45">
        <f t="shared" si="20"/>
        <v>70.687140883116868</v>
      </c>
      <c r="J365" s="83">
        <f t="shared" si="21"/>
        <v>24.740499309090904</v>
      </c>
      <c r="K365" s="47">
        <v>95</v>
      </c>
    </row>
    <row r="366" spans="1:11" s="38" customFormat="1" ht="16.5" customHeight="1">
      <c r="A366" s="90"/>
      <c r="B366" s="96" t="s">
        <v>258</v>
      </c>
      <c r="C366" s="87">
        <v>15</v>
      </c>
      <c r="D366" s="58"/>
      <c r="E366" s="45"/>
      <c r="F366" s="97"/>
      <c r="G366" s="56"/>
      <c r="H366" s="58"/>
      <c r="I366" s="45">
        <f t="shared" si="20"/>
        <v>0</v>
      </c>
      <c r="J366" s="83">
        <f t="shared" si="21"/>
        <v>0</v>
      </c>
      <c r="K366" s="47">
        <f t="shared" si="22"/>
        <v>0</v>
      </c>
    </row>
    <row r="367" spans="1:11" s="38" customFormat="1" ht="18.75" customHeight="1">
      <c r="A367" s="90"/>
      <c r="B367" s="96" t="s">
        <v>337</v>
      </c>
      <c r="C367" s="87">
        <v>15</v>
      </c>
      <c r="D367" s="58"/>
      <c r="E367" s="45"/>
      <c r="F367" s="97"/>
      <c r="G367" s="56"/>
      <c r="H367" s="58"/>
      <c r="I367" s="45">
        <f t="shared" si="20"/>
        <v>0</v>
      </c>
      <c r="J367" s="83">
        <f t="shared" si="21"/>
        <v>0</v>
      </c>
      <c r="K367" s="47">
        <f t="shared" si="22"/>
        <v>0</v>
      </c>
    </row>
    <row r="368" spans="1:11" s="38" customFormat="1" ht="24" customHeight="1">
      <c r="A368" s="90" t="s">
        <v>251</v>
      </c>
      <c r="B368" s="91" t="s">
        <v>406</v>
      </c>
      <c r="C368" s="87"/>
      <c r="D368" s="92"/>
      <c r="E368" s="45">
        <f>D368*22%</f>
        <v>0</v>
      </c>
      <c r="F368" s="92"/>
      <c r="G368" s="58"/>
      <c r="H368" s="58">
        <f>D368*0.34</f>
        <v>0</v>
      </c>
      <c r="I368" s="45">
        <f t="shared" si="20"/>
        <v>0</v>
      </c>
      <c r="J368" s="83">
        <f t="shared" si="21"/>
        <v>0</v>
      </c>
      <c r="K368" s="47">
        <f t="shared" si="22"/>
        <v>0</v>
      </c>
    </row>
    <row r="369" spans="1:11" s="38" customFormat="1" ht="20.25" customHeight="1">
      <c r="A369" s="94" t="s">
        <v>407</v>
      </c>
      <c r="B369" s="85" t="s">
        <v>408</v>
      </c>
      <c r="C369" s="87"/>
      <c r="D369" s="92"/>
      <c r="E369" s="45">
        <f>D369*22%</f>
        <v>0</v>
      </c>
      <c r="F369" s="92"/>
      <c r="G369" s="58"/>
      <c r="H369" s="58">
        <f>D369*0.34</f>
        <v>0</v>
      </c>
      <c r="I369" s="45">
        <f t="shared" si="20"/>
        <v>0</v>
      </c>
      <c r="J369" s="83">
        <f t="shared" si="21"/>
        <v>0</v>
      </c>
      <c r="K369" s="47">
        <f t="shared" si="22"/>
        <v>0</v>
      </c>
    </row>
    <row r="370" spans="1:11" s="38" customFormat="1" ht="33.950000000000003" customHeight="1">
      <c r="A370" s="94" t="s">
        <v>409</v>
      </c>
      <c r="B370" s="85" t="s">
        <v>410</v>
      </c>
      <c r="C370" s="87"/>
      <c r="D370" s="45">
        <f>((63420.3/1925)/60)*25+((57248.28/1925)/60)*25</f>
        <v>26.118740259740257</v>
      </c>
      <c r="E370" s="45">
        <f>D370*22%</f>
        <v>5.7461228571428569</v>
      </c>
      <c r="F370" s="82">
        <v>15.39</v>
      </c>
      <c r="G370" s="45">
        <f>C371*2.38</f>
        <v>59.5</v>
      </c>
      <c r="H370" s="45">
        <f>D370*0.34</f>
        <v>8.8803716883116888</v>
      </c>
      <c r="I370" s="45">
        <f t="shared" si="20"/>
        <v>115.6352348051948</v>
      </c>
      <c r="J370" s="83">
        <f t="shared" si="21"/>
        <v>40.472332181818174</v>
      </c>
      <c r="K370" s="47">
        <v>156</v>
      </c>
    </row>
    <row r="371" spans="1:11" s="38" customFormat="1" ht="18" customHeight="1">
      <c r="A371" s="95"/>
      <c r="B371" s="96" t="s">
        <v>258</v>
      </c>
      <c r="C371" s="87">
        <v>25</v>
      </c>
      <c r="D371" s="58"/>
      <c r="E371" s="45"/>
      <c r="F371" s="97"/>
      <c r="G371" s="56"/>
      <c r="H371" s="58"/>
      <c r="I371" s="45">
        <f t="shared" si="20"/>
        <v>0</v>
      </c>
      <c r="J371" s="83">
        <f t="shared" si="21"/>
        <v>0</v>
      </c>
      <c r="K371" s="47">
        <f t="shared" si="22"/>
        <v>0</v>
      </c>
    </row>
    <row r="372" spans="1:11" s="38" customFormat="1" ht="16.5" customHeight="1">
      <c r="A372" s="95"/>
      <c r="B372" s="96" t="s">
        <v>337</v>
      </c>
      <c r="C372" s="87">
        <v>25</v>
      </c>
      <c r="D372" s="58"/>
      <c r="E372" s="45"/>
      <c r="F372" s="97"/>
      <c r="G372" s="56"/>
      <c r="H372" s="58"/>
      <c r="I372" s="45">
        <f t="shared" si="20"/>
        <v>0</v>
      </c>
      <c r="J372" s="83">
        <f t="shared" si="21"/>
        <v>0</v>
      </c>
      <c r="K372" s="47">
        <f t="shared" si="22"/>
        <v>0</v>
      </c>
    </row>
    <row r="373" spans="1:11" s="38" customFormat="1" ht="18.75" customHeight="1">
      <c r="A373" s="94" t="s">
        <v>411</v>
      </c>
      <c r="B373" s="85" t="s">
        <v>400</v>
      </c>
      <c r="C373" s="87"/>
      <c r="D373" s="92"/>
      <c r="E373" s="45">
        <f>D373*22%</f>
        <v>0</v>
      </c>
      <c r="F373" s="92"/>
      <c r="G373" s="58"/>
      <c r="H373" s="58">
        <f>D373*0.34</f>
        <v>0</v>
      </c>
      <c r="I373" s="45">
        <f t="shared" si="20"/>
        <v>0</v>
      </c>
      <c r="J373" s="83">
        <f t="shared" si="21"/>
        <v>0</v>
      </c>
      <c r="K373" s="47">
        <f t="shared" si="22"/>
        <v>0</v>
      </c>
    </row>
    <row r="374" spans="1:11" s="38" customFormat="1" ht="22.5" customHeight="1">
      <c r="A374" s="90"/>
      <c r="B374" s="98" t="s">
        <v>412</v>
      </c>
      <c r="C374" s="87"/>
      <c r="D374" s="45">
        <f>((63420.3/1925)/60)*15+((57248.28/1925)/60)*15</f>
        <v>15.671244155844157</v>
      </c>
      <c r="E374" s="45">
        <f>D374*22%</f>
        <v>3.4476737142857146</v>
      </c>
      <c r="F374" s="82">
        <v>10.54</v>
      </c>
      <c r="G374" s="45">
        <f>C375*2.38</f>
        <v>35.699999999999996</v>
      </c>
      <c r="H374" s="45">
        <f>D374*0.34</f>
        <v>5.3282230129870136</v>
      </c>
      <c r="I374" s="45">
        <f t="shared" si="20"/>
        <v>70.687140883116868</v>
      </c>
      <c r="J374" s="83">
        <f t="shared" si="21"/>
        <v>24.740499309090904</v>
      </c>
      <c r="K374" s="47">
        <v>95.43</v>
      </c>
    </row>
    <row r="375" spans="1:11" s="38" customFormat="1" ht="22.5" customHeight="1">
      <c r="A375" s="90"/>
      <c r="B375" s="96" t="s">
        <v>258</v>
      </c>
      <c r="C375" s="87">
        <v>15</v>
      </c>
      <c r="D375" s="58"/>
      <c r="E375" s="45"/>
      <c r="F375" s="97"/>
      <c r="G375" s="56"/>
      <c r="H375" s="58"/>
      <c r="I375" s="45">
        <f t="shared" si="20"/>
        <v>0</v>
      </c>
      <c r="J375" s="83">
        <f t="shared" si="21"/>
        <v>0</v>
      </c>
      <c r="K375" s="47">
        <f t="shared" si="22"/>
        <v>0</v>
      </c>
    </row>
    <row r="376" spans="1:11" s="38" customFormat="1" ht="22.5" customHeight="1">
      <c r="A376" s="90"/>
      <c r="B376" s="96" t="s">
        <v>337</v>
      </c>
      <c r="C376" s="87">
        <v>15</v>
      </c>
      <c r="D376" s="58"/>
      <c r="E376" s="45"/>
      <c r="F376" s="97"/>
      <c r="G376" s="56"/>
      <c r="H376" s="58"/>
      <c r="I376" s="45">
        <f t="shared" si="20"/>
        <v>0</v>
      </c>
      <c r="J376" s="83">
        <f t="shared" si="21"/>
        <v>0</v>
      </c>
      <c r="K376" s="47">
        <f t="shared" si="22"/>
        <v>0</v>
      </c>
    </row>
    <row r="377" spans="1:11" s="38" customFormat="1" ht="22.5" customHeight="1">
      <c r="A377" s="90"/>
      <c r="B377" s="98" t="s">
        <v>413</v>
      </c>
      <c r="C377" s="87"/>
      <c r="D377" s="45">
        <f>((63420.3/1925)/60)*10+((57248.28/1925)/60)*10</f>
        <v>10.447496103896103</v>
      </c>
      <c r="E377" s="45">
        <f>D377*22%</f>
        <v>2.2984491428571427</v>
      </c>
      <c r="F377" s="82">
        <v>10.54</v>
      </c>
      <c r="G377" s="45">
        <f>C378*2.38</f>
        <v>23.799999999999997</v>
      </c>
      <c r="H377" s="45">
        <f>D377*0.34</f>
        <v>3.5521486753246756</v>
      </c>
      <c r="I377" s="45">
        <f t="shared" si="20"/>
        <v>50.638093922077914</v>
      </c>
      <c r="J377" s="83">
        <f t="shared" si="21"/>
        <v>17.723332872727269</v>
      </c>
      <c r="K377" s="47">
        <v>68</v>
      </c>
    </row>
    <row r="378" spans="1:11" s="38" customFormat="1" ht="22.5" customHeight="1">
      <c r="A378" s="90"/>
      <c r="B378" s="96" t="s">
        <v>258</v>
      </c>
      <c r="C378" s="87">
        <v>10</v>
      </c>
      <c r="D378" s="58"/>
      <c r="E378" s="45"/>
      <c r="F378" s="97"/>
      <c r="G378" s="56"/>
      <c r="H378" s="58"/>
      <c r="I378" s="45">
        <f t="shared" si="20"/>
        <v>0</v>
      </c>
      <c r="J378" s="83">
        <f t="shared" si="21"/>
        <v>0</v>
      </c>
      <c r="K378" s="47">
        <f t="shared" si="22"/>
        <v>0</v>
      </c>
    </row>
    <row r="379" spans="1:11" s="38" customFormat="1" ht="22.5" customHeight="1">
      <c r="A379" s="90"/>
      <c r="B379" s="96" t="s">
        <v>337</v>
      </c>
      <c r="C379" s="87">
        <v>10</v>
      </c>
      <c r="D379" s="58"/>
      <c r="E379" s="45"/>
      <c r="F379" s="97"/>
      <c r="G379" s="56"/>
      <c r="H379" s="58"/>
      <c r="I379" s="45">
        <f t="shared" si="20"/>
        <v>0</v>
      </c>
      <c r="J379" s="83">
        <f t="shared" si="21"/>
        <v>0</v>
      </c>
      <c r="K379" s="47">
        <f t="shared" si="22"/>
        <v>0</v>
      </c>
    </row>
    <row r="380" spans="1:11" s="38" customFormat="1" ht="21.75" customHeight="1">
      <c r="A380" s="90"/>
      <c r="B380" s="98" t="s">
        <v>414</v>
      </c>
      <c r="C380" s="87"/>
      <c r="D380" s="45">
        <f>((63420.3/1925)/60)*10+((57248.28/1925)/60)*10</f>
        <v>10.447496103896103</v>
      </c>
      <c r="E380" s="45">
        <f>D380*22%</f>
        <v>2.2984491428571427</v>
      </c>
      <c r="F380" s="82">
        <v>10.54</v>
      </c>
      <c r="G380" s="45">
        <f>C381*2.38</f>
        <v>23.799999999999997</v>
      </c>
      <c r="H380" s="45">
        <f>D380*0.34</f>
        <v>3.5521486753246756</v>
      </c>
      <c r="I380" s="45">
        <f t="shared" si="20"/>
        <v>50.638093922077914</v>
      </c>
      <c r="J380" s="83">
        <f t="shared" si="21"/>
        <v>17.723332872727269</v>
      </c>
      <c r="K380" s="47">
        <v>68</v>
      </c>
    </row>
    <row r="381" spans="1:11" s="38" customFormat="1" ht="21.75" customHeight="1">
      <c r="A381" s="90"/>
      <c r="B381" s="96" t="s">
        <v>258</v>
      </c>
      <c r="C381" s="87">
        <v>10</v>
      </c>
      <c r="D381" s="58"/>
      <c r="E381" s="45"/>
      <c r="F381" s="97"/>
      <c r="G381" s="56"/>
      <c r="H381" s="58"/>
      <c r="I381" s="45">
        <f t="shared" si="20"/>
        <v>0</v>
      </c>
      <c r="J381" s="83">
        <f t="shared" si="21"/>
        <v>0</v>
      </c>
      <c r="K381" s="47">
        <f t="shared" si="22"/>
        <v>0</v>
      </c>
    </row>
    <row r="382" spans="1:11" s="38" customFormat="1" ht="21.75" customHeight="1">
      <c r="A382" s="90"/>
      <c r="B382" s="96" t="s">
        <v>337</v>
      </c>
      <c r="C382" s="87">
        <v>10</v>
      </c>
      <c r="D382" s="58"/>
      <c r="E382" s="45"/>
      <c r="F382" s="97"/>
      <c r="G382" s="56"/>
      <c r="H382" s="58"/>
      <c r="I382" s="45">
        <f t="shared" si="20"/>
        <v>0</v>
      </c>
      <c r="J382" s="83">
        <f t="shared" si="21"/>
        <v>0</v>
      </c>
      <c r="K382" s="47">
        <f t="shared" si="22"/>
        <v>0</v>
      </c>
    </row>
    <row r="383" spans="1:11" s="38" customFormat="1" ht="18" customHeight="1">
      <c r="A383" s="90"/>
      <c r="B383" s="98" t="s">
        <v>415</v>
      </c>
      <c r="C383" s="87"/>
      <c r="D383" s="45">
        <f>((63420.3/1925)/60)*10+((57248.28/1925)/60)*10</f>
        <v>10.447496103896103</v>
      </c>
      <c r="E383" s="45">
        <f>D383*22%</f>
        <v>2.2984491428571427</v>
      </c>
      <c r="F383" s="82">
        <v>10.54</v>
      </c>
      <c r="G383" s="45">
        <f>C384*2.38</f>
        <v>23.799999999999997</v>
      </c>
      <c r="H383" s="45">
        <f>D383*0.34</f>
        <v>3.5521486753246756</v>
      </c>
      <c r="I383" s="45">
        <f t="shared" si="20"/>
        <v>50.638093922077914</v>
      </c>
      <c r="J383" s="83">
        <f t="shared" si="21"/>
        <v>17.723332872727269</v>
      </c>
      <c r="K383" s="47">
        <v>68</v>
      </c>
    </row>
    <row r="384" spans="1:11" s="38" customFormat="1" ht="18" customHeight="1">
      <c r="A384" s="90"/>
      <c r="B384" s="96" t="s">
        <v>258</v>
      </c>
      <c r="C384" s="87">
        <v>10</v>
      </c>
      <c r="D384" s="58"/>
      <c r="E384" s="45"/>
      <c r="F384" s="97"/>
      <c r="G384" s="56"/>
      <c r="H384" s="58"/>
      <c r="I384" s="45">
        <f t="shared" si="20"/>
        <v>0</v>
      </c>
      <c r="J384" s="83">
        <f t="shared" si="21"/>
        <v>0</v>
      </c>
      <c r="K384" s="47">
        <f t="shared" si="22"/>
        <v>0</v>
      </c>
    </row>
    <row r="385" spans="1:11" s="38" customFormat="1" ht="18" customHeight="1">
      <c r="A385" s="90"/>
      <c r="B385" s="96" t="s">
        <v>337</v>
      </c>
      <c r="C385" s="87">
        <v>10</v>
      </c>
      <c r="D385" s="58"/>
      <c r="E385" s="45"/>
      <c r="F385" s="97"/>
      <c r="G385" s="56"/>
      <c r="H385" s="58"/>
      <c r="I385" s="45">
        <f t="shared" si="20"/>
        <v>0</v>
      </c>
      <c r="J385" s="83">
        <f t="shared" si="21"/>
        <v>0</v>
      </c>
      <c r="K385" s="47">
        <f t="shared" si="22"/>
        <v>0</v>
      </c>
    </row>
    <row r="386" spans="1:11" s="38" customFormat="1" ht="18" customHeight="1">
      <c r="A386" s="94" t="s">
        <v>416</v>
      </c>
      <c r="B386" s="85" t="s">
        <v>417</v>
      </c>
      <c r="C386" s="87"/>
      <c r="D386" s="92"/>
      <c r="E386" s="45">
        <f>D386*22%</f>
        <v>0</v>
      </c>
      <c r="F386" s="92"/>
      <c r="G386" s="58"/>
      <c r="H386" s="58">
        <f>D386*0.34</f>
        <v>0</v>
      </c>
      <c r="I386" s="45">
        <f t="shared" si="20"/>
        <v>0</v>
      </c>
      <c r="J386" s="83">
        <f t="shared" si="21"/>
        <v>0</v>
      </c>
      <c r="K386" s="47">
        <f t="shared" si="22"/>
        <v>0</v>
      </c>
    </row>
    <row r="387" spans="1:11" s="38" customFormat="1" ht="20.25" customHeight="1">
      <c r="A387" s="94" t="s">
        <v>418</v>
      </c>
      <c r="B387" s="85" t="s">
        <v>419</v>
      </c>
      <c r="C387" s="87"/>
      <c r="D387" s="92"/>
      <c r="E387" s="45">
        <f>D387*22%</f>
        <v>0</v>
      </c>
      <c r="F387" s="92"/>
      <c r="G387" s="58"/>
      <c r="H387" s="58">
        <f>D387*0.34</f>
        <v>0</v>
      </c>
      <c r="I387" s="45">
        <f t="shared" si="20"/>
        <v>0</v>
      </c>
      <c r="J387" s="83">
        <f t="shared" si="21"/>
        <v>0</v>
      </c>
      <c r="K387" s="47">
        <f t="shared" si="22"/>
        <v>0</v>
      </c>
    </row>
    <row r="388" spans="1:11" s="38" customFormat="1" ht="31.5" customHeight="1">
      <c r="A388" s="90"/>
      <c r="B388" s="98" t="s">
        <v>420</v>
      </c>
      <c r="C388" s="87"/>
      <c r="D388" s="45">
        <f>((63420.3/1925)/60)*25+((57248.28/1925)/60)*25</f>
        <v>26.118740259740257</v>
      </c>
      <c r="E388" s="45">
        <f>D388*22%</f>
        <v>5.7461228571428569</v>
      </c>
      <c r="F388" s="82">
        <v>15.39</v>
      </c>
      <c r="G388" s="45">
        <f>C389*2.38</f>
        <v>59.5</v>
      </c>
      <c r="H388" s="45">
        <f>D388*0.34</f>
        <v>8.8803716883116888</v>
      </c>
      <c r="I388" s="45">
        <f t="shared" si="20"/>
        <v>115.6352348051948</v>
      </c>
      <c r="J388" s="83">
        <f t="shared" si="21"/>
        <v>40.472332181818174</v>
      </c>
      <c r="K388" s="47">
        <v>156</v>
      </c>
    </row>
    <row r="389" spans="1:11" s="38" customFormat="1" ht="18" customHeight="1">
      <c r="A389" s="90"/>
      <c r="B389" s="96" t="s">
        <v>258</v>
      </c>
      <c r="C389" s="87">
        <v>25</v>
      </c>
      <c r="D389" s="58"/>
      <c r="E389" s="45"/>
      <c r="F389" s="97"/>
      <c r="G389" s="56"/>
      <c r="H389" s="58"/>
      <c r="I389" s="45">
        <f t="shared" si="20"/>
        <v>0</v>
      </c>
      <c r="J389" s="83">
        <f t="shared" si="21"/>
        <v>0</v>
      </c>
      <c r="K389" s="47">
        <f t="shared" si="22"/>
        <v>0</v>
      </c>
    </row>
    <row r="390" spans="1:11" s="38" customFormat="1" ht="21" customHeight="1">
      <c r="A390" s="90"/>
      <c r="B390" s="96" t="s">
        <v>337</v>
      </c>
      <c r="C390" s="87">
        <v>25</v>
      </c>
      <c r="D390" s="58"/>
      <c r="E390" s="45"/>
      <c r="F390" s="97"/>
      <c r="G390" s="56"/>
      <c r="H390" s="58"/>
      <c r="I390" s="45">
        <f t="shared" si="20"/>
        <v>0</v>
      </c>
      <c r="J390" s="83">
        <f t="shared" si="21"/>
        <v>0</v>
      </c>
      <c r="K390" s="47">
        <f t="shared" si="22"/>
        <v>0</v>
      </c>
    </row>
    <row r="391" spans="1:11" s="38" customFormat="1" ht="21.75" customHeight="1">
      <c r="A391" s="94" t="s">
        <v>421</v>
      </c>
      <c r="B391" s="85" t="s">
        <v>419</v>
      </c>
      <c r="C391" s="87"/>
      <c r="D391" s="92"/>
      <c r="E391" s="45">
        <f>D391*22%</f>
        <v>0</v>
      </c>
      <c r="F391" s="92"/>
      <c r="G391" s="58"/>
      <c r="H391" s="58">
        <f>D391*0.34</f>
        <v>0</v>
      </c>
      <c r="I391" s="45">
        <f t="shared" si="20"/>
        <v>0</v>
      </c>
      <c r="J391" s="83">
        <f t="shared" si="21"/>
        <v>0</v>
      </c>
      <c r="K391" s="47">
        <f t="shared" si="22"/>
        <v>0</v>
      </c>
    </row>
    <row r="392" spans="1:11" s="38" customFormat="1" ht="20.25" customHeight="1">
      <c r="A392" s="90"/>
      <c r="B392" s="98" t="s">
        <v>422</v>
      </c>
      <c r="C392" s="87"/>
      <c r="D392" s="45">
        <f>((63420.3/1925)/60)*15+((57248.28/1925)/60)*15</f>
        <v>15.671244155844157</v>
      </c>
      <c r="E392" s="45">
        <f>D392*22%</f>
        <v>3.4476737142857146</v>
      </c>
      <c r="F392" s="82">
        <v>10.54</v>
      </c>
      <c r="G392" s="45">
        <f>C393*2.38</f>
        <v>35.699999999999996</v>
      </c>
      <c r="H392" s="45">
        <f>D392*0.34</f>
        <v>5.3282230129870136</v>
      </c>
      <c r="I392" s="45">
        <f t="shared" si="20"/>
        <v>70.687140883116868</v>
      </c>
      <c r="J392" s="83">
        <f t="shared" si="21"/>
        <v>24.740499309090904</v>
      </c>
      <c r="K392" s="47">
        <v>95</v>
      </c>
    </row>
    <row r="393" spans="1:11" s="38" customFormat="1" ht="20.25" customHeight="1">
      <c r="A393" s="90"/>
      <c r="B393" s="96" t="s">
        <v>258</v>
      </c>
      <c r="C393" s="87">
        <v>15</v>
      </c>
      <c r="D393" s="58"/>
      <c r="E393" s="45"/>
      <c r="F393" s="97"/>
      <c r="G393" s="56"/>
      <c r="H393" s="58"/>
      <c r="I393" s="45">
        <f t="shared" si="20"/>
        <v>0</v>
      </c>
      <c r="J393" s="83">
        <f t="shared" si="21"/>
        <v>0</v>
      </c>
      <c r="K393" s="47">
        <f t="shared" si="22"/>
        <v>0</v>
      </c>
    </row>
    <row r="394" spans="1:11" s="38" customFormat="1" ht="20.25" customHeight="1">
      <c r="A394" s="90"/>
      <c r="B394" s="96" t="s">
        <v>337</v>
      </c>
      <c r="C394" s="87">
        <v>15</v>
      </c>
      <c r="D394" s="58"/>
      <c r="E394" s="45"/>
      <c r="F394" s="97"/>
      <c r="G394" s="56"/>
      <c r="H394" s="58"/>
      <c r="I394" s="45">
        <f t="shared" si="20"/>
        <v>0</v>
      </c>
      <c r="J394" s="83">
        <f t="shared" si="21"/>
        <v>0</v>
      </c>
      <c r="K394" s="47">
        <f t="shared" si="22"/>
        <v>0</v>
      </c>
    </row>
    <row r="395" spans="1:11" s="38" customFormat="1" ht="38.25" customHeight="1">
      <c r="A395" s="90" t="s">
        <v>262</v>
      </c>
      <c r="B395" s="91" t="s">
        <v>423</v>
      </c>
      <c r="C395" s="87"/>
      <c r="D395" s="92"/>
      <c r="E395" s="45">
        <f>D395*22%</f>
        <v>0</v>
      </c>
      <c r="F395" s="92"/>
      <c r="G395" s="58"/>
      <c r="H395" s="58">
        <f>D395*0.34</f>
        <v>0</v>
      </c>
      <c r="I395" s="45">
        <f t="shared" si="20"/>
        <v>0</v>
      </c>
      <c r="J395" s="83">
        <f t="shared" si="21"/>
        <v>0</v>
      </c>
      <c r="K395" s="47">
        <f t="shared" si="22"/>
        <v>0</v>
      </c>
    </row>
    <row r="396" spans="1:11" s="38" customFormat="1" ht="25.5" customHeight="1">
      <c r="A396" s="94" t="s">
        <v>424</v>
      </c>
      <c r="B396" s="85" t="s">
        <v>425</v>
      </c>
      <c r="C396" s="87"/>
      <c r="D396" s="45">
        <f>((63420.3/1925)/60)*25+((57248.28/1925)/60)*25</f>
        <v>26.118740259740257</v>
      </c>
      <c r="E396" s="45">
        <f>D396*22%</f>
        <v>5.7461228571428569</v>
      </c>
      <c r="F396" s="82">
        <v>10.54</v>
      </c>
      <c r="G396" s="45">
        <f>C397*2.38</f>
        <v>59.5</v>
      </c>
      <c r="H396" s="45">
        <f>D396*0.34</f>
        <v>8.8803716883116888</v>
      </c>
      <c r="I396" s="45">
        <f t="shared" si="20"/>
        <v>110.7852348051948</v>
      </c>
      <c r="J396" s="83">
        <f t="shared" si="21"/>
        <v>38.774832181818176</v>
      </c>
      <c r="K396" s="47">
        <v>150</v>
      </c>
    </row>
    <row r="397" spans="1:11" s="38" customFormat="1" ht="18" customHeight="1">
      <c r="A397" s="95"/>
      <c r="B397" s="96" t="s">
        <v>258</v>
      </c>
      <c r="C397" s="87">
        <v>25</v>
      </c>
      <c r="D397" s="58"/>
      <c r="E397" s="45"/>
      <c r="F397" s="97"/>
      <c r="G397" s="56"/>
      <c r="H397" s="58"/>
      <c r="I397" s="45">
        <f t="shared" si="20"/>
        <v>0</v>
      </c>
      <c r="J397" s="83">
        <f t="shared" si="21"/>
        <v>0</v>
      </c>
      <c r="K397" s="47">
        <f t="shared" si="22"/>
        <v>0</v>
      </c>
    </row>
    <row r="398" spans="1:11" s="38" customFormat="1" ht="18" customHeight="1">
      <c r="A398" s="95"/>
      <c r="B398" s="96" t="s">
        <v>337</v>
      </c>
      <c r="C398" s="87">
        <v>25</v>
      </c>
      <c r="D398" s="58"/>
      <c r="E398" s="45"/>
      <c r="F398" s="97"/>
      <c r="G398" s="56"/>
      <c r="H398" s="58"/>
      <c r="I398" s="45">
        <f t="shared" si="20"/>
        <v>0</v>
      </c>
      <c r="J398" s="83">
        <f t="shared" si="21"/>
        <v>0</v>
      </c>
      <c r="K398" s="47">
        <f t="shared" si="22"/>
        <v>0</v>
      </c>
    </row>
    <row r="399" spans="1:11" s="38" customFormat="1" ht="19.5" customHeight="1">
      <c r="A399" s="94" t="s">
        <v>426</v>
      </c>
      <c r="B399" s="85" t="s">
        <v>427</v>
      </c>
      <c r="C399" s="87"/>
      <c r="D399" s="45">
        <f>((63420.3/1925)/60)*25+((57248.28/1925)/60)*25</f>
        <v>26.118740259740257</v>
      </c>
      <c r="E399" s="45">
        <f>D399*22%</f>
        <v>5.7461228571428569</v>
      </c>
      <c r="F399" s="82">
        <v>10.54</v>
      </c>
      <c r="G399" s="45">
        <f>C400*2.38</f>
        <v>59.5</v>
      </c>
      <c r="H399" s="45">
        <f>D399*0.34</f>
        <v>8.8803716883116888</v>
      </c>
      <c r="I399" s="45">
        <f t="shared" si="20"/>
        <v>110.7852348051948</v>
      </c>
      <c r="J399" s="83">
        <f t="shared" si="21"/>
        <v>38.774832181818176</v>
      </c>
      <c r="K399" s="47">
        <v>150</v>
      </c>
    </row>
    <row r="400" spans="1:11" s="38" customFormat="1" ht="19.5" customHeight="1">
      <c r="A400" s="95"/>
      <c r="B400" s="96" t="s">
        <v>258</v>
      </c>
      <c r="C400" s="87">
        <v>25</v>
      </c>
      <c r="D400" s="58"/>
      <c r="E400" s="45"/>
      <c r="F400" s="97"/>
      <c r="G400" s="56"/>
      <c r="H400" s="58"/>
      <c r="I400" s="45">
        <f t="shared" si="20"/>
        <v>0</v>
      </c>
      <c r="J400" s="83">
        <f t="shared" si="21"/>
        <v>0</v>
      </c>
      <c r="K400" s="47">
        <f t="shared" si="22"/>
        <v>0</v>
      </c>
    </row>
    <row r="401" spans="1:11" s="38" customFormat="1" ht="19.5" customHeight="1">
      <c r="A401" s="95"/>
      <c r="B401" s="96" t="s">
        <v>337</v>
      </c>
      <c r="C401" s="87">
        <v>25</v>
      </c>
      <c r="D401" s="58"/>
      <c r="E401" s="45"/>
      <c r="F401" s="97"/>
      <c r="G401" s="56"/>
      <c r="H401" s="58"/>
      <c r="I401" s="45">
        <f t="shared" si="20"/>
        <v>0</v>
      </c>
      <c r="J401" s="83">
        <f t="shared" si="21"/>
        <v>0</v>
      </c>
      <c r="K401" s="47">
        <f t="shared" si="22"/>
        <v>0</v>
      </c>
    </row>
    <row r="402" spans="1:11" s="38" customFormat="1" ht="41.25" customHeight="1">
      <c r="A402" s="94" t="s">
        <v>428</v>
      </c>
      <c r="B402" s="85" t="s">
        <v>429</v>
      </c>
      <c r="C402" s="87"/>
      <c r="D402" s="45">
        <f>((63420.3/1925)/60)*25+((57248.28/1925)/60)*25</f>
        <v>26.118740259740257</v>
      </c>
      <c r="E402" s="45">
        <f>D402*22%</f>
        <v>5.7461228571428569</v>
      </c>
      <c r="F402" s="82">
        <v>10.54</v>
      </c>
      <c r="G402" s="45">
        <f>C403*2.38</f>
        <v>59.5</v>
      </c>
      <c r="H402" s="45">
        <f>D402*0.34</f>
        <v>8.8803716883116888</v>
      </c>
      <c r="I402" s="45">
        <f t="shared" si="20"/>
        <v>110.7852348051948</v>
      </c>
      <c r="J402" s="83">
        <f t="shared" si="21"/>
        <v>38.774832181818176</v>
      </c>
      <c r="K402" s="47">
        <v>150</v>
      </c>
    </row>
    <row r="403" spans="1:11" s="38" customFormat="1" ht="20.25" customHeight="1">
      <c r="A403" s="95"/>
      <c r="B403" s="96" t="s">
        <v>258</v>
      </c>
      <c r="C403" s="87">
        <v>25</v>
      </c>
      <c r="D403" s="58"/>
      <c r="E403" s="45"/>
      <c r="F403" s="97"/>
      <c r="G403" s="56"/>
      <c r="H403" s="58"/>
      <c r="I403" s="45">
        <f t="shared" si="20"/>
        <v>0</v>
      </c>
      <c r="J403" s="83">
        <f t="shared" si="21"/>
        <v>0</v>
      </c>
      <c r="K403" s="47">
        <f t="shared" si="22"/>
        <v>0</v>
      </c>
    </row>
    <row r="404" spans="1:11" s="38" customFormat="1" ht="20.25" customHeight="1">
      <c r="A404" s="95"/>
      <c r="B404" s="96" t="s">
        <v>337</v>
      </c>
      <c r="C404" s="87">
        <v>25</v>
      </c>
      <c r="D404" s="58"/>
      <c r="E404" s="45"/>
      <c r="F404" s="97"/>
      <c r="G404" s="56"/>
      <c r="H404" s="58"/>
      <c r="I404" s="45">
        <f t="shared" si="20"/>
        <v>0</v>
      </c>
      <c r="J404" s="83">
        <f t="shared" si="21"/>
        <v>0</v>
      </c>
      <c r="K404" s="47">
        <f t="shared" si="22"/>
        <v>0</v>
      </c>
    </row>
    <row r="405" spans="1:11" s="38" customFormat="1" ht="36.75" customHeight="1">
      <c r="A405" s="94" t="s">
        <v>430</v>
      </c>
      <c r="B405" s="85" t="s">
        <v>431</v>
      </c>
      <c r="C405" s="87"/>
      <c r="D405" s="45">
        <f>((63420.3/1925)/60)*25+((57248.28/1925)/60)*25</f>
        <v>26.118740259740257</v>
      </c>
      <c r="E405" s="45">
        <f>D405*22%</f>
        <v>5.7461228571428569</v>
      </c>
      <c r="F405" s="82">
        <v>10.54</v>
      </c>
      <c r="G405" s="45">
        <f>C406*2.38</f>
        <v>59.5</v>
      </c>
      <c r="H405" s="45">
        <f>D405*0.34</f>
        <v>8.8803716883116888</v>
      </c>
      <c r="I405" s="45">
        <f t="shared" si="20"/>
        <v>110.7852348051948</v>
      </c>
      <c r="J405" s="83">
        <f t="shared" si="21"/>
        <v>38.774832181818176</v>
      </c>
      <c r="K405" s="47">
        <v>150</v>
      </c>
    </row>
    <row r="406" spans="1:11" s="38" customFormat="1" ht="21" customHeight="1">
      <c r="A406" s="95"/>
      <c r="B406" s="96" t="s">
        <v>258</v>
      </c>
      <c r="C406" s="87">
        <v>25</v>
      </c>
      <c r="D406" s="58"/>
      <c r="E406" s="45"/>
      <c r="F406" s="97"/>
      <c r="G406" s="56"/>
      <c r="H406" s="58"/>
      <c r="I406" s="45">
        <f t="shared" si="20"/>
        <v>0</v>
      </c>
      <c r="J406" s="83">
        <f t="shared" si="21"/>
        <v>0</v>
      </c>
      <c r="K406" s="47">
        <f t="shared" si="22"/>
        <v>0</v>
      </c>
    </row>
    <row r="407" spans="1:11" s="38" customFormat="1" ht="21" customHeight="1">
      <c r="A407" s="95"/>
      <c r="B407" s="96" t="s">
        <v>337</v>
      </c>
      <c r="C407" s="87">
        <v>25</v>
      </c>
      <c r="D407" s="58"/>
      <c r="E407" s="45"/>
      <c r="F407" s="97"/>
      <c r="G407" s="56"/>
      <c r="H407" s="58"/>
      <c r="I407" s="45">
        <f t="shared" si="20"/>
        <v>0</v>
      </c>
      <c r="J407" s="83">
        <f t="shared" si="21"/>
        <v>0</v>
      </c>
      <c r="K407" s="47">
        <f t="shared" si="22"/>
        <v>0</v>
      </c>
    </row>
    <row r="408" spans="1:11" s="38" customFormat="1" ht="33.950000000000003" customHeight="1">
      <c r="A408" s="90" t="s">
        <v>272</v>
      </c>
      <c r="B408" s="91" t="s">
        <v>432</v>
      </c>
      <c r="C408" s="87"/>
      <c r="D408" s="92"/>
      <c r="E408" s="45">
        <f>D408*22%</f>
        <v>0</v>
      </c>
      <c r="F408" s="92"/>
      <c r="G408" s="58"/>
      <c r="H408" s="58">
        <f>D408*0.34</f>
        <v>0</v>
      </c>
      <c r="I408" s="45">
        <f t="shared" si="20"/>
        <v>0</v>
      </c>
      <c r="J408" s="83">
        <f t="shared" si="21"/>
        <v>0</v>
      </c>
      <c r="K408" s="47">
        <f t="shared" si="22"/>
        <v>0</v>
      </c>
    </row>
    <row r="409" spans="1:11" s="38" customFormat="1" ht="20.25" customHeight="1">
      <c r="A409" s="94" t="s">
        <v>433</v>
      </c>
      <c r="B409" s="85" t="s">
        <v>434</v>
      </c>
      <c r="C409" s="87"/>
      <c r="D409" s="45">
        <f>((63420.3/1925)/60)*15+((57248.28/1925)/60)*15</f>
        <v>15.671244155844157</v>
      </c>
      <c r="E409" s="45">
        <f>D409*22%</f>
        <v>3.4476737142857146</v>
      </c>
      <c r="F409" s="82">
        <v>9.4</v>
      </c>
      <c r="G409" s="45">
        <f>C410*2.38</f>
        <v>35.699999999999996</v>
      </c>
      <c r="H409" s="45">
        <f>D409*0.34</f>
        <v>5.3282230129870136</v>
      </c>
      <c r="I409" s="45">
        <f t="shared" si="20"/>
        <v>69.547140883116882</v>
      </c>
      <c r="J409" s="83">
        <f t="shared" si="21"/>
        <v>24.341499309090906</v>
      </c>
      <c r="K409" s="47">
        <v>94</v>
      </c>
    </row>
    <row r="410" spans="1:11" s="38" customFormat="1" ht="20.25" customHeight="1">
      <c r="A410" s="95"/>
      <c r="B410" s="96" t="s">
        <v>258</v>
      </c>
      <c r="C410" s="87">
        <v>15</v>
      </c>
      <c r="D410" s="58"/>
      <c r="E410" s="45"/>
      <c r="F410" s="97"/>
      <c r="G410" s="56"/>
      <c r="H410" s="58"/>
      <c r="I410" s="45">
        <f t="shared" si="20"/>
        <v>0</v>
      </c>
      <c r="J410" s="83">
        <f t="shared" si="21"/>
        <v>0</v>
      </c>
      <c r="K410" s="47">
        <f t="shared" si="22"/>
        <v>0</v>
      </c>
    </row>
    <row r="411" spans="1:11" s="38" customFormat="1" ht="20.25" customHeight="1">
      <c r="A411" s="95"/>
      <c r="B411" s="96" t="s">
        <v>337</v>
      </c>
      <c r="C411" s="87">
        <v>15</v>
      </c>
      <c r="D411" s="58"/>
      <c r="E411" s="45"/>
      <c r="F411" s="97"/>
      <c r="G411" s="56"/>
      <c r="H411" s="58"/>
      <c r="I411" s="45">
        <f t="shared" si="20"/>
        <v>0</v>
      </c>
      <c r="J411" s="83">
        <f t="shared" si="21"/>
        <v>0</v>
      </c>
      <c r="K411" s="47">
        <f t="shared" si="22"/>
        <v>0</v>
      </c>
    </row>
    <row r="412" spans="1:11" s="38" customFormat="1" ht="20.25" customHeight="1">
      <c r="A412" s="94" t="s">
        <v>435</v>
      </c>
      <c r="B412" s="85" t="s">
        <v>436</v>
      </c>
      <c r="C412" s="87"/>
      <c r="D412" s="45">
        <f>((63420.3/1925)/60)*15+((57248.28/1925)/60)*15</f>
        <v>15.671244155844157</v>
      </c>
      <c r="E412" s="45">
        <f>D412*22%</f>
        <v>3.4476737142857146</v>
      </c>
      <c r="F412" s="82">
        <v>10.54</v>
      </c>
      <c r="G412" s="45">
        <f>C413*2.38</f>
        <v>35.699999999999996</v>
      </c>
      <c r="H412" s="45">
        <f>D412*0.34</f>
        <v>5.3282230129870136</v>
      </c>
      <c r="I412" s="45">
        <f t="shared" si="20"/>
        <v>70.687140883116868</v>
      </c>
      <c r="J412" s="83">
        <f t="shared" si="21"/>
        <v>24.740499309090904</v>
      </c>
      <c r="K412" s="47">
        <v>95</v>
      </c>
    </row>
    <row r="413" spans="1:11" s="38" customFormat="1" ht="20.25" customHeight="1">
      <c r="A413" s="95"/>
      <c r="B413" s="96" t="s">
        <v>258</v>
      </c>
      <c r="C413" s="87">
        <v>15</v>
      </c>
      <c r="D413" s="58"/>
      <c r="E413" s="45"/>
      <c r="F413" s="97"/>
      <c r="G413" s="56"/>
      <c r="H413" s="58"/>
      <c r="I413" s="45">
        <f t="shared" si="20"/>
        <v>0</v>
      </c>
      <c r="J413" s="83">
        <f t="shared" si="21"/>
        <v>0</v>
      </c>
      <c r="K413" s="47">
        <f t="shared" si="22"/>
        <v>0</v>
      </c>
    </row>
    <row r="414" spans="1:11" s="38" customFormat="1" ht="20.25" customHeight="1">
      <c r="A414" s="95"/>
      <c r="B414" s="96" t="s">
        <v>337</v>
      </c>
      <c r="C414" s="87">
        <v>15</v>
      </c>
      <c r="D414" s="58"/>
      <c r="E414" s="45"/>
      <c r="F414" s="97"/>
      <c r="G414" s="56"/>
      <c r="H414" s="58"/>
      <c r="I414" s="45">
        <f t="shared" ref="I414:I461" si="23">D414+E414+F414+G414+H414</f>
        <v>0</v>
      </c>
      <c r="J414" s="83">
        <f t="shared" ref="J414:J461" si="24">I414*35%</f>
        <v>0</v>
      </c>
      <c r="K414" s="47">
        <f t="shared" ref="K414:K461" si="25">I414+J414</f>
        <v>0</v>
      </c>
    </row>
    <row r="415" spans="1:11" s="38" customFormat="1" ht="21.75" customHeight="1">
      <c r="A415" s="94" t="s">
        <v>437</v>
      </c>
      <c r="B415" s="85" t="s">
        <v>438</v>
      </c>
      <c r="C415" s="87"/>
      <c r="D415" s="45">
        <f>((63420.3/1925)/60)*15+((57248.28/1925)/60)*15</f>
        <v>15.671244155844157</v>
      </c>
      <c r="E415" s="45">
        <f>D415*22%</f>
        <v>3.4476737142857146</v>
      </c>
      <c r="F415" s="82">
        <v>10.54</v>
      </c>
      <c r="G415" s="45">
        <f>C416*2.38</f>
        <v>35.699999999999996</v>
      </c>
      <c r="H415" s="45">
        <f>D415*0.34</f>
        <v>5.3282230129870136</v>
      </c>
      <c r="I415" s="45">
        <f t="shared" si="23"/>
        <v>70.687140883116868</v>
      </c>
      <c r="J415" s="83">
        <f t="shared" si="24"/>
        <v>24.740499309090904</v>
      </c>
      <c r="K415" s="47">
        <v>95</v>
      </c>
    </row>
    <row r="416" spans="1:11" s="38" customFormat="1" ht="21.75" customHeight="1">
      <c r="A416" s="95"/>
      <c r="B416" s="96" t="s">
        <v>258</v>
      </c>
      <c r="C416" s="87">
        <v>15</v>
      </c>
      <c r="D416" s="58"/>
      <c r="E416" s="45"/>
      <c r="F416" s="97"/>
      <c r="G416" s="56"/>
      <c r="H416" s="58"/>
      <c r="I416" s="45">
        <f t="shared" si="23"/>
        <v>0</v>
      </c>
      <c r="J416" s="83">
        <f t="shared" si="24"/>
        <v>0</v>
      </c>
      <c r="K416" s="47">
        <f t="shared" si="25"/>
        <v>0</v>
      </c>
    </row>
    <row r="417" spans="1:11" s="38" customFormat="1" ht="21.75" customHeight="1">
      <c r="A417" s="95"/>
      <c r="B417" s="96" t="s">
        <v>337</v>
      </c>
      <c r="C417" s="87">
        <v>15</v>
      </c>
      <c r="D417" s="58"/>
      <c r="E417" s="45"/>
      <c r="F417" s="97"/>
      <c r="G417" s="56"/>
      <c r="H417" s="58"/>
      <c r="I417" s="45">
        <f t="shared" si="23"/>
        <v>0</v>
      </c>
      <c r="J417" s="83">
        <f t="shared" si="24"/>
        <v>0</v>
      </c>
      <c r="K417" s="47">
        <f t="shared" si="25"/>
        <v>0</v>
      </c>
    </row>
    <row r="418" spans="1:11" s="38" customFormat="1" ht="20.25" customHeight="1">
      <c r="A418" s="94" t="s">
        <v>439</v>
      </c>
      <c r="B418" s="85" t="s">
        <v>440</v>
      </c>
      <c r="C418" s="87"/>
      <c r="D418" s="45">
        <f>((63420.3/1925)/60)*15+((57248.28/1925)/60)*15</f>
        <v>15.671244155844157</v>
      </c>
      <c r="E418" s="45">
        <f>D418*22%</f>
        <v>3.4476737142857146</v>
      </c>
      <c r="F418" s="82">
        <v>10.54</v>
      </c>
      <c r="G418" s="45">
        <f>C419*2.38</f>
        <v>35.699999999999996</v>
      </c>
      <c r="H418" s="45">
        <f>D418*0.34</f>
        <v>5.3282230129870136</v>
      </c>
      <c r="I418" s="45">
        <f t="shared" si="23"/>
        <v>70.687140883116868</v>
      </c>
      <c r="J418" s="83">
        <f t="shared" si="24"/>
        <v>24.740499309090904</v>
      </c>
      <c r="K418" s="47">
        <v>95</v>
      </c>
    </row>
    <row r="419" spans="1:11" s="38" customFormat="1" ht="20.25" customHeight="1">
      <c r="A419" s="95"/>
      <c r="B419" s="96" t="s">
        <v>258</v>
      </c>
      <c r="C419" s="87">
        <v>15</v>
      </c>
      <c r="D419" s="58"/>
      <c r="E419" s="45"/>
      <c r="F419" s="97"/>
      <c r="G419" s="56"/>
      <c r="H419" s="58"/>
      <c r="I419" s="45">
        <f t="shared" si="23"/>
        <v>0</v>
      </c>
      <c r="J419" s="83">
        <f t="shared" si="24"/>
        <v>0</v>
      </c>
      <c r="K419" s="47">
        <f t="shared" si="25"/>
        <v>0</v>
      </c>
    </row>
    <row r="420" spans="1:11" s="38" customFormat="1" ht="20.25" customHeight="1">
      <c r="A420" s="95"/>
      <c r="B420" s="96" t="s">
        <v>337</v>
      </c>
      <c r="C420" s="87">
        <v>15</v>
      </c>
      <c r="D420" s="58"/>
      <c r="E420" s="45"/>
      <c r="F420" s="97"/>
      <c r="G420" s="56"/>
      <c r="H420" s="58"/>
      <c r="I420" s="45">
        <f t="shared" si="23"/>
        <v>0</v>
      </c>
      <c r="J420" s="83">
        <f t="shared" si="24"/>
        <v>0</v>
      </c>
      <c r="K420" s="47">
        <f t="shared" si="25"/>
        <v>0</v>
      </c>
    </row>
    <row r="421" spans="1:11" s="38" customFormat="1" ht="19.5" customHeight="1">
      <c r="A421" s="94" t="s">
        <v>441</v>
      </c>
      <c r="B421" s="85" t="s">
        <v>442</v>
      </c>
      <c r="C421" s="87"/>
      <c r="D421" s="45">
        <f>((63420.3/1925)/60)*15+((57248.28/1925)/60)*15</f>
        <v>15.671244155844157</v>
      </c>
      <c r="E421" s="45">
        <f>D421*22%</f>
        <v>3.4476737142857146</v>
      </c>
      <c r="F421" s="82">
        <v>10.54</v>
      </c>
      <c r="G421" s="45">
        <f>C422*2.38</f>
        <v>35.699999999999996</v>
      </c>
      <c r="H421" s="45">
        <f>D421*0.34</f>
        <v>5.3282230129870136</v>
      </c>
      <c r="I421" s="45">
        <f t="shared" si="23"/>
        <v>70.687140883116868</v>
      </c>
      <c r="J421" s="83">
        <f t="shared" si="24"/>
        <v>24.740499309090904</v>
      </c>
      <c r="K421" s="47">
        <v>95</v>
      </c>
    </row>
    <row r="422" spans="1:11" s="38" customFormat="1" ht="19.5" customHeight="1">
      <c r="A422" s="95"/>
      <c r="B422" s="96" t="s">
        <v>258</v>
      </c>
      <c r="C422" s="87">
        <v>15</v>
      </c>
      <c r="D422" s="58"/>
      <c r="E422" s="45"/>
      <c r="F422" s="97"/>
      <c r="G422" s="56"/>
      <c r="H422" s="58"/>
      <c r="I422" s="45">
        <f t="shared" si="23"/>
        <v>0</v>
      </c>
      <c r="J422" s="83">
        <f t="shared" si="24"/>
        <v>0</v>
      </c>
      <c r="K422" s="47">
        <f t="shared" si="25"/>
        <v>0</v>
      </c>
    </row>
    <row r="423" spans="1:11" s="38" customFormat="1" ht="19.5" customHeight="1">
      <c r="A423" s="95"/>
      <c r="B423" s="96" t="s">
        <v>337</v>
      </c>
      <c r="C423" s="87">
        <v>15</v>
      </c>
      <c r="D423" s="58"/>
      <c r="E423" s="45"/>
      <c r="F423" s="97"/>
      <c r="G423" s="56"/>
      <c r="H423" s="58"/>
      <c r="I423" s="45">
        <f t="shared" si="23"/>
        <v>0</v>
      </c>
      <c r="J423" s="83">
        <f t="shared" si="24"/>
        <v>0</v>
      </c>
      <c r="K423" s="47">
        <f t="shared" si="25"/>
        <v>0</v>
      </c>
    </row>
    <row r="424" spans="1:11" s="38" customFormat="1" ht="18.75" customHeight="1">
      <c r="A424" s="94" t="s">
        <v>443</v>
      </c>
      <c r="B424" s="85" t="s">
        <v>444</v>
      </c>
      <c r="C424" s="87"/>
      <c r="D424" s="45">
        <f>((63420.3/1925)/60)*20+((57248.28/1925)/60)*20</f>
        <v>20.894992207792207</v>
      </c>
      <c r="E424" s="45">
        <f>D424*22%</f>
        <v>4.5968982857142855</v>
      </c>
      <c r="F424" s="82">
        <v>10.54</v>
      </c>
      <c r="G424" s="45">
        <f>C425*2.38</f>
        <v>47.599999999999994</v>
      </c>
      <c r="H424" s="45">
        <f>D424*0.34</f>
        <v>7.1042973506493512</v>
      </c>
      <c r="I424" s="45">
        <f t="shared" si="23"/>
        <v>90.736187844155836</v>
      </c>
      <c r="J424" s="83">
        <f t="shared" si="24"/>
        <v>31.757665745454542</v>
      </c>
      <c r="K424" s="47">
        <v>123</v>
      </c>
    </row>
    <row r="425" spans="1:11" s="38" customFormat="1" ht="17.25" customHeight="1">
      <c r="A425" s="95"/>
      <c r="B425" s="96" t="s">
        <v>258</v>
      </c>
      <c r="C425" s="87">
        <v>20</v>
      </c>
      <c r="D425" s="58"/>
      <c r="E425" s="45"/>
      <c r="F425" s="97"/>
      <c r="G425" s="56"/>
      <c r="H425" s="58"/>
      <c r="I425" s="45">
        <f t="shared" si="23"/>
        <v>0</v>
      </c>
      <c r="J425" s="83">
        <f t="shared" si="24"/>
        <v>0</v>
      </c>
      <c r="K425" s="47">
        <f t="shared" si="25"/>
        <v>0</v>
      </c>
    </row>
    <row r="426" spans="1:11" s="38" customFormat="1" ht="18" customHeight="1">
      <c r="A426" s="95"/>
      <c r="B426" s="96" t="s">
        <v>337</v>
      </c>
      <c r="C426" s="87">
        <v>20</v>
      </c>
      <c r="D426" s="58"/>
      <c r="E426" s="45"/>
      <c r="F426" s="97"/>
      <c r="G426" s="56"/>
      <c r="H426" s="58"/>
      <c r="I426" s="45">
        <f t="shared" si="23"/>
        <v>0</v>
      </c>
      <c r="J426" s="83">
        <f t="shared" si="24"/>
        <v>0</v>
      </c>
      <c r="K426" s="47">
        <f t="shared" si="25"/>
        <v>0</v>
      </c>
    </row>
    <row r="427" spans="1:11" s="38" customFormat="1" ht="18.75" customHeight="1">
      <c r="A427" s="90" t="s">
        <v>277</v>
      </c>
      <c r="B427" s="91" t="s">
        <v>445</v>
      </c>
      <c r="C427" s="87"/>
      <c r="D427" s="92"/>
      <c r="E427" s="45">
        <f>D427*22%</f>
        <v>0</v>
      </c>
      <c r="F427" s="92"/>
      <c r="G427" s="58"/>
      <c r="H427" s="58">
        <f>D427*0.34</f>
        <v>0</v>
      </c>
      <c r="I427" s="45">
        <f t="shared" si="23"/>
        <v>0</v>
      </c>
      <c r="J427" s="83">
        <f t="shared" si="24"/>
        <v>0</v>
      </c>
      <c r="K427" s="47">
        <f t="shared" si="25"/>
        <v>0</v>
      </c>
    </row>
    <row r="428" spans="1:11" s="38" customFormat="1" ht="21" customHeight="1">
      <c r="A428" s="94" t="s">
        <v>446</v>
      </c>
      <c r="B428" s="85" t="s">
        <v>447</v>
      </c>
      <c r="C428" s="87"/>
      <c r="D428" s="45">
        <f>((63420.3/1925)/60)*20+((57248.28/1925)/60)*20</f>
        <v>20.894992207792207</v>
      </c>
      <c r="E428" s="45">
        <f>D428*22%</f>
        <v>4.5968982857142855</v>
      </c>
      <c r="F428" s="82">
        <v>10.54</v>
      </c>
      <c r="G428" s="45">
        <f>C429*2.38</f>
        <v>47.599999999999994</v>
      </c>
      <c r="H428" s="45">
        <f>D428*0.34</f>
        <v>7.1042973506493512</v>
      </c>
      <c r="I428" s="45">
        <f t="shared" si="23"/>
        <v>90.736187844155836</v>
      </c>
      <c r="J428" s="83">
        <f t="shared" si="24"/>
        <v>31.757665745454542</v>
      </c>
      <c r="K428" s="47">
        <v>123</v>
      </c>
    </row>
    <row r="429" spans="1:11" s="38" customFormat="1" ht="18.75" customHeight="1">
      <c r="A429" s="95"/>
      <c r="B429" s="96" t="s">
        <v>258</v>
      </c>
      <c r="C429" s="87">
        <v>20</v>
      </c>
      <c r="D429" s="58"/>
      <c r="E429" s="45"/>
      <c r="F429" s="97"/>
      <c r="G429" s="56"/>
      <c r="H429" s="58"/>
      <c r="I429" s="45">
        <f t="shared" si="23"/>
        <v>0</v>
      </c>
      <c r="J429" s="83">
        <f t="shared" si="24"/>
        <v>0</v>
      </c>
      <c r="K429" s="47">
        <f t="shared" si="25"/>
        <v>0</v>
      </c>
    </row>
    <row r="430" spans="1:11" s="38" customFormat="1" ht="18.75" customHeight="1">
      <c r="A430" s="95"/>
      <c r="B430" s="96" t="s">
        <v>337</v>
      </c>
      <c r="C430" s="87">
        <v>20</v>
      </c>
      <c r="D430" s="58"/>
      <c r="E430" s="45"/>
      <c r="F430" s="97"/>
      <c r="G430" s="56"/>
      <c r="H430" s="58"/>
      <c r="I430" s="45">
        <f t="shared" si="23"/>
        <v>0</v>
      </c>
      <c r="J430" s="83">
        <f t="shared" si="24"/>
        <v>0</v>
      </c>
      <c r="K430" s="47">
        <f t="shared" si="25"/>
        <v>0</v>
      </c>
    </row>
    <row r="431" spans="1:11" s="38" customFormat="1" ht="39" customHeight="1">
      <c r="A431" s="94" t="s">
        <v>448</v>
      </c>
      <c r="B431" s="85" t="s">
        <v>449</v>
      </c>
      <c r="C431" s="87"/>
      <c r="D431" s="45">
        <f>((63420.3/1925)/60)*45+((57248.28/1925)/60)*45</f>
        <v>47.013732467532463</v>
      </c>
      <c r="E431" s="45">
        <f>D431*22%</f>
        <v>10.343021142857141</v>
      </c>
      <c r="F431" s="82">
        <v>10.54</v>
      </c>
      <c r="G431" s="45">
        <f>C432*2.38</f>
        <v>107.1</v>
      </c>
      <c r="H431" s="45">
        <f>D431*0.34</f>
        <v>15.984669038961039</v>
      </c>
      <c r="I431" s="45">
        <f t="shared" si="23"/>
        <v>190.98142264935063</v>
      </c>
      <c r="J431" s="83">
        <f t="shared" si="24"/>
        <v>66.843497927272722</v>
      </c>
      <c r="K431" s="47">
        <v>258</v>
      </c>
    </row>
    <row r="432" spans="1:11" s="38" customFormat="1" ht="17.25" customHeight="1">
      <c r="A432" s="95"/>
      <c r="B432" s="96" t="s">
        <v>258</v>
      </c>
      <c r="C432" s="87">
        <v>45</v>
      </c>
      <c r="D432" s="58"/>
      <c r="E432" s="45"/>
      <c r="F432" s="97"/>
      <c r="G432" s="56"/>
      <c r="H432" s="58"/>
      <c r="I432" s="45">
        <f t="shared" si="23"/>
        <v>0</v>
      </c>
      <c r="J432" s="83">
        <f t="shared" si="24"/>
        <v>0</v>
      </c>
      <c r="K432" s="47">
        <f t="shared" si="25"/>
        <v>0</v>
      </c>
    </row>
    <row r="433" spans="1:11" s="38" customFormat="1" ht="16.5" customHeight="1">
      <c r="A433" s="95"/>
      <c r="B433" s="96" t="s">
        <v>337</v>
      </c>
      <c r="C433" s="87">
        <v>45</v>
      </c>
      <c r="D433" s="58"/>
      <c r="E433" s="45"/>
      <c r="F433" s="97"/>
      <c r="G433" s="56"/>
      <c r="H433" s="58"/>
      <c r="I433" s="45">
        <f t="shared" si="23"/>
        <v>0</v>
      </c>
      <c r="J433" s="83">
        <f t="shared" si="24"/>
        <v>0</v>
      </c>
      <c r="K433" s="47">
        <f t="shared" si="25"/>
        <v>0</v>
      </c>
    </row>
    <row r="434" spans="1:11" s="38" customFormat="1" ht="33.950000000000003" customHeight="1">
      <c r="A434" s="94" t="s">
        <v>450</v>
      </c>
      <c r="B434" s="85" t="s">
        <v>451</v>
      </c>
      <c r="C434" s="87"/>
      <c r="D434" s="45">
        <f>((63420.3/1925)/60)*45+((57248.28/1925)/60)*45</f>
        <v>47.013732467532463</v>
      </c>
      <c r="E434" s="45">
        <f>D434*22%</f>
        <v>10.343021142857141</v>
      </c>
      <c r="F434" s="82">
        <v>10.54</v>
      </c>
      <c r="G434" s="45">
        <f>C435*2.38</f>
        <v>107.1</v>
      </c>
      <c r="H434" s="45">
        <f>D434*0.34</f>
        <v>15.984669038961039</v>
      </c>
      <c r="I434" s="45">
        <f t="shared" si="23"/>
        <v>190.98142264935063</v>
      </c>
      <c r="J434" s="83">
        <f t="shared" si="24"/>
        <v>66.843497927272722</v>
      </c>
      <c r="K434" s="47">
        <v>258</v>
      </c>
    </row>
    <row r="435" spans="1:11" s="38" customFormat="1" ht="17.25" customHeight="1">
      <c r="A435" s="95"/>
      <c r="B435" s="96" t="s">
        <v>258</v>
      </c>
      <c r="C435" s="87">
        <v>45</v>
      </c>
      <c r="D435" s="58"/>
      <c r="E435" s="45"/>
      <c r="F435" s="97"/>
      <c r="G435" s="56"/>
      <c r="H435" s="58"/>
      <c r="I435" s="45">
        <f t="shared" si="23"/>
        <v>0</v>
      </c>
      <c r="J435" s="83">
        <f t="shared" si="24"/>
        <v>0</v>
      </c>
      <c r="K435" s="47">
        <f t="shared" si="25"/>
        <v>0</v>
      </c>
    </row>
    <row r="436" spans="1:11" s="38" customFormat="1" ht="18" customHeight="1">
      <c r="A436" s="95"/>
      <c r="B436" s="96" t="s">
        <v>337</v>
      </c>
      <c r="C436" s="87">
        <v>45</v>
      </c>
      <c r="D436" s="58"/>
      <c r="E436" s="45"/>
      <c r="F436" s="97"/>
      <c r="G436" s="56"/>
      <c r="H436" s="58"/>
      <c r="I436" s="45">
        <f t="shared" si="23"/>
        <v>0</v>
      </c>
      <c r="J436" s="83">
        <f t="shared" si="24"/>
        <v>0</v>
      </c>
      <c r="K436" s="47">
        <f t="shared" si="25"/>
        <v>0</v>
      </c>
    </row>
    <row r="437" spans="1:11" s="38" customFormat="1" ht="44.25" customHeight="1">
      <c r="A437" s="90" t="s">
        <v>279</v>
      </c>
      <c r="B437" s="91" t="s">
        <v>452</v>
      </c>
      <c r="C437" s="87"/>
      <c r="D437" s="92"/>
      <c r="E437" s="45">
        <f>D437*22%</f>
        <v>0</v>
      </c>
      <c r="F437" s="92"/>
      <c r="G437" s="58"/>
      <c r="H437" s="58">
        <f>D437*0.34</f>
        <v>0</v>
      </c>
      <c r="I437" s="45">
        <f t="shared" si="23"/>
        <v>0</v>
      </c>
      <c r="J437" s="83">
        <f t="shared" si="24"/>
        <v>0</v>
      </c>
      <c r="K437" s="47">
        <f t="shared" si="25"/>
        <v>0</v>
      </c>
    </row>
    <row r="438" spans="1:11" s="38" customFormat="1" ht="21" customHeight="1">
      <c r="A438" s="94" t="s">
        <v>453</v>
      </c>
      <c r="B438" s="85" t="s">
        <v>454</v>
      </c>
      <c r="C438" s="87"/>
      <c r="D438" s="45">
        <f>((63420.3/1925)/60)*20+((57248.28/1925)/60)*20</f>
        <v>20.894992207792207</v>
      </c>
      <c r="E438" s="45">
        <f>D438*22%</f>
        <v>4.5968982857142855</v>
      </c>
      <c r="F438" s="82">
        <v>10.54</v>
      </c>
      <c r="G438" s="45">
        <f>C439*2.38</f>
        <v>47.599999999999994</v>
      </c>
      <c r="H438" s="45">
        <f>D438*0.34</f>
        <v>7.1042973506493512</v>
      </c>
      <c r="I438" s="45">
        <f t="shared" si="23"/>
        <v>90.736187844155836</v>
      </c>
      <c r="J438" s="83">
        <f t="shared" si="24"/>
        <v>31.757665745454542</v>
      </c>
      <c r="K438" s="47">
        <v>123</v>
      </c>
    </row>
    <row r="439" spans="1:11" s="38" customFormat="1" ht="21" customHeight="1">
      <c r="A439" s="95"/>
      <c r="B439" s="96" t="s">
        <v>258</v>
      </c>
      <c r="C439" s="87">
        <v>20</v>
      </c>
      <c r="D439" s="58"/>
      <c r="E439" s="45"/>
      <c r="F439" s="97"/>
      <c r="G439" s="56"/>
      <c r="H439" s="58"/>
      <c r="I439" s="45">
        <f t="shared" si="23"/>
        <v>0</v>
      </c>
      <c r="J439" s="83">
        <f t="shared" si="24"/>
        <v>0</v>
      </c>
      <c r="K439" s="47">
        <f t="shared" si="25"/>
        <v>0</v>
      </c>
    </row>
    <row r="440" spans="1:11" s="38" customFormat="1" ht="21" customHeight="1">
      <c r="A440" s="95"/>
      <c r="B440" s="96" t="s">
        <v>337</v>
      </c>
      <c r="C440" s="87">
        <v>20</v>
      </c>
      <c r="D440" s="58"/>
      <c r="E440" s="45"/>
      <c r="F440" s="97"/>
      <c r="G440" s="56"/>
      <c r="H440" s="58"/>
      <c r="I440" s="45">
        <f t="shared" si="23"/>
        <v>0</v>
      </c>
      <c r="J440" s="83">
        <f t="shared" si="24"/>
        <v>0</v>
      </c>
      <c r="K440" s="47">
        <f t="shared" si="25"/>
        <v>0</v>
      </c>
    </row>
    <row r="441" spans="1:11" s="38" customFormat="1" ht="20.25" customHeight="1">
      <c r="A441" s="94" t="s">
        <v>455</v>
      </c>
      <c r="B441" s="85" t="s">
        <v>456</v>
      </c>
      <c r="C441" s="87"/>
      <c r="D441" s="45">
        <f>((63420.3/1925)/60)*30+((57248.28/1925)/60)*30</f>
        <v>31.342488311688314</v>
      </c>
      <c r="E441" s="45">
        <f>D441*22%</f>
        <v>6.8953474285714291</v>
      </c>
      <c r="F441" s="82">
        <v>10.54</v>
      </c>
      <c r="G441" s="45">
        <f>C442*2.38</f>
        <v>71.399999999999991</v>
      </c>
      <c r="H441" s="45">
        <f>D441*0.34</f>
        <v>10.656446025974027</v>
      </c>
      <c r="I441" s="45">
        <f t="shared" si="23"/>
        <v>130.83428176623374</v>
      </c>
      <c r="J441" s="83">
        <f t="shared" si="24"/>
        <v>45.791998618181808</v>
      </c>
      <c r="K441" s="47">
        <v>177</v>
      </c>
    </row>
    <row r="442" spans="1:11" s="38" customFormat="1" ht="20.25" customHeight="1">
      <c r="A442" s="95"/>
      <c r="B442" s="96" t="s">
        <v>258</v>
      </c>
      <c r="C442" s="87">
        <v>30</v>
      </c>
      <c r="D442" s="58"/>
      <c r="E442" s="45"/>
      <c r="F442" s="97"/>
      <c r="G442" s="56"/>
      <c r="H442" s="58"/>
      <c r="I442" s="45">
        <f t="shared" si="23"/>
        <v>0</v>
      </c>
      <c r="J442" s="83">
        <f t="shared" si="24"/>
        <v>0</v>
      </c>
      <c r="K442" s="47">
        <f t="shared" si="25"/>
        <v>0</v>
      </c>
    </row>
    <row r="443" spans="1:11" s="38" customFormat="1" ht="20.25" customHeight="1">
      <c r="A443" s="95"/>
      <c r="B443" s="96" t="s">
        <v>337</v>
      </c>
      <c r="C443" s="87">
        <v>30</v>
      </c>
      <c r="D443" s="58"/>
      <c r="E443" s="45"/>
      <c r="F443" s="97"/>
      <c r="G443" s="56"/>
      <c r="H443" s="58"/>
      <c r="I443" s="45">
        <f t="shared" si="23"/>
        <v>0</v>
      </c>
      <c r="J443" s="83">
        <f t="shared" si="24"/>
        <v>0</v>
      </c>
      <c r="K443" s="47">
        <f t="shared" si="25"/>
        <v>0</v>
      </c>
    </row>
    <row r="444" spans="1:11" s="38" customFormat="1" ht="20.25" customHeight="1">
      <c r="A444" s="94" t="s">
        <v>457</v>
      </c>
      <c r="B444" s="85" t="s">
        <v>458</v>
      </c>
      <c r="C444" s="87"/>
      <c r="D444" s="45">
        <f>((63420.3/1925)/60)*45+((57248.28/1925)/60)*45</f>
        <v>47.013732467532463</v>
      </c>
      <c r="E444" s="45">
        <f>D444*22%</f>
        <v>10.343021142857141</v>
      </c>
      <c r="F444" s="82">
        <v>10.54</v>
      </c>
      <c r="G444" s="45">
        <f>C445*2.38</f>
        <v>107.1</v>
      </c>
      <c r="H444" s="45">
        <f>D444*0.34</f>
        <v>15.984669038961039</v>
      </c>
      <c r="I444" s="45">
        <f t="shared" si="23"/>
        <v>190.98142264935063</v>
      </c>
      <c r="J444" s="83">
        <f t="shared" si="24"/>
        <v>66.843497927272722</v>
      </c>
      <c r="K444" s="47">
        <v>258</v>
      </c>
    </row>
    <row r="445" spans="1:11" s="38" customFormat="1" ht="20.25" customHeight="1">
      <c r="A445" s="95"/>
      <c r="B445" s="96" t="s">
        <v>258</v>
      </c>
      <c r="C445" s="87">
        <v>45</v>
      </c>
      <c r="D445" s="58"/>
      <c r="E445" s="45"/>
      <c r="F445" s="97"/>
      <c r="G445" s="56"/>
      <c r="H445" s="58"/>
      <c r="I445" s="45">
        <f t="shared" si="23"/>
        <v>0</v>
      </c>
      <c r="J445" s="83">
        <f t="shared" si="24"/>
        <v>0</v>
      </c>
      <c r="K445" s="47">
        <f t="shared" si="25"/>
        <v>0</v>
      </c>
    </row>
    <row r="446" spans="1:11" s="38" customFormat="1" ht="20.25" customHeight="1">
      <c r="A446" s="95"/>
      <c r="B446" s="96" t="s">
        <v>337</v>
      </c>
      <c r="C446" s="87">
        <v>45</v>
      </c>
      <c r="D446" s="58"/>
      <c r="E446" s="45"/>
      <c r="F446" s="97"/>
      <c r="G446" s="56"/>
      <c r="H446" s="58"/>
      <c r="I446" s="45">
        <f t="shared" si="23"/>
        <v>0</v>
      </c>
      <c r="J446" s="83">
        <f t="shared" si="24"/>
        <v>0</v>
      </c>
      <c r="K446" s="47">
        <f t="shared" si="25"/>
        <v>0</v>
      </c>
    </row>
    <row r="447" spans="1:11" s="38" customFormat="1" ht="21.75" customHeight="1">
      <c r="A447" s="94" t="s">
        <v>459</v>
      </c>
      <c r="B447" s="85" t="s">
        <v>460</v>
      </c>
      <c r="C447" s="87"/>
      <c r="D447" s="45">
        <f>((63420.3/1925)/60)*45+((57248.28/1925)/60)*45</f>
        <v>47.013732467532463</v>
      </c>
      <c r="E447" s="45">
        <f>D447*22%</f>
        <v>10.343021142857141</v>
      </c>
      <c r="F447" s="82">
        <v>10.54</v>
      </c>
      <c r="G447" s="45">
        <f>C448*2.38</f>
        <v>107.1</v>
      </c>
      <c r="H447" s="45">
        <f>D447*0.34</f>
        <v>15.984669038961039</v>
      </c>
      <c r="I447" s="45">
        <f t="shared" si="23"/>
        <v>190.98142264935063</v>
      </c>
      <c r="J447" s="83">
        <f t="shared" si="24"/>
        <v>66.843497927272722</v>
      </c>
      <c r="K447" s="47">
        <v>258</v>
      </c>
    </row>
    <row r="448" spans="1:11" s="38" customFormat="1" ht="21.75" customHeight="1">
      <c r="A448" s="95"/>
      <c r="B448" s="96" t="s">
        <v>258</v>
      </c>
      <c r="C448" s="87">
        <v>45</v>
      </c>
      <c r="D448" s="58"/>
      <c r="E448" s="45"/>
      <c r="F448" s="97"/>
      <c r="G448" s="56"/>
      <c r="H448" s="58"/>
      <c r="I448" s="45">
        <f t="shared" si="23"/>
        <v>0</v>
      </c>
      <c r="J448" s="83">
        <f t="shared" si="24"/>
        <v>0</v>
      </c>
      <c r="K448" s="47">
        <f t="shared" si="25"/>
        <v>0</v>
      </c>
    </row>
    <row r="449" spans="1:11" s="38" customFormat="1" ht="21.75" customHeight="1">
      <c r="A449" s="95"/>
      <c r="B449" s="96" t="s">
        <v>337</v>
      </c>
      <c r="C449" s="87">
        <v>45</v>
      </c>
      <c r="D449" s="58"/>
      <c r="E449" s="45"/>
      <c r="F449" s="97"/>
      <c r="G449" s="56"/>
      <c r="H449" s="58"/>
      <c r="I449" s="45">
        <f t="shared" si="23"/>
        <v>0</v>
      </c>
      <c r="J449" s="83">
        <f t="shared" si="24"/>
        <v>0</v>
      </c>
      <c r="K449" s="47">
        <f t="shared" si="25"/>
        <v>0</v>
      </c>
    </row>
    <row r="450" spans="1:11" s="38" customFormat="1" ht="39.75" customHeight="1">
      <c r="A450" s="90" t="s">
        <v>281</v>
      </c>
      <c r="B450" s="91" t="s">
        <v>461</v>
      </c>
      <c r="C450" s="87"/>
      <c r="D450" s="45">
        <f>((63420.3/1925)/60)*30+((57248.28/1925)/60)*30</f>
        <v>31.342488311688314</v>
      </c>
      <c r="E450" s="45">
        <f>D450*22%</f>
        <v>6.8953474285714291</v>
      </c>
      <c r="F450" s="82">
        <v>10.54</v>
      </c>
      <c r="G450" s="45">
        <f>C451*2.38</f>
        <v>71.399999999999991</v>
      </c>
      <c r="H450" s="45">
        <f>D450*0.34</f>
        <v>10.656446025974027</v>
      </c>
      <c r="I450" s="45">
        <f t="shared" si="23"/>
        <v>130.83428176623374</v>
      </c>
      <c r="J450" s="83">
        <f t="shared" si="24"/>
        <v>45.791998618181808</v>
      </c>
      <c r="K450" s="47">
        <v>177</v>
      </c>
    </row>
    <row r="451" spans="1:11" s="38" customFormat="1" ht="18.75" customHeight="1">
      <c r="A451" s="90"/>
      <c r="B451" s="96" t="s">
        <v>258</v>
      </c>
      <c r="C451" s="87">
        <v>30</v>
      </c>
      <c r="D451" s="58"/>
      <c r="E451" s="45"/>
      <c r="F451" s="97"/>
      <c r="G451" s="56"/>
      <c r="H451" s="58"/>
      <c r="I451" s="45">
        <f t="shared" si="23"/>
        <v>0</v>
      </c>
      <c r="J451" s="83">
        <f t="shared" si="24"/>
        <v>0</v>
      </c>
      <c r="K451" s="47">
        <f t="shared" si="25"/>
        <v>0</v>
      </c>
    </row>
    <row r="452" spans="1:11" s="38" customFormat="1" ht="21" customHeight="1">
      <c r="A452" s="90"/>
      <c r="B452" s="96" t="s">
        <v>337</v>
      </c>
      <c r="C452" s="87">
        <v>30</v>
      </c>
      <c r="D452" s="58"/>
      <c r="E452" s="45"/>
      <c r="F452" s="97"/>
      <c r="G452" s="56"/>
      <c r="H452" s="58"/>
      <c r="I452" s="45">
        <f t="shared" si="23"/>
        <v>0</v>
      </c>
      <c r="J452" s="83">
        <f t="shared" si="24"/>
        <v>0</v>
      </c>
      <c r="K452" s="47">
        <f t="shared" si="25"/>
        <v>0</v>
      </c>
    </row>
    <row r="453" spans="1:11" s="38" customFormat="1" ht="39" customHeight="1">
      <c r="A453" s="94" t="s">
        <v>462</v>
      </c>
      <c r="B453" s="85" t="s">
        <v>463</v>
      </c>
      <c r="C453" s="87"/>
      <c r="D453" s="45">
        <f>((63420.3/1925)/60)*45+((57248.28/1925)/60)*45</f>
        <v>47.013732467532463</v>
      </c>
      <c r="E453" s="45">
        <f>D453*22%</f>
        <v>10.343021142857141</v>
      </c>
      <c r="F453" s="82">
        <v>10.54</v>
      </c>
      <c r="G453" s="45">
        <f>C454*2.38</f>
        <v>107.1</v>
      </c>
      <c r="H453" s="45">
        <f>D453*0.34</f>
        <v>15.984669038961039</v>
      </c>
      <c r="I453" s="45">
        <f t="shared" si="23"/>
        <v>190.98142264935063</v>
      </c>
      <c r="J453" s="83">
        <f t="shared" si="24"/>
        <v>66.843497927272722</v>
      </c>
      <c r="K453" s="47">
        <v>258</v>
      </c>
    </row>
    <row r="454" spans="1:11" s="38" customFormat="1" ht="18" customHeight="1">
      <c r="A454" s="95"/>
      <c r="B454" s="96" t="s">
        <v>258</v>
      </c>
      <c r="C454" s="87">
        <v>45</v>
      </c>
      <c r="D454" s="58"/>
      <c r="E454" s="45"/>
      <c r="F454" s="97"/>
      <c r="G454" s="56"/>
      <c r="H454" s="58"/>
      <c r="I454" s="45">
        <f t="shared" si="23"/>
        <v>0</v>
      </c>
      <c r="J454" s="83">
        <f t="shared" si="24"/>
        <v>0</v>
      </c>
      <c r="K454" s="47">
        <f t="shared" si="25"/>
        <v>0</v>
      </c>
    </row>
    <row r="455" spans="1:11" s="38" customFormat="1" ht="18.75" customHeight="1">
      <c r="A455" s="95"/>
      <c r="B455" s="96" t="s">
        <v>337</v>
      </c>
      <c r="C455" s="87">
        <v>45</v>
      </c>
      <c r="D455" s="58"/>
      <c r="E455" s="45"/>
      <c r="F455" s="97"/>
      <c r="G455" s="56"/>
      <c r="H455" s="58"/>
      <c r="I455" s="45">
        <f t="shared" si="23"/>
        <v>0</v>
      </c>
      <c r="J455" s="83">
        <f t="shared" si="24"/>
        <v>0</v>
      </c>
      <c r="K455" s="47">
        <f t="shared" si="25"/>
        <v>0</v>
      </c>
    </row>
    <row r="456" spans="1:11" s="38" customFormat="1" ht="39" customHeight="1">
      <c r="A456" s="94" t="s">
        <v>464</v>
      </c>
      <c r="B456" s="85" t="s">
        <v>465</v>
      </c>
      <c r="C456" s="87"/>
      <c r="D456" s="45">
        <f>((63420.3/1925)/60)*50+((57248.28/1925)/60)*50</f>
        <v>52.237480519480513</v>
      </c>
      <c r="E456" s="45">
        <f>D456*22%</f>
        <v>11.492245714285714</v>
      </c>
      <c r="F456" s="82">
        <v>10.54</v>
      </c>
      <c r="G456" s="45">
        <f>C457*2.38</f>
        <v>119</v>
      </c>
      <c r="H456" s="45">
        <f>D456*0.34</f>
        <v>17.760743376623378</v>
      </c>
      <c r="I456" s="45">
        <f t="shared" si="23"/>
        <v>211.03046961038959</v>
      </c>
      <c r="J456" s="83">
        <f t="shared" si="24"/>
        <v>73.860664363636346</v>
      </c>
      <c r="K456" s="47">
        <v>285</v>
      </c>
    </row>
    <row r="457" spans="1:11" s="38" customFormat="1" ht="18.75" customHeight="1">
      <c r="A457" s="95"/>
      <c r="B457" s="96" t="s">
        <v>258</v>
      </c>
      <c r="C457" s="87">
        <v>50</v>
      </c>
      <c r="D457" s="58"/>
      <c r="E457" s="45"/>
      <c r="F457" s="97"/>
      <c r="G457" s="56"/>
      <c r="H457" s="58"/>
      <c r="I457" s="45">
        <f t="shared" si="23"/>
        <v>0</v>
      </c>
      <c r="J457" s="83">
        <f t="shared" si="24"/>
        <v>0</v>
      </c>
      <c r="K457" s="47">
        <f t="shared" si="25"/>
        <v>0</v>
      </c>
    </row>
    <row r="458" spans="1:11" s="38" customFormat="1" ht="20.25" customHeight="1">
      <c r="A458" s="95"/>
      <c r="B458" s="96" t="s">
        <v>337</v>
      </c>
      <c r="C458" s="87">
        <v>50</v>
      </c>
      <c r="D458" s="58"/>
      <c r="E458" s="45"/>
      <c r="F458" s="97"/>
      <c r="G458" s="56"/>
      <c r="H458" s="58"/>
      <c r="I458" s="45">
        <f t="shared" si="23"/>
        <v>0</v>
      </c>
      <c r="J458" s="83">
        <f t="shared" si="24"/>
        <v>0</v>
      </c>
      <c r="K458" s="47">
        <f t="shared" si="25"/>
        <v>0</v>
      </c>
    </row>
    <row r="459" spans="1:11" s="38" customFormat="1" ht="57.75" customHeight="1">
      <c r="A459" s="94" t="s">
        <v>466</v>
      </c>
      <c r="B459" s="85" t="s">
        <v>467</v>
      </c>
      <c r="C459" s="87"/>
      <c r="D459" s="45">
        <f>((63420.3/1925)/60)*60+((57248.28/1925)/60)*60</f>
        <v>62.684976623376627</v>
      </c>
      <c r="E459" s="45">
        <f>D459*22%</f>
        <v>13.790694857142858</v>
      </c>
      <c r="F459" s="82">
        <v>10.54</v>
      </c>
      <c r="G459" s="45">
        <f>C460*2.38</f>
        <v>142.79999999999998</v>
      </c>
      <c r="H459" s="45">
        <f>D459*0.34</f>
        <v>21.312892051948054</v>
      </c>
      <c r="I459" s="45">
        <f t="shared" si="23"/>
        <v>251.12856353246752</v>
      </c>
      <c r="J459" s="83">
        <f t="shared" si="24"/>
        <v>87.894997236363622</v>
      </c>
      <c r="K459" s="47">
        <v>339</v>
      </c>
    </row>
    <row r="460" spans="1:11" s="38" customFormat="1" ht="18.75" customHeight="1">
      <c r="A460" s="95"/>
      <c r="B460" s="96" t="s">
        <v>258</v>
      </c>
      <c r="C460" s="87">
        <v>60</v>
      </c>
      <c r="D460" s="58"/>
      <c r="E460" s="45"/>
      <c r="F460" s="97"/>
      <c r="G460" s="56"/>
      <c r="H460" s="58"/>
      <c r="I460" s="45">
        <f t="shared" si="23"/>
        <v>0</v>
      </c>
      <c r="J460" s="83">
        <f t="shared" si="24"/>
        <v>0</v>
      </c>
      <c r="K460" s="47">
        <f t="shared" si="25"/>
        <v>0</v>
      </c>
    </row>
    <row r="461" spans="1:11" s="38" customFormat="1" ht="16.5" customHeight="1">
      <c r="A461" s="95"/>
      <c r="B461" s="96" t="s">
        <v>337</v>
      </c>
      <c r="C461" s="87">
        <v>60</v>
      </c>
      <c r="D461" s="58"/>
      <c r="E461" s="45"/>
      <c r="F461" s="97"/>
      <c r="G461" s="56"/>
      <c r="H461" s="58"/>
      <c r="I461" s="45">
        <f t="shared" si="23"/>
        <v>0</v>
      </c>
      <c r="J461" s="83">
        <f t="shared" si="24"/>
        <v>0</v>
      </c>
      <c r="K461" s="47">
        <f t="shared" si="25"/>
        <v>0</v>
      </c>
    </row>
    <row r="462" spans="1:11" s="38" customFormat="1" ht="19.5" customHeight="1">
      <c r="A462" s="249" t="s">
        <v>468</v>
      </c>
      <c r="B462" s="249"/>
      <c r="C462" s="249"/>
      <c r="D462" s="249"/>
      <c r="E462" s="249"/>
      <c r="F462" s="249"/>
      <c r="G462" s="249"/>
      <c r="H462" s="249"/>
      <c r="I462" s="249"/>
      <c r="J462" s="249"/>
      <c r="K462" s="182"/>
    </row>
    <row r="463" spans="1:11" s="38" customFormat="1" ht="18.75">
      <c r="A463" s="43" t="s">
        <v>248</v>
      </c>
      <c r="B463" s="99" t="s">
        <v>469</v>
      </c>
      <c r="C463" s="100"/>
      <c r="D463" s="56">
        <f>((53100/1925)/60)*30</f>
        <v>13.792207792207792</v>
      </c>
      <c r="E463" s="45">
        <f>D463*22%</f>
        <v>3.0342857142857143</v>
      </c>
      <c r="F463" s="58"/>
      <c r="G463" s="45">
        <f>C464*0.924</f>
        <v>27.720000000000002</v>
      </c>
      <c r="H463" s="45">
        <f>D463*0.34</f>
        <v>4.6893506493506498</v>
      </c>
      <c r="I463" s="82">
        <f t="shared" ref="I463:I510" si="26">H463+G463+F463+E463+D463</f>
        <v>49.235844155844156</v>
      </c>
      <c r="J463" s="83">
        <f t="shared" ref="J463:J509" si="27">I463*35%</f>
        <v>17.232545454545452</v>
      </c>
      <c r="K463" s="101">
        <v>66</v>
      </c>
    </row>
    <row r="464" spans="1:11" s="38" customFormat="1" ht="18.75">
      <c r="A464" s="43"/>
      <c r="B464" s="102" t="s">
        <v>470</v>
      </c>
      <c r="C464" s="100">
        <v>30</v>
      </c>
      <c r="D464" s="56"/>
      <c r="E464" s="45"/>
      <c r="F464" s="58"/>
      <c r="G464" s="45"/>
      <c r="H464" s="45"/>
      <c r="I464" s="82">
        <f t="shared" si="26"/>
        <v>0</v>
      </c>
      <c r="J464" s="83">
        <f t="shared" si="27"/>
        <v>0</v>
      </c>
      <c r="K464" s="101">
        <f t="shared" ref="K464:K510" si="28">I464+J464</f>
        <v>0</v>
      </c>
    </row>
    <row r="465" spans="1:11" s="38" customFormat="1" ht="18.75">
      <c r="A465" s="43" t="s">
        <v>251</v>
      </c>
      <c r="B465" s="99" t="s">
        <v>471</v>
      </c>
      <c r="C465" s="103"/>
      <c r="D465" s="56">
        <f>((53100/1925)/60)*30</f>
        <v>13.792207792207792</v>
      </c>
      <c r="E465" s="45">
        <f>D465*22%</f>
        <v>3.0342857142857143</v>
      </c>
      <c r="F465" s="58"/>
      <c r="G465" s="45">
        <f>C466*0.924</f>
        <v>27.720000000000002</v>
      </c>
      <c r="H465" s="45">
        <f>D465*0.34</f>
        <v>4.6893506493506498</v>
      </c>
      <c r="I465" s="82">
        <f t="shared" si="26"/>
        <v>49.235844155844156</v>
      </c>
      <c r="J465" s="83">
        <f t="shared" si="27"/>
        <v>17.232545454545452</v>
      </c>
      <c r="K465" s="101">
        <v>66</v>
      </c>
    </row>
    <row r="466" spans="1:11" s="38" customFormat="1" ht="18.75">
      <c r="A466" s="43"/>
      <c r="B466" s="102" t="s">
        <v>470</v>
      </c>
      <c r="C466" s="103">
        <v>30</v>
      </c>
      <c r="D466" s="56"/>
      <c r="E466" s="45"/>
      <c r="F466" s="58"/>
      <c r="G466" s="45"/>
      <c r="H466" s="45"/>
      <c r="I466" s="82">
        <f t="shared" si="26"/>
        <v>0</v>
      </c>
      <c r="J466" s="83">
        <f t="shared" si="27"/>
        <v>0</v>
      </c>
      <c r="K466" s="101">
        <f t="shared" si="28"/>
        <v>0</v>
      </c>
    </row>
    <row r="467" spans="1:11" s="38" customFormat="1" ht="18.75">
      <c r="A467" s="43" t="s">
        <v>262</v>
      </c>
      <c r="B467" s="99" t="s">
        <v>472</v>
      </c>
      <c r="C467" s="103"/>
      <c r="D467" s="56">
        <f>((53100/1925)/60)*15</f>
        <v>6.8961038961038961</v>
      </c>
      <c r="E467" s="45">
        <f>D467*22%</f>
        <v>1.5171428571428571</v>
      </c>
      <c r="F467" s="58"/>
      <c r="G467" s="45">
        <f>C468*0.924</f>
        <v>13.860000000000001</v>
      </c>
      <c r="H467" s="45">
        <f>D467*0.34</f>
        <v>2.3446753246753249</v>
      </c>
      <c r="I467" s="82">
        <f t="shared" si="26"/>
        <v>24.617922077922078</v>
      </c>
      <c r="J467" s="83">
        <f t="shared" si="27"/>
        <v>8.616272727272726</v>
      </c>
      <c r="K467" s="101">
        <v>33</v>
      </c>
    </row>
    <row r="468" spans="1:11" s="38" customFormat="1" ht="18.75">
      <c r="A468" s="43"/>
      <c r="B468" s="102" t="s">
        <v>470</v>
      </c>
      <c r="C468" s="103">
        <v>15</v>
      </c>
      <c r="D468" s="56"/>
      <c r="E468" s="45"/>
      <c r="F468" s="58"/>
      <c r="G468" s="45"/>
      <c r="H468" s="45"/>
      <c r="I468" s="82">
        <f t="shared" si="26"/>
        <v>0</v>
      </c>
      <c r="J468" s="83">
        <f t="shared" si="27"/>
        <v>0</v>
      </c>
      <c r="K468" s="101">
        <f t="shared" si="28"/>
        <v>0</v>
      </c>
    </row>
    <row r="469" spans="1:11" s="38" customFormat="1" ht="18.75">
      <c r="A469" s="43" t="s">
        <v>272</v>
      </c>
      <c r="B469" s="99" t="s">
        <v>473</v>
      </c>
      <c r="C469" s="100"/>
      <c r="D469" s="56">
        <f>((53857.76/1925)/60)*45</f>
        <v>20.983542857142858</v>
      </c>
      <c r="E469" s="45">
        <f>D469*22%</f>
        <v>4.6163794285714284</v>
      </c>
      <c r="F469" s="58"/>
      <c r="G469" s="45">
        <f>C470*0.924</f>
        <v>41.580000000000005</v>
      </c>
      <c r="H469" s="45">
        <f>D469*0.34</f>
        <v>7.134404571428572</v>
      </c>
      <c r="I469" s="82">
        <f t="shared" si="26"/>
        <v>74.314326857142859</v>
      </c>
      <c r="J469" s="83">
        <f t="shared" si="27"/>
        <v>26.010014399999999</v>
      </c>
      <c r="K469" s="101">
        <v>100</v>
      </c>
    </row>
    <row r="470" spans="1:11" s="38" customFormat="1" ht="18.75">
      <c r="A470" s="43"/>
      <c r="B470" s="102" t="s">
        <v>337</v>
      </c>
      <c r="C470" s="100">
        <v>45</v>
      </c>
      <c r="D470" s="56"/>
      <c r="E470" s="45"/>
      <c r="F470" s="58"/>
      <c r="G470" s="45"/>
      <c r="H470" s="45"/>
      <c r="I470" s="82">
        <f t="shared" si="26"/>
        <v>0</v>
      </c>
      <c r="J470" s="83">
        <f t="shared" si="27"/>
        <v>0</v>
      </c>
      <c r="K470" s="101">
        <f t="shared" si="28"/>
        <v>0</v>
      </c>
    </row>
    <row r="471" spans="1:11" s="38" customFormat="1" ht="18.75">
      <c r="A471" s="43" t="s">
        <v>277</v>
      </c>
      <c r="B471" s="99" t="s">
        <v>474</v>
      </c>
      <c r="C471" s="100"/>
      <c r="D471" s="56">
        <f>((53857.76/1925)/60)*20</f>
        <v>9.326019047619047</v>
      </c>
      <c r="E471" s="45">
        <f>D471*22%</f>
        <v>2.0517241904761905</v>
      </c>
      <c r="F471" s="58"/>
      <c r="G471" s="45">
        <f>C472*0.924</f>
        <v>18.48</v>
      </c>
      <c r="H471" s="45">
        <f>D471*0.34</f>
        <v>3.170846476190476</v>
      </c>
      <c r="I471" s="82">
        <f t="shared" si="26"/>
        <v>33.028589714285715</v>
      </c>
      <c r="J471" s="83">
        <f t="shared" si="27"/>
        <v>11.560006399999999</v>
      </c>
      <c r="K471" s="101">
        <v>45</v>
      </c>
    </row>
    <row r="472" spans="1:11" s="38" customFormat="1" ht="18.75">
      <c r="A472" s="43"/>
      <c r="B472" s="102" t="s">
        <v>337</v>
      </c>
      <c r="C472" s="100">
        <v>20</v>
      </c>
      <c r="D472" s="56"/>
      <c r="E472" s="45"/>
      <c r="F472" s="58"/>
      <c r="G472" s="45"/>
      <c r="H472" s="45"/>
      <c r="I472" s="82">
        <f t="shared" si="26"/>
        <v>0</v>
      </c>
      <c r="J472" s="83">
        <f t="shared" si="27"/>
        <v>0</v>
      </c>
      <c r="K472" s="101">
        <f t="shared" si="28"/>
        <v>0</v>
      </c>
    </row>
    <row r="473" spans="1:11" s="38" customFormat="1" ht="18.75">
      <c r="A473" s="43" t="s">
        <v>279</v>
      </c>
      <c r="B473" s="99" t="s">
        <v>475</v>
      </c>
      <c r="C473" s="100"/>
      <c r="D473" s="56">
        <f>((53857.76/1925)/60)*20</f>
        <v>9.326019047619047</v>
      </c>
      <c r="E473" s="45">
        <f>D473*22%</f>
        <v>2.0517241904761905</v>
      </c>
      <c r="F473" s="58"/>
      <c r="G473" s="45">
        <f>C474*0.924</f>
        <v>18.48</v>
      </c>
      <c r="H473" s="45">
        <f>D473*0.34</f>
        <v>3.170846476190476</v>
      </c>
      <c r="I473" s="82">
        <f t="shared" si="26"/>
        <v>33.028589714285715</v>
      </c>
      <c r="J473" s="83">
        <f t="shared" si="27"/>
        <v>11.560006399999999</v>
      </c>
      <c r="K473" s="101">
        <v>45</v>
      </c>
    </row>
    <row r="474" spans="1:11" s="38" customFormat="1" ht="18.75">
      <c r="A474" s="43"/>
      <c r="B474" s="102" t="s">
        <v>337</v>
      </c>
      <c r="C474" s="100">
        <v>20</v>
      </c>
      <c r="D474" s="56"/>
      <c r="E474" s="45"/>
      <c r="F474" s="58"/>
      <c r="G474" s="45"/>
      <c r="H474" s="45"/>
      <c r="I474" s="82">
        <f t="shared" si="26"/>
        <v>0</v>
      </c>
      <c r="J474" s="83">
        <f t="shared" si="27"/>
        <v>0</v>
      </c>
      <c r="K474" s="101">
        <f t="shared" si="28"/>
        <v>0</v>
      </c>
    </row>
    <row r="475" spans="1:11" s="38" customFormat="1" ht="18.75">
      <c r="A475" s="43" t="s">
        <v>281</v>
      </c>
      <c r="B475" s="99" t="s">
        <v>476</v>
      </c>
      <c r="C475" s="100"/>
      <c r="D475" s="56">
        <f>((53857.76/1925)/60)*15</f>
        <v>6.9945142857142857</v>
      </c>
      <c r="E475" s="45">
        <f>D475*22%</f>
        <v>1.5387931428571429</v>
      </c>
      <c r="F475" s="58"/>
      <c r="G475" s="45">
        <f>C476*0.924</f>
        <v>13.860000000000001</v>
      </c>
      <c r="H475" s="45">
        <f>D475*0.34</f>
        <v>2.3781348571428573</v>
      </c>
      <c r="I475" s="82">
        <f t="shared" si="26"/>
        <v>24.771442285714286</v>
      </c>
      <c r="J475" s="83">
        <f t="shared" si="27"/>
        <v>8.6700047999999992</v>
      </c>
      <c r="K475" s="101">
        <v>33</v>
      </c>
    </row>
    <row r="476" spans="1:11" s="38" customFormat="1" ht="18.75">
      <c r="A476" s="43"/>
      <c r="B476" s="102" t="s">
        <v>337</v>
      </c>
      <c r="C476" s="100">
        <v>15</v>
      </c>
      <c r="D476" s="56"/>
      <c r="E476" s="45"/>
      <c r="F476" s="58"/>
      <c r="G476" s="45"/>
      <c r="H476" s="45"/>
      <c r="I476" s="82">
        <f t="shared" si="26"/>
        <v>0</v>
      </c>
      <c r="J476" s="83">
        <f t="shared" si="27"/>
        <v>0</v>
      </c>
      <c r="K476" s="101">
        <f t="shared" si="28"/>
        <v>0</v>
      </c>
    </row>
    <row r="477" spans="1:11" s="38" customFormat="1" ht="18.75">
      <c r="A477" s="43" t="s">
        <v>283</v>
      </c>
      <c r="B477" s="99" t="s">
        <v>477</v>
      </c>
      <c r="C477" s="100"/>
      <c r="D477" s="56">
        <f>((53857.76/1925)/60)*20</f>
        <v>9.326019047619047</v>
      </c>
      <c r="E477" s="45">
        <f>D477*22%</f>
        <v>2.0517241904761905</v>
      </c>
      <c r="F477" s="58"/>
      <c r="G477" s="45">
        <f>C478*0.924</f>
        <v>18.48</v>
      </c>
      <c r="H477" s="45">
        <f>D477*0.34</f>
        <v>3.170846476190476</v>
      </c>
      <c r="I477" s="82">
        <f t="shared" si="26"/>
        <v>33.028589714285715</v>
      </c>
      <c r="J477" s="83">
        <f t="shared" si="27"/>
        <v>11.560006399999999</v>
      </c>
      <c r="K477" s="101">
        <v>45</v>
      </c>
    </row>
    <row r="478" spans="1:11" s="38" customFormat="1" ht="18.75">
      <c r="A478" s="43"/>
      <c r="B478" s="102" t="s">
        <v>337</v>
      </c>
      <c r="C478" s="100">
        <v>20</v>
      </c>
      <c r="D478" s="56"/>
      <c r="E478" s="45"/>
      <c r="F478" s="58"/>
      <c r="G478" s="45"/>
      <c r="H478" s="45"/>
      <c r="I478" s="82">
        <f t="shared" si="26"/>
        <v>0</v>
      </c>
      <c r="J478" s="83">
        <f t="shared" si="27"/>
        <v>0</v>
      </c>
      <c r="K478" s="101">
        <f t="shared" si="28"/>
        <v>0</v>
      </c>
    </row>
    <row r="479" spans="1:11" s="38" customFormat="1" ht="18.75">
      <c r="A479" s="43" t="s">
        <v>285</v>
      </c>
      <c r="B479" s="99" t="s">
        <v>478</v>
      </c>
      <c r="C479" s="100"/>
      <c r="D479" s="56">
        <f>((53857.76/1925)/60)*10</f>
        <v>4.6630095238095235</v>
      </c>
      <c r="E479" s="45">
        <f>D479*22%</f>
        <v>1.0258620952380952</v>
      </c>
      <c r="F479" s="58"/>
      <c r="G479" s="45">
        <f>C480*0.924</f>
        <v>9.24</v>
      </c>
      <c r="H479" s="45">
        <f>D479*0.34</f>
        <v>1.585423238095238</v>
      </c>
      <c r="I479" s="82">
        <f t="shared" si="26"/>
        <v>16.514294857142858</v>
      </c>
      <c r="J479" s="83">
        <f t="shared" si="27"/>
        <v>5.7800031999999995</v>
      </c>
      <c r="K479" s="101">
        <v>22</v>
      </c>
    </row>
    <row r="480" spans="1:11" s="38" customFormat="1" ht="18.75">
      <c r="A480" s="43"/>
      <c r="B480" s="102" t="s">
        <v>337</v>
      </c>
      <c r="C480" s="100">
        <v>10</v>
      </c>
      <c r="D480" s="56"/>
      <c r="E480" s="45"/>
      <c r="F480" s="58"/>
      <c r="G480" s="45"/>
      <c r="H480" s="45"/>
      <c r="I480" s="82">
        <f t="shared" si="26"/>
        <v>0</v>
      </c>
      <c r="J480" s="83">
        <f t="shared" si="27"/>
        <v>0</v>
      </c>
      <c r="K480" s="101">
        <f t="shared" si="28"/>
        <v>0</v>
      </c>
    </row>
    <row r="481" spans="1:53" s="38" customFormat="1" ht="18.75">
      <c r="A481" s="43" t="s">
        <v>287</v>
      </c>
      <c r="B481" s="99" t="s">
        <v>479</v>
      </c>
      <c r="C481" s="100"/>
      <c r="D481" s="56">
        <f>((53857.76/1925)/60)*45</f>
        <v>20.983542857142858</v>
      </c>
      <c r="E481" s="45">
        <f>D481*22%</f>
        <v>4.6163794285714284</v>
      </c>
      <c r="F481" s="58"/>
      <c r="G481" s="45">
        <f>C482*0.924</f>
        <v>41.580000000000005</v>
      </c>
      <c r="H481" s="45">
        <f>D481*0.34</f>
        <v>7.134404571428572</v>
      </c>
      <c r="I481" s="82">
        <f t="shared" si="26"/>
        <v>74.314326857142859</v>
      </c>
      <c r="J481" s="83">
        <f t="shared" si="27"/>
        <v>26.010014399999999</v>
      </c>
      <c r="K481" s="101">
        <v>100</v>
      </c>
    </row>
    <row r="482" spans="1:53" s="38" customFormat="1" ht="18.75">
      <c r="A482" s="43"/>
      <c r="B482" s="102" t="s">
        <v>337</v>
      </c>
      <c r="C482" s="100">
        <v>45</v>
      </c>
      <c r="D482" s="56"/>
      <c r="E482" s="45"/>
      <c r="F482" s="58"/>
      <c r="G482" s="45"/>
      <c r="H482" s="45"/>
      <c r="I482" s="82">
        <f t="shared" si="26"/>
        <v>0</v>
      </c>
      <c r="J482" s="83">
        <f t="shared" si="27"/>
        <v>0</v>
      </c>
      <c r="K482" s="101">
        <f t="shared" si="28"/>
        <v>0</v>
      </c>
    </row>
    <row r="483" spans="1:53" s="38" customFormat="1" ht="18.75">
      <c r="A483" s="43" t="s">
        <v>289</v>
      </c>
      <c r="B483" s="99" t="s">
        <v>480</v>
      </c>
      <c r="C483" s="100"/>
      <c r="D483" s="56">
        <f>((53857.76/1925)/60)*10</f>
        <v>4.6630095238095235</v>
      </c>
      <c r="E483" s="45">
        <f>D483*22%</f>
        <v>1.0258620952380952</v>
      </c>
      <c r="F483" s="58"/>
      <c r="G483" s="45">
        <f>C484*0.924</f>
        <v>9.24</v>
      </c>
      <c r="H483" s="45">
        <f>D483*0.34</f>
        <v>1.585423238095238</v>
      </c>
      <c r="I483" s="82">
        <f t="shared" si="26"/>
        <v>16.514294857142858</v>
      </c>
      <c r="J483" s="83">
        <f t="shared" si="27"/>
        <v>5.7800031999999995</v>
      </c>
      <c r="K483" s="101">
        <v>22</v>
      </c>
    </row>
    <row r="484" spans="1:53" s="38" customFormat="1" ht="18.75">
      <c r="A484" s="43"/>
      <c r="B484" s="102" t="s">
        <v>337</v>
      </c>
      <c r="C484" s="100">
        <v>10</v>
      </c>
      <c r="D484" s="56"/>
      <c r="E484" s="45"/>
      <c r="F484" s="58"/>
      <c r="G484" s="45"/>
      <c r="H484" s="45"/>
      <c r="I484" s="82">
        <f t="shared" si="26"/>
        <v>0</v>
      </c>
      <c r="J484" s="83">
        <f t="shared" si="27"/>
        <v>0</v>
      </c>
      <c r="K484" s="101">
        <f t="shared" si="28"/>
        <v>0</v>
      </c>
    </row>
    <row r="485" spans="1:53" s="38" customFormat="1" ht="18.75">
      <c r="A485" s="43" t="s">
        <v>293</v>
      </c>
      <c r="B485" s="99" t="s">
        <v>72</v>
      </c>
      <c r="C485" s="100"/>
      <c r="D485" s="56">
        <f>((53971.12/1925)/60)*20</f>
        <v>9.3456484848484855</v>
      </c>
      <c r="E485" s="45">
        <f>D485*22%</f>
        <v>2.0560426666666669</v>
      </c>
      <c r="F485" s="58"/>
      <c r="G485" s="45">
        <f>C486*0.924</f>
        <v>18.48</v>
      </c>
      <c r="H485" s="45">
        <f>D485*0.34</f>
        <v>3.1775204848484853</v>
      </c>
      <c r="I485" s="82">
        <f t="shared" si="26"/>
        <v>33.059211636363642</v>
      </c>
      <c r="J485" s="83">
        <f t="shared" si="27"/>
        <v>11.570724072727273</v>
      </c>
      <c r="K485" s="101">
        <v>45</v>
      </c>
    </row>
    <row r="486" spans="1:53" s="38" customFormat="1" ht="18.75">
      <c r="A486" s="43"/>
      <c r="B486" s="102" t="s">
        <v>337</v>
      </c>
      <c r="C486" s="100">
        <v>20</v>
      </c>
      <c r="D486" s="56"/>
      <c r="E486" s="45"/>
      <c r="F486" s="58"/>
      <c r="G486" s="45"/>
      <c r="H486" s="45"/>
      <c r="I486" s="82">
        <f t="shared" si="26"/>
        <v>0</v>
      </c>
      <c r="J486" s="83">
        <f t="shared" si="27"/>
        <v>0</v>
      </c>
      <c r="K486" s="101">
        <f t="shared" si="28"/>
        <v>0</v>
      </c>
    </row>
    <row r="487" spans="1:53" s="38" customFormat="1" ht="18.75">
      <c r="A487" s="43" t="s">
        <v>300</v>
      </c>
      <c r="B487" s="99" t="s">
        <v>481</v>
      </c>
      <c r="C487" s="100"/>
      <c r="D487" s="56">
        <f>((53971.12/1925)/60)*20</f>
        <v>9.3456484848484855</v>
      </c>
      <c r="E487" s="45">
        <f>D487*22%</f>
        <v>2.0560426666666669</v>
      </c>
      <c r="F487" s="58">
        <v>22.93</v>
      </c>
      <c r="G487" s="45">
        <f>C488*0.924</f>
        <v>18.48</v>
      </c>
      <c r="H487" s="45">
        <f>D487*0.34</f>
        <v>3.1775204848484853</v>
      </c>
      <c r="I487" s="82">
        <f t="shared" si="26"/>
        <v>55.989211636363635</v>
      </c>
      <c r="J487" s="83">
        <f t="shared" si="27"/>
        <v>19.596224072727271</v>
      </c>
      <c r="K487" s="101">
        <v>76</v>
      </c>
    </row>
    <row r="488" spans="1:53" s="38" customFormat="1" ht="18.75">
      <c r="A488" s="43"/>
      <c r="B488" s="102" t="s">
        <v>337</v>
      </c>
      <c r="C488" s="100">
        <v>20</v>
      </c>
      <c r="D488" s="56"/>
      <c r="E488" s="45"/>
      <c r="F488" s="58"/>
      <c r="G488" s="45"/>
      <c r="H488" s="45"/>
      <c r="I488" s="82">
        <f t="shared" si="26"/>
        <v>0</v>
      </c>
      <c r="J488" s="83">
        <f t="shared" si="27"/>
        <v>0</v>
      </c>
      <c r="K488" s="101">
        <f t="shared" si="28"/>
        <v>0</v>
      </c>
    </row>
    <row r="489" spans="1:53" s="105" customFormat="1" ht="18.75">
      <c r="A489" s="43" t="s">
        <v>323</v>
      </c>
      <c r="B489" s="99" t="s">
        <v>482</v>
      </c>
      <c r="C489" s="100"/>
      <c r="D489" s="56">
        <f>((53971.12/1925)/60)*15</f>
        <v>7.0092363636363642</v>
      </c>
      <c r="E489" s="45">
        <f>D489*22%</f>
        <v>1.5420320000000001</v>
      </c>
      <c r="F489" s="58">
        <v>51.04</v>
      </c>
      <c r="G489" s="45">
        <f>C490*0.924</f>
        <v>13.860000000000001</v>
      </c>
      <c r="H489" s="45">
        <f>D489*0.34</f>
        <v>2.3831403636363642</v>
      </c>
      <c r="I489" s="82">
        <f t="shared" si="26"/>
        <v>75.834408727272731</v>
      </c>
      <c r="J489" s="83">
        <f t="shared" si="27"/>
        <v>26.542043054545456</v>
      </c>
      <c r="K489" s="101">
        <v>102</v>
      </c>
      <c r="L489" s="104"/>
      <c r="M489" s="104"/>
      <c r="N489" s="104"/>
      <c r="O489" s="104"/>
      <c r="P489" s="104"/>
      <c r="Q489" s="104"/>
      <c r="R489" s="104"/>
      <c r="S489" s="104"/>
      <c r="T489" s="104"/>
      <c r="U489" s="104"/>
      <c r="V489" s="104"/>
      <c r="W489" s="104"/>
      <c r="X489" s="104"/>
      <c r="Y489" s="104"/>
      <c r="Z489" s="104"/>
      <c r="AA489" s="104"/>
      <c r="AB489" s="104"/>
      <c r="AC489" s="104"/>
      <c r="AD489" s="104"/>
      <c r="AE489" s="104"/>
      <c r="AF489" s="104"/>
      <c r="AG489" s="104"/>
      <c r="AH489" s="104"/>
      <c r="AI489" s="104"/>
      <c r="AJ489" s="104"/>
      <c r="AK489" s="104"/>
      <c r="AL489" s="104"/>
      <c r="AM489" s="104"/>
      <c r="AN489" s="104"/>
      <c r="AO489" s="104"/>
      <c r="AP489" s="104"/>
      <c r="AQ489" s="104"/>
      <c r="AR489" s="104"/>
      <c r="AS489" s="104"/>
      <c r="AT489" s="104"/>
      <c r="AU489" s="104"/>
      <c r="AV489" s="104"/>
      <c r="AW489" s="104"/>
      <c r="AX489" s="104"/>
      <c r="AY489" s="104"/>
      <c r="AZ489" s="104"/>
      <c r="BA489" s="104"/>
    </row>
    <row r="490" spans="1:53" s="105" customFormat="1" ht="18.75">
      <c r="A490" s="43"/>
      <c r="B490" s="102" t="s">
        <v>337</v>
      </c>
      <c r="C490" s="100">
        <v>15</v>
      </c>
      <c r="D490" s="56"/>
      <c r="E490" s="45"/>
      <c r="F490" s="58"/>
      <c r="G490" s="45"/>
      <c r="H490" s="45"/>
      <c r="I490" s="82">
        <f t="shared" si="26"/>
        <v>0</v>
      </c>
      <c r="J490" s="83">
        <f t="shared" si="27"/>
        <v>0</v>
      </c>
      <c r="K490" s="101">
        <f t="shared" si="28"/>
        <v>0</v>
      </c>
      <c r="L490" s="104"/>
      <c r="M490" s="104"/>
      <c r="N490" s="104"/>
      <c r="O490" s="104"/>
      <c r="P490" s="104"/>
      <c r="Q490" s="104"/>
      <c r="R490" s="104"/>
      <c r="S490" s="104"/>
      <c r="T490" s="104"/>
      <c r="U490" s="104"/>
      <c r="V490" s="104"/>
      <c r="W490" s="104"/>
      <c r="X490" s="104"/>
      <c r="Y490" s="104"/>
      <c r="Z490" s="104"/>
      <c r="AA490" s="104"/>
      <c r="AB490" s="104"/>
      <c r="AC490" s="104"/>
      <c r="AD490" s="104"/>
      <c r="AE490" s="104"/>
      <c r="AF490" s="104"/>
      <c r="AG490" s="104"/>
      <c r="AH490" s="104"/>
      <c r="AI490" s="104"/>
      <c r="AJ490" s="104"/>
      <c r="AK490" s="104"/>
      <c r="AL490" s="104"/>
      <c r="AM490" s="104"/>
      <c r="AN490" s="104"/>
      <c r="AO490" s="104"/>
      <c r="AP490" s="104"/>
      <c r="AQ490" s="104"/>
      <c r="AR490" s="104"/>
      <c r="AS490" s="104"/>
      <c r="AT490" s="104"/>
      <c r="AU490" s="104"/>
      <c r="AV490" s="104"/>
      <c r="AW490" s="104"/>
      <c r="AX490" s="104"/>
      <c r="AY490" s="104"/>
      <c r="AZ490" s="104"/>
      <c r="BA490" s="104"/>
    </row>
    <row r="491" spans="1:53" s="105" customFormat="1" ht="18.75">
      <c r="A491" s="43" t="s">
        <v>325</v>
      </c>
      <c r="B491" s="99" t="s">
        <v>483</v>
      </c>
      <c r="C491" s="100"/>
      <c r="D491" s="56">
        <f>((53971.12/1925)/60)*10</f>
        <v>4.6728242424242428</v>
      </c>
      <c r="E491" s="45">
        <f>D491*22%</f>
        <v>1.0280213333333335</v>
      </c>
      <c r="F491" s="58"/>
      <c r="G491" s="45">
        <f>C492*0.924</f>
        <v>9.24</v>
      </c>
      <c r="H491" s="45">
        <f>D491*0.34</f>
        <v>1.5887602424242426</v>
      </c>
      <c r="I491" s="82">
        <f t="shared" si="26"/>
        <v>16.529605818181821</v>
      </c>
      <c r="J491" s="83">
        <f t="shared" si="27"/>
        <v>5.7853620363636367</v>
      </c>
      <c r="K491" s="101">
        <v>22</v>
      </c>
      <c r="L491" s="104"/>
      <c r="M491" s="104"/>
      <c r="N491" s="104"/>
      <c r="O491" s="104"/>
      <c r="P491" s="104"/>
      <c r="Q491" s="104"/>
      <c r="R491" s="104"/>
      <c r="S491" s="104"/>
      <c r="T491" s="104"/>
      <c r="U491" s="104"/>
      <c r="V491" s="104"/>
      <c r="W491" s="104"/>
      <c r="X491" s="104"/>
      <c r="Y491" s="104"/>
      <c r="Z491" s="104"/>
      <c r="AA491" s="104"/>
      <c r="AB491" s="104"/>
      <c r="AC491" s="104"/>
      <c r="AD491" s="104"/>
      <c r="AE491" s="104"/>
      <c r="AF491" s="104"/>
      <c r="AG491" s="104"/>
      <c r="AH491" s="104"/>
      <c r="AI491" s="104"/>
      <c r="AJ491" s="104"/>
      <c r="AK491" s="104"/>
      <c r="AL491" s="104"/>
      <c r="AM491" s="104"/>
      <c r="AN491" s="104"/>
      <c r="AO491" s="104"/>
      <c r="AP491" s="104"/>
      <c r="AQ491" s="104"/>
      <c r="AR491" s="104"/>
      <c r="AS491" s="104"/>
      <c r="AT491" s="104"/>
      <c r="AU491" s="104"/>
      <c r="AV491" s="104"/>
      <c r="AW491" s="104"/>
      <c r="AX491" s="104"/>
      <c r="AY491" s="104"/>
      <c r="AZ491" s="104"/>
      <c r="BA491" s="104"/>
    </row>
    <row r="492" spans="1:53" s="105" customFormat="1" ht="18.75">
      <c r="A492" s="43"/>
      <c r="B492" s="102" t="s">
        <v>337</v>
      </c>
      <c r="C492" s="100">
        <v>10</v>
      </c>
      <c r="D492" s="56"/>
      <c r="E492" s="45"/>
      <c r="F492" s="58"/>
      <c r="G492" s="45"/>
      <c r="H492" s="45"/>
      <c r="I492" s="82">
        <f t="shared" si="26"/>
        <v>0</v>
      </c>
      <c r="J492" s="83">
        <f t="shared" si="27"/>
        <v>0</v>
      </c>
      <c r="K492" s="101">
        <f t="shared" si="28"/>
        <v>0</v>
      </c>
      <c r="L492" s="104"/>
      <c r="M492" s="104"/>
      <c r="N492" s="104"/>
      <c r="O492" s="104"/>
      <c r="P492" s="104"/>
      <c r="Q492" s="104"/>
      <c r="R492" s="104"/>
      <c r="S492" s="104"/>
      <c r="T492" s="104"/>
      <c r="U492" s="104"/>
      <c r="V492" s="104"/>
      <c r="W492" s="104"/>
      <c r="X492" s="104"/>
      <c r="Y492" s="104"/>
      <c r="Z492" s="104"/>
      <c r="AA492" s="104"/>
      <c r="AB492" s="104"/>
      <c r="AC492" s="104"/>
      <c r="AD492" s="104"/>
      <c r="AE492" s="104"/>
      <c r="AF492" s="104"/>
      <c r="AG492" s="104"/>
      <c r="AH492" s="104"/>
      <c r="AI492" s="104"/>
      <c r="AJ492" s="104"/>
      <c r="AK492" s="104"/>
      <c r="AL492" s="104"/>
      <c r="AM492" s="104"/>
      <c r="AN492" s="104"/>
      <c r="AO492" s="104"/>
      <c r="AP492" s="104"/>
      <c r="AQ492" s="104"/>
      <c r="AR492" s="104"/>
      <c r="AS492" s="104"/>
      <c r="AT492" s="104"/>
      <c r="AU492" s="104"/>
      <c r="AV492" s="104"/>
      <c r="AW492" s="104"/>
      <c r="AX492" s="104"/>
      <c r="AY492" s="104"/>
      <c r="AZ492" s="104"/>
      <c r="BA492" s="104"/>
    </row>
    <row r="493" spans="1:53" s="105" customFormat="1" ht="18.75">
      <c r="A493" s="43" t="s">
        <v>329</v>
      </c>
      <c r="B493" s="99" t="s">
        <v>484</v>
      </c>
      <c r="C493" s="100"/>
      <c r="D493" s="56">
        <f>((53971.12/1925)/60)*20</f>
        <v>9.3456484848484855</v>
      </c>
      <c r="E493" s="45">
        <f>D493*22%</f>
        <v>2.0560426666666669</v>
      </c>
      <c r="F493" s="58"/>
      <c r="G493" s="45">
        <f>C494*0.924</f>
        <v>18.48</v>
      </c>
      <c r="H493" s="45">
        <f>D493*0.34</f>
        <v>3.1775204848484853</v>
      </c>
      <c r="I493" s="82">
        <f t="shared" si="26"/>
        <v>33.059211636363642</v>
      </c>
      <c r="J493" s="83">
        <f t="shared" si="27"/>
        <v>11.570724072727273</v>
      </c>
      <c r="K493" s="101">
        <v>45</v>
      </c>
      <c r="L493" s="104"/>
      <c r="M493" s="104"/>
      <c r="N493" s="104"/>
      <c r="O493" s="104"/>
      <c r="P493" s="104"/>
      <c r="Q493" s="104"/>
      <c r="R493" s="104"/>
      <c r="S493" s="104"/>
      <c r="T493" s="104"/>
      <c r="U493" s="104"/>
      <c r="V493" s="104"/>
      <c r="W493" s="104"/>
      <c r="X493" s="104"/>
      <c r="Y493" s="104"/>
      <c r="Z493" s="104"/>
      <c r="AA493" s="104"/>
      <c r="AB493" s="104"/>
      <c r="AC493" s="104"/>
      <c r="AD493" s="104"/>
      <c r="AE493" s="104"/>
      <c r="AF493" s="104"/>
      <c r="AG493" s="104"/>
      <c r="AH493" s="104"/>
      <c r="AI493" s="104"/>
      <c r="AJ493" s="104"/>
      <c r="AK493" s="104"/>
      <c r="AL493" s="104"/>
      <c r="AM493" s="104"/>
      <c r="AN493" s="104"/>
      <c r="AO493" s="104"/>
      <c r="AP493" s="104"/>
      <c r="AQ493" s="104"/>
      <c r="AR493" s="104"/>
      <c r="AS493" s="104"/>
      <c r="AT493" s="104"/>
      <c r="AU493" s="104"/>
      <c r="AV493" s="104"/>
      <c r="AW493" s="104"/>
      <c r="AX493" s="104"/>
      <c r="AY493" s="104"/>
      <c r="AZ493" s="104"/>
      <c r="BA493" s="104"/>
    </row>
    <row r="494" spans="1:53" s="105" customFormat="1" ht="18.75">
      <c r="A494" s="43"/>
      <c r="B494" s="102" t="s">
        <v>337</v>
      </c>
      <c r="C494" s="100">
        <v>20</v>
      </c>
      <c r="D494" s="56"/>
      <c r="E494" s="45"/>
      <c r="F494" s="58"/>
      <c r="G494" s="45"/>
      <c r="H494" s="45"/>
      <c r="I494" s="82">
        <f t="shared" si="26"/>
        <v>0</v>
      </c>
      <c r="J494" s="83">
        <f t="shared" si="27"/>
        <v>0</v>
      </c>
      <c r="K494" s="101">
        <f t="shared" si="28"/>
        <v>0</v>
      </c>
      <c r="L494" s="104"/>
      <c r="M494" s="104"/>
      <c r="N494" s="104"/>
      <c r="O494" s="104"/>
      <c r="P494" s="104"/>
      <c r="Q494" s="104"/>
      <c r="R494" s="104"/>
      <c r="S494" s="104"/>
      <c r="T494" s="104"/>
      <c r="U494" s="104"/>
      <c r="V494" s="104"/>
      <c r="W494" s="104"/>
      <c r="X494" s="104"/>
      <c r="Y494" s="104"/>
      <c r="Z494" s="104"/>
      <c r="AA494" s="104"/>
      <c r="AB494" s="104"/>
      <c r="AC494" s="104"/>
      <c r="AD494" s="104"/>
      <c r="AE494" s="104"/>
      <c r="AF494" s="104"/>
      <c r="AG494" s="104"/>
      <c r="AH494" s="104"/>
      <c r="AI494" s="104"/>
      <c r="AJ494" s="104"/>
      <c r="AK494" s="104"/>
      <c r="AL494" s="104"/>
      <c r="AM494" s="104"/>
      <c r="AN494" s="104"/>
      <c r="AO494" s="104"/>
      <c r="AP494" s="104"/>
      <c r="AQ494" s="104"/>
      <c r="AR494" s="104"/>
      <c r="AS494" s="104"/>
      <c r="AT494" s="104"/>
      <c r="AU494" s="104"/>
      <c r="AV494" s="104"/>
      <c r="AW494" s="104"/>
      <c r="AX494" s="104"/>
      <c r="AY494" s="104"/>
      <c r="AZ494" s="104"/>
      <c r="BA494" s="104"/>
    </row>
    <row r="495" spans="1:53" s="105" customFormat="1" ht="18.75">
      <c r="A495" s="43" t="s">
        <v>331</v>
      </c>
      <c r="B495" s="99" t="s">
        <v>485</v>
      </c>
      <c r="C495" s="100"/>
      <c r="D495" s="56">
        <f>((53971.12/1925)/60)*10</f>
        <v>4.6728242424242428</v>
      </c>
      <c r="E495" s="45">
        <f>D495*22%</f>
        <v>1.0280213333333335</v>
      </c>
      <c r="F495" s="58">
        <v>0.38</v>
      </c>
      <c r="G495" s="45">
        <f>C496*0.924</f>
        <v>9.24</v>
      </c>
      <c r="H495" s="45">
        <f>D495*0.34</f>
        <v>1.5887602424242426</v>
      </c>
      <c r="I495" s="82">
        <f t="shared" si="26"/>
        <v>16.90960581818182</v>
      </c>
      <c r="J495" s="83">
        <f t="shared" si="27"/>
        <v>5.9183620363636367</v>
      </c>
      <c r="K495" s="101">
        <v>23</v>
      </c>
      <c r="L495" s="104"/>
      <c r="M495" s="104"/>
      <c r="N495" s="104"/>
      <c r="O495" s="104"/>
      <c r="P495" s="104"/>
      <c r="Q495" s="104"/>
      <c r="R495" s="104"/>
      <c r="S495" s="104"/>
      <c r="T495" s="104"/>
      <c r="U495" s="104"/>
      <c r="V495" s="104"/>
      <c r="W495" s="104"/>
      <c r="X495" s="104"/>
      <c r="Y495" s="104"/>
      <c r="Z495" s="104"/>
      <c r="AA495" s="104"/>
      <c r="AB495" s="104"/>
      <c r="AC495" s="104"/>
      <c r="AD495" s="104"/>
      <c r="AE495" s="104"/>
      <c r="AF495" s="104"/>
      <c r="AG495" s="104"/>
      <c r="AH495" s="104"/>
      <c r="AI495" s="104"/>
      <c r="AJ495" s="104"/>
      <c r="AK495" s="104"/>
      <c r="AL495" s="104"/>
      <c r="AM495" s="104"/>
      <c r="AN495" s="104"/>
      <c r="AO495" s="104"/>
      <c r="AP495" s="104"/>
      <c r="AQ495" s="104"/>
      <c r="AR495" s="104"/>
      <c r="AS495" s="104"/>
      <c r="AT495" s="104"/>
      <c r="AU495" s="104"/>
      <c r="AV495" s="104"/>
      <c r="AW495" s="104"/>
      <c r="AX495" s="104"/>
      <c r="AY495" s="104"/>
      <c r="AZ495" s="104"/>
      <c r="BA495" s="104"/>
    </row>
    <row r="496" spans="1:53" s="105" customFormat="1" ht="18.75">
      <c r="A496" s="43"/>
      <c r="B496" s="102" t="s">
        <v>337</v>
      </c>
      <c r="C496" s="100">
        <v>10</v>
      </c>
      <c r="D496" s="56"/>
      <c r="E496" s="45"/>
      <c r="F496" s="58"/>
      <c r="G496" s="45"/>
      <c r="H496" s="45"/>
      <c r="I496" s="82">
        <f t="shared" si="26"/>
        <v>0</v>
      </c>
      <c r="J496" s="83">
        <f t="shared" si="27"/>
        <v>0</v>
      </c>
      <c r="K496" s="101">
        <f t="shared" si="28"/>
        <v>0</v>
      </c>
      <c r="L496" s="104"/>
      <c r="M496" s="104"/>
      <c r="N496" s="104"/>
      <c r="O496" s="104"/>
      <c r="P496" s="104"/>
      <c r="Q496" s="104"/>
      <c r="R496" s="104"/>
      <c r="S496" s="104"/>
      <c r="T496" s="104"/>
      <c r="U496" s="104"/>
      <c r="V496" s="104"/>
      <c r="W496" s="104"/>
      <c r="X496" s="104"/>
      <c r="Y496" s="104"/>
      <c r="Z496" s="104"/>
      <c r="AA496" s="104"/>
      <c r="AB496" s="104"/>
      <c r="AC496" s="104"/>
      <c r="AD496" s="104"/>
      <c r="AE496" s="104"/>
      <c r="AF496" s="104"/>
      <c r="AG496" s="104"/>
      <c r="AH496" s="104"/>
      <c r="AI496" s="104"/>
      <c r="AJ496" s="104"/>
      <c r="AK496" s="104"/>
      <c r="AL496" s="104"/>
      <c r="AM496" s="104"/>
      <c r="AN496" s="104"/>
      <c r="AO496" s="104"/>
      <c r="AP496" s="104"/>
      <c r="AQ496" s="104"/>
      <c r="AR496" s="104"/>
      <c r="AS496" s="104"/>
      <c r="AT496" s="104"/>
      <c r="AU496" s="104"/>
      <c r="AV496" s="104"/>
      <c r="AW496" s="104"/>
      <c r="AX496" s="104"/>
      <c r="AY496" s="104"/>
      <c r="AZ496" s="104"/>
      <c r="BA496" s="104"/>
    </row>
    <row r="497" spans="1:53" s="105" customFormat="1" ht="18.75">
      <c r="A497" s="43" t="s">
        <v>333</v>
      </c>
      <c r="B497" s="99" t="s">
        <v>486</v>
      </c>
      <c r="C497" s="103"/>
      <c r="D497" s="56">
        <f>((53971.12/1925)/60)*20</f>
        <v>9.3456484848484855</v>
      </c>
      <c r="E497" s="45">
        <f>D497*22%</f>
        <v>2.0560426666666669</v>
      </c>
      <c r="F497" s="58"/>
      <c r="G497" s="45">
        <f>C498*0.924</f>
        <v>18.48</v>
      </c>
      <c r="H497" s="45">
        <f>D497*0.34</f>
        <v>3.1775204848484853</v>
      </c>
      <c r="I497" s="82">
        <f t="shared" si="26"/>
        <v>33.059211636363642</v>
      </c>
      <c r="J497" s="83">
        <f t="shared" si="27"/>
        <v>11.570724072727273</v>
      </c>
      <c r="K497" s="101">
        <v>45</v>
      </c>
      <c r="L497" s="104"/>
      <c r="M497" s="104"/>
      <c r="N497" s="104"/>
      <c r="O497" s="104"/>
      <c r="P497" s="104"/>
      <c r="Q497" s="104"/>
      <c r="R497" s="104"/>
      <c r="S497" s="104"/>
      <c r="T497" s="104"/>
      <c r="U497" s="104"/>
      <c r="V497" s="104"/>
      <c r="W497" s="104"/>
      <c r="X497" s="104"/>
      <c r="Y497" s="104"/>
      <c r="Z497" s="104"/>
      <c r="AA497" s="104"/>
      <c r="AB497" s="104"/>
      <c r="AC497" s="104"/>
      <c r="AD497" s="104"/>
      <c r="AE497" s="104"/>
      <c r="AF497" s="104"/>
      <c r="AG497" s="104"/>
      <c r="AH497" s="104"/>
      <c r="AI497" s="104"/>
      <c r="AJ497" s="104"/>
      <c r="AK497" s="104"/>
      <c r="AL497" s="104"/>
      <c r="AM497" s="104"/>
      <c r="AN497" s="104"/>
      <c r="AO497" s="104"/>
      <c r="AP497" s="104"/>
      <c r="AQ497" s="104"/>
      <c r="AR497" s="104"/>
      <c r="AS497" s="104"/>
      <c r="AT497" s="104"/>
      <c r="AU497" s="104"/>
      <c r="AV497" s="104"/>
      <c r="AW497" s="104"/>
      <c r="AX497" s="104"/>
      <c r="AY497" s="104"/>
      <c r="AZ497" s="104"/>
      <c r="BA497" s="104"/>
    </row>
    <row r="498" spans="1:53" s="105" customFormat="1" ht="18.75">
      <c r="A498" s="43"/>
      <c r="B498" s="102" t="s">
        <v>337</v>
      </c>
      <c r="C498" s="103">
        <v>20</v>
      </c>
      <c r="D498" s="56"/>
      <c r="E498" s="45"/>
      <c r="F498" s="58"/>
      <c r="G498" s="45"/>
      <c r="H498" s="45"/>
      <c r="I498" s="82">
        <f t="shared" si="26"/>
        <v>0</v>
      </c>
      <c r="J498" s="83">
        <f t="shared" si="27"/>
        <v>0</v>
      </c>
      <c r="K498" s="101">
        <f t="shared" si="28"/>
        <v>0</v>
      </c>
      <c r="L498" s="104"/>
      <c r="M498" s="104"/>
      <c r="N498" s="104"/>
      <c r="O498" s="104"/>
      <c r="P498" s="104"/>
      <c r="Q498" s="104"/>
      <c r="R498" s="104"/>
      <c r="S498" s="104"/>
      <c r="T498" s="104"/>
      <c r="U498" s="104"/>
      <c r="V498" s="104"/>
      <c r="W498" s="104"/>
      <c r="X498" s="104"/>
      <c r="Y498" s="104"/>
      <c r="Z498" s="104"/>
      <c r="AA498" s="104"/>
      <c r="AB498" s="104"/>
      <c r="AC498" s="104"/>
      <c r="AD498" s="104"/>
      <c r="AE498" s="104"/>
      <c r="AF498" s="104"/>
      <c r="AG498" s="104"/>
      <c r="AH498" s="104"/>
      <c r="AI498" s="104"/>
      <c r="AJ498" s="104"/>
      <c r="AK498" s="104"/>
      <c r="AL498" s="104"/>
      <c r="AM498" s="104"/>
      <c r="AN498" s="104"/>
      <c r="AO498" s="104"/>
      <c r="AP498" s="104"/>
      <c r="AQ498" s="104"/>
      <c r="AR498" s="104"/>
      <c r="AS498" s="104"/>
      <c r="AT498" s="104"/>
      <c r="AU498" s="104"/>
      <c r="AV498" s="104"/>
      <c r="AW498" s="104"/>
      <c r="AX498" s="104"/>
      <c r="AY498" s="104"/>
      <c r="AZ498" s="104"/>
      <c r="BA498" s="104"/>
    </row>
    <row r="499" spans="1:53" s="105" customFormat="1" ht="18.75">
      <c r="A499" s="43" t="s">
        <v>334</v>
      </c>
      <c r="B499" s="99" t="s">
        <v>487</v>
      </c>
      <c r="C499" s="106"/>
      <c r="D499" s="56">
        <f>((53971.12/1925)/60)*20</f>
        <v>9.3456484848484855</v>
      </c>
      <c r="E499" s="45">
        <f>D499*22%</f>
        <v>2.0560426666666669</v>
      </c>
      <c r="F499" s="107"/>
      <c r="G499" s="45">
        <f>C500*0.924</f>
        <v>18.48</v>
      </c>
      <c r="H499" s="45">
        <f>D499*0.34</f>
        <v>3.1775204848484853</v>
      </c>
      <c r="I499" s="82">
        <f t="shared" si="26"/>
        <v>33.059211636363642</v>
      </c>
      <c r="J499" s="83">
        <f t="shared" si="27"/>
        <v>11.570724072727273</v>
      </c>
      <c r="K499" s="101">
        <v>45</v>
      </c>
      <c r="L499" s="104"/>
      <c r="M499" s="104"/>
      <c r="N499" s="104"/>
      <c r="O499" s="104"/>
      <c r="P499" s="104"/>
      <c r="Q499" s="104"/>
      <c r="R499" s="104"/>
      <c r="S499" s="104"/>
      <c r="T499" s="104"/>
      <c r="U499" s="104"/>
      <c r="V499" s="104"/>
      <c r="W499" s="104"/>
      <c r="X499" s="104"/>
      <c r="Y499" s="104"/>
      <c r="Z499" s="104"/>
      <c r="AA499" s="104"/>
      <c r="AB499" s="104"/>
      <c r="AC499" s="104"/>
      <c r="AD499" s="104"/>
      <c r="AE499" s="104"/>
      <c r="AF499" s="104"/>
      <c r="AG499" s="104"/>
      <c r="AH499" s="104"/>
      <c r="AI499" s="104"/>
      <c r="AJ499" s="104"/>
      <c r="AK499" s="104"/>
      <c r="AL499" s="104"/>
      <c r="AM499" s="104"/>
      <c r="AN499" s="104"/>
      <c r="AO499" s="104"/>
      <c r="AP499" s="104"/>
      <c r="AQ499" s="104"/>
      <c r="AR499" s="104"/>
      <c r="AS499" s="104"/>
      <c r="AT499" s="104"/>
      <c r="AU499" s="104"/>
      <c r="AV499" s="104"/>
      <c r="AW499" s="104"/>
      <c r="AX499" s="104"/>
      <c r="AY499" s="104"/>
      <c r="AZ499" s="104"/>
      <c r="BA499" s="104"/>
    </row>
    <row r="500" spans="1:53" s="109" customFormat="1" ht="18.75">
      <c r="A500" s="43"/>
      <c r="B500" s="68" t="s">
        <v>337</v>
      </c>
      <c r="C500" s="106">
        <v>20</v>
      </c>
      <c r="D500" s="56"/>
      <c r="E500" s="45"/>
      <c r="F500" s="107"/>
      <c r="G500" s="45"/>
      <c r="H500" s="45"/>
      <c r="I500" s="82">
        <f t="shared" si="26"/>
        <v>0</v>
      </c>
      <c r="J500" s="83">
        <f t="shared" si="27"/>
        <v>0</v>
      </c>
      <c r="K500" s="101">
        <f t="shared" si="28"/>
        <v>0</v>
      </c>
      <c r="L500" s="108"/>
      <c r="M500" s="108"/>
      <c r="N500" s="108"/>
      <c r="O500" s="108"/>
      <c r="P500" s="108"/>
      <c r="Q500" s="108"/>
      <c r="R500" s="108"/>
      <c r="S500" s="108"/>
      <c r="T500" s="108"/>
      <c r="U500" s="108"/>
      <c r="V500" s="108"/>
      <c r="W500" s="108"/>
      <c r="X500" s="108"/>
      <c r="Y500" s="108"/>
      <c r="Z500" s="108"/>
      <c r="AA500" s="108"/>
      <c r="AB500" s="108"/>
      <c r="AC500" s="108"/>
      <c r="AD500" s="108"/>
      <c r="AE500" s="108"/>
      <c r="AF500" s="108"/>
      <c r="AG500" s="108"/>
      <c r="AH500" s="108"/>
      <c r="AI500" s="108"/>
      <c r="AJ500" s="108"/>
      <c r="AK500" s="108"/>
      <c r="AL500" s="108"/>
      <c r="AM500" s="108"/>
      <c r="AN500" s="108"/>
      <c r="AO500" s="108"/>
      <c r="AP500" s="108"/>
      <c r="AQ500" s="108"/>
      <c r="AR500" s="108"/>
      <c r="AS500" s="108"/>
      <c r="AT500" s="108"/>
      <c r="AU500" s="108"/>
      <c r="AV500" s="108"/>
      <c r="AW500" s="108"/>
      <c r="AX500" s="108"/>
      <c r="AY500" s="108"/>
      <c r="AZ500" s="108"/>
      <c r="BA500" s="108"/>
    </row>
    <row r="501" spans="1:53" s="108" customFormat="1" ht="18.75">
      <c r="A501" s="43" t="s">
        <v>378</v>
      </c>
      <c r="B501" s="43" t="s">
        <v>488</v>
      </c>
      <c r="C501" s="44"/>
      <c r="D501" s="56">
        <f>((53971.12/1925)/60)*10</f>
        <v>4.6728242424242428</v>
      </c>
      <c r="E501" s="45">
        <f>D501*22%</f>
        <v>1.0280213333333335</v>
      </c>
      <c r="F501" s="107"/>
      <c r="G501" s="45">
        <f>C502*0.924</f>
        <v>9.24</v>
      </c>
      <c r="H501" s="45">
        <f>D501*0.34</f>
        <v>1.5887602424242426</v>
      </c>
      <c r="I501" s="82">
        <f t="shared" si="26"/>
        <v>16.529605818181821</v>
      </c>
      <c r="J501" s="83">
        <f t="shared" si="27"/>
        <v>5.7853620363636367</v>
      </c>
      <c r="K501" s="101">
        <v>22</v>
      </c>
    </row>
    <row r="502" spans="1:53" s="108" customFormat="1" ht="18.75">
      <c r="A502" s="43"/>
      <c r="B502" s="68" t="s">
        <v>337</v>
      </c>
      <c r="C502" s="44">
        <v>10</v>
      </c>
      <c r="D502" s="56"/>
      <c r="E502" s="45"/>
      <c r="F502" s="107"/>
      <c r="G502" s="45"/>
      <c r="H502" s="45"/>
      <c r="I502" s="82">
        <f t="shared" si="26"/>
        <v>0</v>
      </c>
      <c r="J502" s="83">
        <f t="shared" si="27"/>
        <v>0</v>
      </c>
      <c r="K502" s="101">
        <f t="shared" si="28"/>
        <v>0</v>
      </c>
    </row>
    <row r="503" spans="1:53" s="108" customFormat="1" ht="18.75">
      <c r="A503" s="43" t="s">
        <v>380</v>
      </c>
      <c r="B503" s="43" t="s">
        <v>489</v>
      </c>
      <c r="C503" s="44"/>
      <c r="D503" s="56">
        <f>((53971.12/1925)/60)*5</f>
        <v>2.3364121212121214</v>
      </c>
      <c r="E503" s="45">
        <f>D503*22%</f>
        <v>0.51401066666666673</v>
      </c>
      <c r="F503" s="44">
        <v>0.62</v>
      </c>
      <c r="G503" s="45">
        <f>C504*0.924</f>
        <v>4.62</v>
      </c>
      <c r="H503" s="45">
        <f>D503*0.34</f>
        <v>0.79438012121212132</v>
      </c>
      <c r="I503" s="82">
        <f t="shared" si="26"/>
        <v>8.8848029090909098</v>
      </c>
      <c r="J503" s="83">
        <f t="shared" si="27"/>
        <v>3.1096810181818184</v>
      </c>
      <c r="K503" s="101">
        <v>12</v>
      </c>
    </row>
    <row r="504" spans="1:53" s="108" customFormat="1" ht="18.75">
      <c r="A504" s="43"/>
      <c r="B504" s="68" t="s">
        <v>337</v>
      </c>
      <c r="C504" s="44">
        <v>5</v>
      </c>
      <c r="D504" s="56"/>
      <c r="E504" s="45"/>
      <c r="F504" s="44"/>
      <c r="G504" s="45"/>
      <c r="H504" s="45"/>
      <c r="I504" s="82">
        <f t="shared" si="26"/>
        <v>0</v>
      </c>
      <c r="J504" s="83">
        <f t="shared" si="27"/>
        <v>0</v>
      </c>
      <c r="K504" s="101">
        <f t="shared" si="28"/>
        <v>0</v>
      </c>
    </row>
    <row r="505" spans="1:53" s="108" customFormat="1" ht="18.75">
      <c r="A505" s="43" t="s">
        <v>382</v>
      </c>
      <c r="B505" s="43" t="s">
        <v>59</v>
      </c>
      <c r="C505" s="106"/>
      <c r="D505" s="56">
        <f>((53971.12/1925)/60)*20</f>
        <v>9.3456484848484855</v>
      </c>
      <c r="E505" s="45">
        <f>D505*22%</f>
        <v>2.0560426666666669</v>
      </c>
      <c r="F505" s="107"/>
      <c r="G505" s="45">
        <f>C506*0.924</f>
        <v>18.48</v>
      </c>
      <c r="H505" s="45">
        <f>D505*0.34</f>
        <v>3.1775204848484853</v>
      </c>
      <c r="I505" s="82">
        <f t="shared" si="26"/>
        <v>33.059211636363642</v>
      </c>
      <c r="J505" s="83">
        <f t="shared" si="27"/>
        <v>11.570724072727273</v>
      </c>
      <c r="K505" s="101">
        <v>45</v>
      </c>
    </row>
    <row r="506" spans="1:53" s="108" customFormat="1" ht="18.75">
      <c r="A506" s="43"/>
      <c r="B506" s="68" t="s">
        <v>337</v>
      </c>
      <c r="C506" s="106">
        <v>20</v>
      </c>
      <c r="D506" s="56"/>
      <c r="E506" s="45"/>
      <c r="F506" s="107"/>
      <c r="G506" s="45"/>
      <c r="H506" s="45"/>
      <c r="I506" s="82">
        <f t="shared" si="26"/>
        <v>0</v>
      </c>
      <c r="J506" s="83">
        <f t="shared" si="27"/>
        <v>0</v>
      </c>
      <c r="K506" s="101">
        <f t="shared" si="28"/>
        <v>0</v>
      </c>
    </row>
    <row r="507" spans="1:53" s="108" customFormat="1" ht="18.75">
      <c r="A507" s="43" t="s">
        <v>383</v>
      </c>
      <c r="B507" s="43" t="s">
        <v>490</v>
      </c>
      <c r="C507" s="44"/>
      <c r="D507" s="56">
        <f>((53971.12/1925)/60)*10</f>
        <v>4.6728242424242428</v>
      </c>
      <c r="E507" s="45">
        <f>D507*22%</f>
        <v>1.0280213333333335</v>
      </c>
      <c r="F507" s="107"/>
      <c r="G507" s="45">
        <f>C508*0.924</f>
        <v>9.24</v>
      </c>
      <c r="H507" s="45">
        <f>D507*0.34</f>
        <v>1.5887602424242426</v>
      </c>
      <c r="I507" s="82">
        <f t="shared" si="26"/>
        <v>16.529605818181821</v>
      </c>
      <c r="J507" s="83">
        <f t="shared" si="27"/>
        <v>5.7853620363636367</v>
      </c>
      <c r="K507" s="101">
        <v>22</v>
      </c>
    </row>
    <row r="508" spans="1:53" s="108" customFormat="1" ht="18.75">
      <c r="A508" s="43"/>
      <c r="B508" s="68" t="s">
        <v>337</v>
      </c>
      <c r="C508" s="44">
        <v>10</v>
      </c>
      <c r="D508" s="56"/>
      <c r="E508" s="45"/>
      <c r="F508" s="107"/>
      <c r="G508" s="45"/>
      <c r="H508" s="45"/>
      <c r="I508" s="82">
        <f t="shared" si="26"/>
        <v>0</v>
      </c>
      <c r="J508" s="83">
        <f t="shared" si="27"/>
        <v>0</v>
      </c>
      <c r="K508" s="101">
        <f t="shared" si="28"/>
        <v>0</v>
      </c>
    </row>
    <row r="509" spans="1:53" s="108" customFormat="1" ht="18.75">
      <c r="A509" s="43" t="s">
        <v>386</v>
      </c>
      <c r="B509" s="43" t="s">
        <v>491</v>
      </c>
      <c r="C509" s="44"/>
      <c r="D509" s="56">
        <f>((53971.12/1925)/60)*25</f>
        <v>11.682060606060606</v>
      </c>
      <c r="E509" s="45">
        <f>D509*22%</f>
        <v>2.5700533333333335</v>
      </c>
      <c r="F509" s="107"/>
      <c r="G509" s="45">
        <f>C510*0.924</f>
        <v>23.1</v>
      </c>
      <c r="H509" s="45">
        <f>D509*0.34</f>
        <v>3.9719006060606064</v>
      </c>
      <c r="I509" s="82">
        <f t="shared" si="26"/>
        <v>41.324014545454546</v>
      </c>
      <c r="J509" s="83">
        <f t="shared" si="27"/>
        <v>14.46340509090909</v>
      </c>
      <c r="K509" s="101">
        <v>56</v>
      </c>
    </row>
    <row r="510" spans="1:53" s="108" customFormat="1" ht="18.75">
      <c r="A510" s="43"/>
      <c r="B510" s="68" t="s">
        <v>337</v>
      </c>
      <c r="C510" s="44">
        <v>25</v>
      </c>
      <c r="D510" s="56"/>
      <c r="E510" s="45"/>
      <c r="F510" s="107"/>
      <c r="G510" s="45"/>
      <c r="H510" s="45"/>
      <c r="I510" s="82">
        <f t="shared" si="26"/>
        <v>0</v>
      </c>
      <c r="J510" s="83">
        <f>I510*30%</f>
        <v>0</v>
      </c>
      <c r="K510" s="101">
        <f t="shared" si="28"/>
        <v>0</v>
      </c>
    </row>
    <row r="511" spans="1:53" s="108" customFormat="1" ht="18.75">
      <c r="A511" s="249" t="s">
        <v>492</v>
      </c>
      <c r="B511" s="249"/>
      <c r="C511" s="249"/>
      <c r="D511" s="249"/>
      <c r="E511" s="249"/>
      <c r="F511" s="249"/>
      <c r="G511" s="249"/>
      <c r="H511" s="249"/>
      <c r="I511" s="249"/>
      <c r="J511" s="249"/>
      <c r="K511" s="182"/>
    </row>
    <row r="512" spans="1:53" s="108" customFormat="1" ht="18.75">
      <c r="A512" s="110" t="s">
        <v>248</v>
      </c>
      <c r="B512" s="110" t="s">
        <v>493</v>
      </c>
      <c r="C512" s="44"/>
      <c r="D512" s="56">
        <f>((72162.29/1925)/60)*15</f>
        <v>9.3717259740259724</v>
      </c>
      <c r="E512" s="45">
        <f>D512*22%</f>
        <v>2.0617797142857142</v>
      </c>
      <c r="F512" s="44">
        <v>9.75</v>
      </c>
      <c r="G512" s="107"/>
      <c r="H512" s="45">
        <f>D512*0.34</f>
        <v>3.1863868311688308</v>
      </c>
      <c r="I512" s="82">
        <f t="shared" ref="I512:I520" si="29">H512+G512+F512+E512+D512</f>
        <v>24.369892519480516</v>
      </c>
      <c r="J512" s="83">
        <f>I512*35%</f>
        <v>8.5294623818181794</v>
      </c>
      <c r="K512" s="101">
        <v>33</v>
      </c>
    </row>
    <row r="513" spans="1:11" s="108" customFormat="1" ht="18.75">
      <c r="A513" s="110"/>
      <c r="B513" s="111" t="s">
        <v>258</v>
      </c>
      <c r="C513" s="44">
        <v>15</v>
      </c>
      <c r="D513" s="56"/>
      <c r="E513" s="45"/>
      <c r="F513" s="44"/>
      <c r="G513" s="107"/>
      <c r="H513" s="45"/>
      <c r="I513" s="82">
        <f t="shared" si="29"/>
        <v>0</v>
      </c>
      <c r="J513" s="83">
        <f t="shared" ref="J513:J543" si="30">I513*35%</f>
        <v>0</v>
      </c>
      <c r="K513" s="101">
        <f t="shared" ref="K513:K519" si="31">I513+J513</f>
        <v>0</v>
      </c>
    </row>
    <row r="514" spans="1:11" s="108" customFormat="1" ht="18.75">
      <c r="A514" s="110" t="s">
        <v>251</v>
      </c>
      <c r="B514" s="110" t="s">
        <v>494</v>
      </c>
      <c r="C514" s="44"/>
      <c r="D514" s="56">
        <f>((72162.29/1925)/60)*30</f>
        <v>18.743451948051945</v>
      </c>
      <c r="E514" s="45">
        <f>D514*22%</f>
        <v>4.1235594285714283</v>
      </c>
      <c r="F514" s="44">
        <v>9.75</v>
      </c>
      <c r="G514" s="107"/>
      <c r="H514" s="45">
        <f>D514*0.34</f>
        <v>6.3727736623376616</v>
      </c>
      <c r="I514" s="82">
        <f t="shared" si="29"/>
        <v>38.989785038961031</v>
      </c>
      <c r="J514" s="83">
        <f t="shared" si="30"/>
        <v>13.646424763636361</v>
      </c>
      <c r="K514" s="101">
        <v>53</v>
      </c>
    </row>
    <row r="515" spans="1:11" s="108" customFormat="1" ht="18.75">
      <c r="A515" s="110"/>
      <c r="B515" s="111" t="s">
        <v>258</v>
      </c>
      <c r="C515" s="44">
        <v>30</v>
      </c>
      <c r="D515" s="56"/>
      <c r="E515" s="45"/>
      <c r="F515" s="44"/>
      <c r="G515" s="107"/>
      <c r="H515" s="45"/>
      <c r="I515" s="82">
        <f t="shared" si="29"/>
        <v>0</v>
      </c>
      <c r="J515" s="83">
        <f t="shared" si="30"/>
        <v>0</v>
      </c>
      <c r="K515" s="101">
        <f t="shared" si="31"/>
        <v>0</v>
      </c>
    </row>
    <row r="516" spans="1:11" s="108" customFormat="1" ht="18.75">
      <c r="A516" s="110" t="s">
        <v>262</v>
      </c>
      <c r="B516" s="110" t="s">
        <v>495</v>
      </c>
      <c r="C516" s="39"/>
      <c r="D516" s="112">
        <f>((72126.41/1925)/60)*15</f>
        <v>9.3670662337662343</v>
      </c>
      <c r="E516" s="113">
        <f>D516*22%</f>
        <v>2.0607545714285718</v>
      </c>
      <c r="F516" s="39">
        <v>9.75</v>
      </c>
      <c r="G516" s="39"/>
      <c r="H516" s="113">
        <f>D516*0.34</f>
        <v>3.1848025194805198</v>
      </c>
      <c r="I516" s="82">
        <f t="shared" si="29"/>
        <v>24.362623324675326</v>
      </c>
      <c r="J516" s="83">
        <f t="shared" si="30"/>
        <v>8.5269181636363633</v>
      </c>
      <c r="K516" s="101">
        <v>33</v>
      </c>
    </row>
    <row r="517" spans="1:11" s="108" customFormat="1" ht="18.75">
      <c r="A517" s="110"/>
      <c r="B517" s="111" t="s">
        <v>258</v>
      </c>
      <c r="C517" s="39">
        <v>15</v>
      </c>
      <c r="D517" s="112"/>
      <c r="E517" s="113"/>
      <c r="F517" s="39"/>
      <c r="G517" s="39"/>
      <c r="H517" s="113"/>
      <c r="I517" s="82">
        <f t="shared" si="29"/>
        <v>0</v>
      </c>
      <c r="J517" s="83">
        <f t="shared" si="30"/>
        <v>0</v>
      </c>
      <c r="K517" s="101">
        <f t="shared" si="31"/>
        <v>0</v>
      </c>
    </row>
    <row r="518" spans="1:11" s="115" customFormat="1" ht="18.75">
      <c r="A518" s="43" t="s">
        <v>272</v>
      </c>
      <c r="B518" s="85" t="s">
        <v>496</v>
      </c>
      <c r="C518" s="49"/>
      <c r="D518" s="82">
        <f>((126428.5/1925)/60)*15</f>
        <v>16.419285714285714</v>
      </c>
      <c r="E518" s="114">
        <f>D518*22%</f>
        <v>3.6122428571428569</v>
      </c>
      <c r="F518" s="106">
        <v>9.75</v>
      </c>
      <c r="G518" s="82"/>
      <c r="H518" s="82">
        <f>D518*0.34</f>
        <v>5.5825571428571434</v>
      </c>
      <c r="I518" s="82">
        <f t="shared" si="29"/>
        <v>35.364085714285714</v>
      </c>
      <c r="J518" s="83">
        <f t="shared" si="30"/>
        <v>12.377429999999999</v>
      </c>
      <c r="K518" s="101">
        <v>48</v>
      </c>
    </row>
    <row r="519" spans="1:11" s="115" customFormat="1" ht="18.75">
      <c r="A519" s="43"/>
      <c r="B519" s="116" t="s">
        <v>258</v>
      </c>
      <c r="C519" s="49">
        <v>15</v>
      </c>
      <c r="D519" s="82"/>
      <c r="E519" s="114"/>
      <c r="F519" s="106"/>
      <c r="G519" s="82"/>
      <c r="H519" s="82"/>
      <c r="I519" s="82">
        <f t="shared" si="29"/>
        <v>0</v>
      </c>
      <c r="J519" s="83">
        <f t="shared" si="30"/>
        <v>0</v>
      </c>
      <c r="K519" s="101">
        <f t="shared" si="31"/>
        <v>0</v>
      </c>
    </row>
    <row r="520" spans="1:11" s="115" customFormat="1" ht="18.75">
      <c r="A520" s="117" t="s">
        <v>433</v>
      </c>
      <c r="B520" s="85" t="s">
        <v>497</v>
      </c>
      <c r="C520" s="87"/>
      <c r="D520" s="82">
        <f>((126428.5/1925)/60)*10</f>
        <v>10.946190476190477</v>
      </c>
      <c r="E520" s="114">
        <f>D520*22%</f>
        <v>2.4081619047619047</v>
      </c>
      <c r="F520" s="82">
        <v>19.46</v>
      </c>
      <c r="G520" s="82"/>
      <c r="H520" s="82">
        <f>D520*0.34</f>
        <v>3.7217047619047623</v>
      </c>
      <c r="I520" s="82">
        <f t="shared" si="29"/>
        <v>36.536057142857146</v>
      </c>
      <c r="J520" s="83">
        <f t="shared" si="30"/>
        <v>12.78762</v>
      </c>
      <c r="K520" s="101">
        <v>49</v>
      </c>
    </row>
    <row r="521" spans="1:11" s="115" customFormat="1" ht="18.75">
      <c r="A521" s="43"/>
      <c r="B521" s="116" t="s">
        <v>258</v>
      </c>
      <c r="C521" s="87">
        <v>10</v>
      </c>
      <c r="D521" s="58"/>
      <c r="E521" s="45"/>
      <c r="F521" s="58"/>
      <c r="G521" s="58"/>
      <c r="H521" s="58"/>
      <c r="I521" s="58"/>
      <c r="J521" s="83">
        <f t="shared" si="30"/>
        <v>0</v>
      </c>
      <c r="K521" s="76"/>
    </row>
    <row r="522" spans="1:11" s="115" customFormat="1" ht="37.5">
      <c r="A522" s="43" t="s">
        <v>277</v>
      </c>
      <c r="B522" s="85" t="s">
        <v>498</v>
      </c>
      <c r="C522" s="49"/>
      <c r="D522" s="82">
        <f>((136964.16/1925)/60)*15</f>
        <v>17.787553246753248</v>
      </c>
      <c r="E522" s="114">
        <f>D522*22%</f>
        <v>3.9132617142857145</v>
      </c>
      <c r="F522" s="106">
        <v>9.75</v>
      </c>
      <c r="G522" s="82"/>
      <c r="H522" s="82">
        <f>D522*0.34</f>
        <v>6.0477681038961046</v>
      </c>
      <c r="I522" s="82">
        <f t="shared" ref="I522:I543" si="32">H522+G522+F522+E522+D522</f>
        <v>37.498583064935062</v>
      </c>
      <c r="J522" s="83">
        <f t="shared" si="30"/>
        <v>13.124504072727271</v>
      </c>
      <c r="K522" s="101">
        <v>51</v>
      </c>
    </row>
    <row r="523" spans="1:11" s="115" customFormat="1" ht="18.75">
      <c r="A523" s="43"/>
      <c r="B523" s="116" t="s">
        <v>258</v>
      </c>
      <c r="C523" s="49">
        <v>15</v>
      </c>
      <c r="D523" s="82"/>
      <c r="E523" s="114"/>
      <c r="F523" s="106"/>
      <c r="G523" s="82"/>
      <c r="H523" s="82"/>
      <c r="I523" s="82">
        <f t="shared" si="32"/>
        <v>0</v>
      </c>
      <c r="J523" s="83">
        <f t="shared" si="30"/>
        <v>0</v>
      </c>
      <c r="K523" s="101">
        <f t="shared" ref="K523:K543" si="33">I523+J523</f>
        <v>0</v>
      </c>
    </row>
    <row r="524" spans="1:11" s="115" customFormat="1" ht="56.25">
      <c r="A524" s="118" t="s">
        <v>279</v>
      </c>
      <c r="B524" s="85" t="s">
        <v>499</v>
      </c>
      <c r="C524" s="119"/>
      <c r="D524" s="114">
        <f>((81319.68/1925)/60)*20</f>
        <v>14.081329870129869</v>
      </c>
      <c r="E524" s="114">
        <f>D524*22%</f>
        <v>3.097892571428571</v>
      </c>
      <c r="F524" s="82">
        <v>19.46</v>
      </c>
      <c r="G524" s="114"/>
      <c r="H524" s="114">
        <f>D524*0.34</f>
        <v>4.7876521558441558</v>
      </c>
      <c r="I524" s="114">
        <f t="shared" si="32"/>
        <v>41.426874597402595</v>
      </c>
      <c r="J524" s="83">
        <f t="shared" si="30"/>
        <v>14.499406109090907</v>
      </c>
      <c r="K524" s="120">
        <v>56</v>
      </c>
    </row>
    <row r="525" spans="1:11" s="115" customFormat="1" ht="18.75">
      <c r="A525" s="43"/>
      <c r="B525" s="116" t="s">
        <v>258</v>
      </c>
      <c r="C525" s="119">
        <v>20</v>
      </c>
      <c r="D525" s="114"/>
      <c r="E525" s="114"/>
      <c r="F525" s="82"/>
      <c r="G525" s="114"/>
      <c r="H525" s="114"/>
      <c r="I525" s="114">
        <f t="shared" si="32"/>
        <v>0</v>
      </c>
      <c r="J525" s="83">
        <f t="shared" si="30"/>
        <v>0</v>
      </c>
      <c r="K525" s="120">
        <f t="shared" si="33"/>
        <v>0</v>
      </c>
    </row>
    <row r="526" spans="1:11" s="115" customFormat="1" ht="18.75">
      <c r="A526" s="117" t="s">
        <v>453</v>
      </c>
      <c r="B526" s="69" t="s">
        <v>500</v>
      </c>
      <c r="C526" s="121"/>
      <c r="D526" s="114">
        <f>((81319.68/1925)/60)*20</f>
        <v>14.081329870129869</v>
      </c>
      <c r="E526" s="114">
        <f>D526*22%</f>
        <v>3.097892571428571</v>
      </c>
      <c r="F526" s="82">
        <v>16.899999999999999</v>
      </c>
      <c r="G526" s="114"/>
      <c r="H526" s="114">
        <f>D526*0.34</f>
        <v>4.7876521558441558</v>
      </c>
      <c r="I526" s="114">
        <f t="shared" si="32"/>
        <v>38.866874597402592</v>
      </c>
      <c r="J526" s="83">
        <f t="shared" si="30"/>
        <v>13.603406109090907</v>
      </c>
      <c r="K526" s="120">
        <v>53</v>
      </c>
    </row>
    <row r="527" spans="1:11" s="115" customFormat="1" ht="18.75">
      <c r="A527" s="43"/>
      <c r="B527" s="116" t="s">
        <v>258</v>
      </c>
      <c r="C527" s="121">
        <v>20</v>
      </c>
      <c r="D527" s="114"/>
      <c r="E527" s="114"/>
      <c r="F527" s="82"/>
      <c r="G527" s="114"/>
      <c r="H527" s="114"/>
      <c r="I527" s="114">
        <f t="shared" si="32"/>
        <v>0</v>
      </c>
      <c r="J527" s="83">
        <f t="shared" si="30"/>
        <v>0</v>
      </c>
      <c r="K527" s="120">
        <f t="shared" si="33"/>
        <v>0</v>
      </c>
    </row>
    <row r="528" spans="1:11" s="115" customFormat="1" ht="37.5">
      <c r="A528" s="43" t="s">
        <v>281</v>
      </c>
      <c r="B528" s="80" t="s">
        <v>501</v>
      </c>
      <c r="C528" s="106"/>
      <c r="D528" s="82">
        <f>((81319.68/1925)/60)*20</f>
        <v>14.081329870129869</v>
      </c>
      <c r="E528" s="114">
        <f>D528*22%</f>
        <v>3.097892571428571</v>
      </c>
      <c r="F528" s="82">
        <v>9.75</v>
      </c>
      <c r="G528" s="82"/>
      <c r="H528" s="82">
        <f>D528*0.34</f>
        <v>4.7876521558441558</v>
      </c>
      <c r="I528" s="82">
        <f t="shared" si="32"/>
        <v>31.716874597402594</v>
      </c>
      <c r="J528" s="83">
        <f t="shared" si="30"/>
        <v>11.100906109090907</v>
      </c>
      <c r="K528" s="101">
        <v>43</v>
      </c>
    </row>
    <row r="529" spans="1:11" s="115" customFormat="1" ht="18.75">
      <c r="A529" s="43"/>
      <c r="B529" s="116" t="s">
        <v>258</v>
      </c>
      <c r="C529" s="106">
        <v>20</v>
      </c>
      <c r="D529" s="82"/>
      <c r="E529" s="114"/>
      <c r="F529" s="82"/>
      <c r="G529" s="82"/>
      <c r="H529" s="82"/>
      <c r="I529" s="82">
        <f t="shared" si="32"/>
        <v>0</v>
      </c>
      <c r="J529" s="83">
        <f t="shared" si="30"/>
        <v>0</v>
      </c>
      <c r="K529" s="101">
        <f t="shared" si="33"/>
        <v>0</v>
      </c>
    </row>
    <row r="530" spans="1:11" s="115" customFormat="1" ht="56.25">
      <c r="A530" s="43" t="s">
        <v>283</v>
      </c>
      <c r="B530" s="85" t="s">
        <v>502</v>
      </c>
      <c r="C530" s="86"/>
      <c r="D530" s="82">
        <f>((81319.68/1925)/60)*20+((63288/1925)/60)*20</f>
        <v>25.040290909090906</v>
      </c>
      <c r="E530" s="114">
        <f>D530*22%</f>
        <v>5.5088639999999991</v>
      </c>
      <c r="F530" s="82">
        <v>28.58</v>
      </c>
      <c r="G530" s="82"/>
      <c r="H530" s="82">
        <f>D530*0.34</f>
        <v>8.513698909090909</v>
      </c>
      <c r="I530" s="82">
        <f t="shared" si="32"/>
        <v>67.642853818181806</v>
      </c>
      <c r="J530" s="83">
        <f t="shared" si="30"/>
        <v>23.674998836363631</v>
      </c>
      <c r="K530" s="101">
        <v>91</v>
      </c>
    </row>
    <row r="531" spans="1:11" s="115" customFormat="1" ht="18.75">
      <c r="A531" s="43"/>
      <c r="B531" s="116" t="s">
        <v>258</v>
      </c>
      <c r="C531" s="86">
        <v>20</v>
      </c>
      <c r="D531" s="56"/>
      <c r="E531" s="45"/>
      <c r="F531" s="56"/>
      <c r="G531" s="45"/>
      <c r="H531" s="45"/>
      <c r="I531" s="82">
        <f t="shared" si="32"/>
        <v>0</v>
      </c>
      <c r="J531" s="83">
        <f t="shared" si="30"/>
        <v>0</v>
      </c>
      <c r="K531" s="101">
        <f t="shared" si="33"/>
        <v>0</v>
      </c>
    </row>
    <row r="532" spans="1:11" s="115" customFormat="1" ht="18.75">
      <c r="A532" s="43"/>
      <c r="B532" s="116" t="s">
        <v>337</v>
      </c>
      <c r="C532" s="86">
        <v>20</v>
      </c>
      <c r="D532" s="56"/>
      <c r="E532" s="45"/>
      <c r="F532" s="56"/>
      <c r="G532" s="45"/>
      <c r="H532" s="45"/>
      <c r="I532" s="82">
        <f t="shared" si="32"/>
        <v>0</v>
      </c>
      <c r="J532" s="83">
        <f t="shared" si="30"/>
        <v>0</v>
      </c>
      <c r="K532" s="101">
        <f t="shared" si="33"/>
        <v>0</v>
      </c>
    </row>
    <row r="533" spans="1:11" s="115" customFormat="1" ht="37.5">
      <c r="A533" s="117" t="s">
        <v>503</v>
      </c>
      <c r="B533" s="85" t="s">
        <v>504</v>
      </c>
      <c r="C533" s="86"/>
      <c r="D533" s="82">
        <f>((81319.68/1925)/60)*15+((63288/1925)/60)*15</f>
        <v>18.780218181818178</v>
      </c>
      <c r="E533" s="114">
        <f>D533*22%</f>
        <v>4.1316479999999993</v>
      </c>
      <c r="F533" s="82">
        <v>10.69</v>
      </c>
      <c r="G533" s="82"/>
      <c r="H533" s="82">
        <f>D533*0.34</f>
        <v>6.3852741818181808</v>
      </c>
      <c r="I533" s="82">
        <f t="shared" si="32"/>
        <v>39.987140363636357</v>
      </c>
      <c r="J533" s="83">
        <f t="shared" si="30"/>
        <v>13.995499127272724</v>
      </c>
      <c r="K533" s="101">
        <v>54</v>
      </c>
    </row>
    <row r="534" spans="1:11" s="115" customFormat="1" ht="18.75">
      <c r="A534" s="43"/>
      <c r="B534" s="116" t="s">
        <v>258</v>
      </c>
      <c r="C534" s="86">
        <v>15</v>
      </c>
      <c r="D534" s="56"/>
      <c r="E534" s="45"/>
      <c r="F534" s="56"/>
      <c r="G534" s="45"/>
      <c r="H534" s="45"/>
      <c r="I534" s="82">
        <f t="shared" si="32"/>
        <v>0</v>
      </c>
      <c r="J534" s="83">
        <f t="shared" si="30"/>
        <v>0</v>
      </c>
      <c r="K534" s="101">
        <f t="shared" si="33"/>
        <v>0</v>
      </c>
    </row>
    <row r="535" spans="1:11" s="115" customFormat="1" ht="18.75">
      <c r="A535" s="43"/>
      <c r="B535" s="116" t="s">
        <v>337</v>
      </c>
      <c r="C535" s="86">
        <v>15</v>
      </c>
      <c r="D535" s="56"/>
      <c r="E535" s="45"/>
      <c r="F535" s="56"/>
      <c r="G535" s="45"/>
      <c r="H535" s="45"/>
      <c r="I535" s="82">
        <f t="shared" si="32"/>
        <v>0</v>
      </c>
      <c r="J535" s="83">
        <f t="shared" si="30"/>
        <v>0</v>
      </c>
      <c r="K535" s="101">
        <f t="shared" si="33"/>
        <v>0</v>
      </c>
    </row>
    <row r="536" spans="1:11" s="115" customFormat="1" ht="37.5">
      <c r="A536" s="43" t="s">
        <v>285</v>
      </c>
      <c r="B536" s="99" t="s">
        <v>505</v>
      </c>
      <c r="C536" s="65"/>
      <c r="D536" s="114">
        <f>((54331.2/1925)/60)*15</f>
        <v>7.056</v>
      </c>
      <c r="E536" s="114">
        <f>D536*22%</f>
        <v>1.5523199999999999</v>
      </c>
      <c r="F536" s="122">
        <v>9.75</v>
      </c>
      <c r="G536" s="114"/>
      <c r="H536" s="114">
        <f>D536*0.34</f>
        <v>2.3990400000000003</v>
      </c>
      <c r="I536" s="82">
        <f t="shared" si="32"/>
        <v>20.757359999999998</v>
      </c>
      <c r="J536" s="83">
        <f t="shared" si="30"/>
        <v>7.2650759999999988</v>
      </c>
      <c r="K536" s="101">
        <v>28</v>
      </c>
    </row>
    <row r="537" spans="1:11" s="115" customFormat="1" ht="18.75">
      <c r="A537" s="43"/>
      <c r="B537" s="123" t="s">
        <v>258</v>
      </c>
      <c r="C537" s="65">
        <v>15</v>
      </c>
      <c r="D537" s="114"/>
      <c r="E537" s="114"/>
      <c r="F537" s="122"/>
      <c r="G537" s="114"/>
      <c r="H537" s="114"/>
      <c r="I537" s="82">
        <f t="shared" si="32"/>
        <v>0</v>
      </c>
      <c r="J537" s="83">
        <f t="shared" si="30"/>
        <v>0</v>
      </c>
      <c r="K537" s="101">
        <f t="shared" si="33"/>
        <v>0</v>
      </c>
    </row>
    <row r="538" spans="1:11" s="115" customFormat="1" ht="37.5">
      <c r="A538" s="117" t="s">
        <v>506</v>
      </c>
      <c r="B538" s="75" t="s">
        <v>507</v>
      </c>
      <c r="C538" s="55"/>
      <c r="D538" s="114">
        <f>((54331.2/1925)/60)*20</f>
        <v>9.4079999999999995</v>
      </c>
      <c r="E538" s="114">
        <f>D538*22%</f>
        <v>2.06976</v>
      </c>
      <c r="F538" s="82">
        <v>10.6</v>
      </c>
      <c r="G538" s="114"/>
      <c r="H538" s="114">
        <f>D538*0.34</f>
        <v>3.1987200000000002</v>
      </c>
      <c r="I538" s="82">
        <f t="shared" si="32"/>
        <v>25.276479999999999</v>
      </c>
      <c r="J538" s="83">
        <f t="shared" si="30"/>
        <v>8.8467679999999991</v>
      </c>
      <c r="K538" s="101">
        <v>34</v>
      </c>
    </row>
    <row r="539" spans="1:11" s="115" customFormat="1" ht="18.75">
      <c r="A539" s="43"/>
      <c r="B539" s="123" t="s">
        <v>258</v>
      </c>
      <c r="C539" s="55">
        <v>20</v>
      </c>
      <c r="D539" s="114"/>
      <c r="E539" s="114"/>
      <c r="F539" s="82"/>
      <c r="G539" s="114"/>
      <c r="H539" s="114"/>
      <c r="I539" s="82">
        <f t="shared" si="32"/>
        <v>0</v>
      </c>
      <c r="J539" s="83">
        <f t="shared" si="30"/>
        <v>0</v>
      </c>
      <c r="K539" s="101">
        <f t="shared" si="33"/>
        <v>0</v>
      </c>
    </row>
    <row r="540" spans="1:11" s="115" customFormat="1" ht="37.5">
      <c r="A540" s="43" t="s">
        <v>287</v>
      </c>
      <c r="B540" s="75" t="s">
        <v>508</v>
      </c>
      <c r="C540" s="55"/>
      <c r="D540" s="114">
        <f>((47232/1925)/60)*15</f>
        <v>6.1340259740259739</v>
      </c>
      <c r="E540" s="114">
        <f>D540*22%</f>
        <v>1.3494857142857142</v>
      </c>
      <c r="F540" s="114">
        <v>11.45</v>
      </c>
      <c r="G540" s="114"/>
      <c r="H540" s="114">
        <f>D540*0.34</f>
        <v>2.0855688311688314</v>
      </c>
      <c r="I540" s="82">
        <f t="shared" si="32"/>
        <v>21.019080519480518</v>
      </c>
      <c r="J540" s="83">
        <f t="shared" si="30"/>
        <v>7.3566781818181806</v>
      </c>
      <c r="K540" s="101">
        <v>28</v>
      </c>
    </row>
    <row r="541" spans="1:11" s="115" customFormat="1" ht="18.75">
      <c r="A541" s="43"/>
      <c r="B541" s="123" t="s">
        <v>258</v>
      </c>
      <c r="C541" s="55">
        <v>15</v>
      </c>
      <c r="D541" s="114"/>
      <c r="E541" s="114"/>
      <c r="F541" s="114"/>
      <c r="G541" s="114"/>
      <c r="H541" s="114"/>
      <c r="I541" s="82">
        <f t="shared" si="32"/>
        <v>0</v>
      </c>
      <c r="J541" s="83">
        <f t="shared" si="30"/>
        <v>0</v>
      </c>
      <c r="K541" s="101">
        <f t="shared" si="33"/>
        <v>0</v>
      </c>
    </row>
    <row r="542" spans="1:11" s="115" customFormat="1" ht="18.75">
      <c r="A542" s="43" t="s">
        <v>289</v>
      </c>
      <c r="B542" s="43" t="s">
        <v>509</v>
      </c>
      <c r="C542" s="86"/>
      <c r="D542" s="45">
        <f>((84538.8/1500)/60)*15</f>
        <v>14.0898</v>
      </c>
      <c r="E542" s="45">
        <f>D542*22%</f>
        <v>3.0997560000000002</v>
      </c>
      <c r="F542" s="58"/>
      <c r="G542" s="58"/>
      <c r="H542" s="45">
        <f>D542*0.34</f>
        <v>4.7905320000000007</v>
      </c>
      <c r="I542" s="45">
        <f t="shared" si="32"/>
        <v>21.980088000000002</v>
      </c>
      <c r="J542" s="83">
        <f t="shared" si="30"/>
        <v>7.6930307999999998</v>
      </c>
      <c r="K542" s="47">
        <v>30</v>
      </c>
    </row>
    <row r="543" spans="1:11" s="115" customFormat="1" ht="18.75">
      <c r="A543" s="43"/>
      <c r="B543" s="68" t="s">
        <v>258</v>
      </c>
      <c r="C543" s="86">
        <v>15</v>
      </c>
      <c r="D543" s="45"/>
      <c r="E543" s="45"/>
      <c r="F543" s="58"/>
      <c r="G543" s="58"/>
      <c r="H543" s="45"/>
      <c r="I543" s="45">
        <f t="shared" si="32"/>
        <v>0</v>
      </c>
      <c r="J543" s="83">
        <f t="shared" si="30"/>
        <v>0</v>
      </c>
      <c r="K543" s="47">
        <f t="shared" si="33"/>
        <v>0</v>
      </c>
    </row>
    <row r="544" spans="1:11" s="115" customFormat="1" ht="18.75">
      <c r="A544" s="43" t="s">
        <v>293</v>
      </c>
      <c r="B544" s="99" t="s">
        <v>510</v>
      </c>
      <c r="C544" s="100"/>
      <c r="D544" s="56">
        <f>((58809.6/1925)/60)*10</f>
        <v>5.0917402597402592</v>
      </c>
      <c r="E544" s="45">
        <f>D544*22%</f>
        <v>1.1201828571428571</v>
      </c>
      <c r="F544" s="58"/>
      <c r="G544" s="45">
        <f>C545*0.924</f>
        <v>9.24</v>
      </c>
      <c r="H544" s="45">
        <f>D544*0.34</f>
        <v>1.7311916883116882</v>
      </c>
      <c r="I544" s="82">
        <f>H544+G544+F544+E544+D544</f>
        <v>17.183114805194805</v>
      </c>
      <c r="J544" s="83">
        <f>I544*35%</f>
        <v>6.0140901818181813</v>
      </c>
      <c r="K544" s="101">
        <v>23</v>
      </c>
    </row>
    <row r="545" spans="1:11" s="115" customFormat="1" ht="18.75">
      <c r="A545" s="43"/>
      <c r="B545" s="102" t="s">
        <v>258</v>
      </c>
      <c r="C545" s="100">
        <v>10</v>
      </c>
      <c r="D545" s="56"/>
      <c r="E545" s="45"/>
      <c r="F545" s="58"/>
      <c r="G545" s="45"/>
      <c r="H545" s="45"/>
      <c r="I545" s="82">
        <f>H545+G545+F545+E545+D545</f>
        <v>0</v>
      </c>
      <c r="J545" s="83">
        <f>I545*35%</f>
        <v>0</v>
      </c>
      <c r="K545" s="101">
        <f>I545+J545</f>
        <v>0</v>
      </c>
    </row>
    <row r="546" spans="1:11" s="115" customFormat="1" ht="18.75">
      <c r="A546" s="250" t="s">
        <v>511</v>
      </c>
      <c r="B546" s="250"/>
      <c r="C546" s="250"/>
      <c r="D546" s="250"/>
      <c r="E546" s="250"/>
      <c r="F546" s="250"/>
      <c r="G546" s="250"/>
      <c r="H546" s="250"/>
      <c r="I546" s="250"/>
      <c r="J546" s="250"/>
      <c r="K546" s="185"/>
    </row>
    <row r="547" spans="1:11" s="115" customFormat="1" ht="18.75">
      <c r="A547" s="43" t="s">
        <v>248</v>
      </c>
      <c r="B547" s="85" t="s">
        <v>512</v>
      </c>
      <c r="C547" s="49"/>
      <c r="D547" s="58"/>
      <c r="E547" s="58"/>
      <c r="F547" s="58"/>
      <c r="G547" s="58"/>
      <c r="H547" s="58"/>
      <c r="I547" s="58">
        <v>596.79</v>
      </c>
      <c r="J547" s="83">
        <f>I547*35%</f>
        <v>208.87649999999996</v>
      </c>
      <c r="K547" s="77">
        <v>806</v>
      </c>
    </row>
    <row r="548" spans="1:11" s="115" customFormat="1" ht="18.75">
      <c r="A548" s="43" t="s">
        <v>251</v>
      </c>
      <c r="B548" s="85" t="s">
        <v>1796</v>
      </c>
      <c r="C548" s="49"/>
      <c r="D548" s="58"/>
      <c r="E548" s="58"/>
      <c r="F548" s="58"/>
      <c r="G548" s="58"/>
      <c r="H548" s="58"/>
      <c r="I548" s="58">
        <v>18.52</v>
      </c>
      <c r="J548" s="83">
        <f>I548*35%</f>
        <v>6.4819999999999993</v>
      </c>
      <c r="K548" s="77">
        <f>I548+J548</f>
        <v>25.001999999999999</v>
      </c>
    </row>
    <row r="549" spans="1:11" s="115" customFormat="1" ht="18.75">
      <c r="A549" s="108"/>
      <c r="B549" s="124"/>
      <c r="C549" s="125"/>
      <c r="D549" s="126"/>
      <c r="E549" s="126"/>
      <c r="F549" s="126"/>
      <c r="G549" s="126"/>
      <c r="H549" s="126"/>
      <c r="I549" s="126"/>
      <c r="J549" s="127"/>
      <c r="K549" s="127"/>
    </row>
    <row r="550" spans="1:11" s="115" customFormat="1" ht="18.75">
      <c r="A550" s="108"/>
      <c r="B550" s="124" t="s">
        <v>513</v>
      </c>
      <c r="C550" s="125"/>
      <c r="D550" s="126"/>
      <c r="E550" s="126"/>
      <c r="F550" s="128" t="s">
        <v>514</v>
      </c>
      <c r="G550" s="126"/>
      <c r="H550" s="126"/>
      <c r="I550" s="126"/>
      <c r="J550" s="127"/>
      <c r="K550" s="127"/>
    </row>
    <row r="551" spans="1:11" s="115" customFormat="1" ht="18.75">
      <c r="A551" s="108"/>
      <c r="B551" s="124"/>
      <c r="C551" s="125"/>
      <c r="D551" s="126"/>
      <c r="E551" s="126"/>
      <c r="F551" s="126"/>
      <c r="G551" s="126"/>
      <c r="H551" s="126"/>
      <c r="I551" s="126"/>
      <c r="J551" s="127"/>
      <c r="K551" s="127"/>
    </row>
    <row r="552" spans="1:11" ht="18.75">
      <c r="B552" s="130" t="s">
        <v>515</v>
      </c>
      <c r="F552" s="131" t="s">
        <v>516</v>
      </c>
    </row>
    <row r="553" spans="1:11" ht="18.75">
      <c r="B553" s="130"/>
      <c r="C553" s="130"/>
      <c r="D553" s="130"/>
      <c r="E553" s="130"/>
      <c r="F553" s="131"/>
    </row>
    <row r="554" spans="1:11" ht="18.75">
      <c r="B554" s="132" t="s">
        <v>517</v>
      </c>
      <c r="C554" s="130"/>
      <c r="D554" s="130"/>
      <c r="E554" s="130"/>
      <c r="F554" s="131" t="s">
        <v>518</v>
      </c>
    </row>
    <row r="556" spans="1:11" ht="18.75">
      <c r="B556" s="130"/>
    </row>
  </sheetData>
  <sheetProtection selectLockedCells="1" selectUnlockedCells="1"/>
  <mergeCells count="11">
    <mergeCell ref="A261:J261"/>
    <mergeCell ref="A347:J347"/>
    <mergeCell ref="A462:J462"/>
    <mergeCell ref="A511:J511"/>
    <mergeCell ref="A546:J546"/>
    <mergeCell ref="F1:K1"/>
    <mergeCell ref="F2:K2"/>
    <mergeCell ref="B3:J3"/>
    <mergeCell ref="B4:J4"/>
    <mergeCell ref="A200:J200"/>
    <mergeCell ref="A224:J224"/>
  </mergeCells>
  <pageMargins left="0.35416666666666669" right="0.19652777777777777" top="0.59027777777777779" bottom="0.59027777777777779" header="0.2361111111111111" footer="0.51180555555555551"/>
  <pageSetup paperSize="9" scale="71" firstPageNumber="0" fitToHeight="0" orientation="landscape" horizontalDpi="300" verticalDpi="300" r:id="rId1"/>
  <headerFooter alignWithMargins="0">
    <oddHeader>&amp;R&amp;"Times New Roman,Звичайний"&amp;8&amp;P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view="pageBreakPreview" topLeftCell="A5" zoomScale="87" zoomScaleNormal="100" zoomScaleSheetLayoutView="87" workbookViewId="0">
      <selection activeCell="C7" sqref="C7"/>
    </sheetView>
  </sheetViews>
  <sheetFormatPr defaultRowHeight="18.75"/>
  <cols>
    <col min="1" max="1" width="6" style="134" customWidth="1"/>
    <col min="2" max="2" width="8.85546875" style="134" customWidth="1"/>
    <col min="3" max="3" width="55" style="134" customWidth="1"/>
    <col min="4" max="4" width="10" style="134" hidden="1" customWidth="1"/>
    <col min="5" max="10" width="12.28515625" style="134" customWidth="1"/>
    <col min="11" max="11" width="5.7109375" style="134" hidden="1" customWidth="1"/>
    <col min="12" max="12" width="17.140625" style="134" hidden="1" customWidth="1"/>
    <col min="13" max="13" width="0" style="134" hidden="1" customWidth="1"/>
    <col min="14" max="14" width="15.28515625" style="134" customWidth="1"/>
    <col min="15" max="15" width="12.85546875" style="134" customWidth="1"/>
    <col min="16" max="16384" width="9.140625" style="133"/>
  </cols>
  <sheetData>
    <row r="1" spans="2:15" hidden="1">
      <c r="I1" s="135" t="s">
        <v>519</v>
      </c>
      <c r="J1" s="135"/>
      <c r="K1" s="135"/>
      <c r="L1" s="135"/>
    </row>
    <row r="2" spans="2:15" hidden="1">
      <c r="I2" s="135"/>
      <c r="J2" s="135"/>
      <c r="K2" s="135" t="s">
        <v>520</v>
      </c>
      <c r="L2" s="135"/>
    </row>
    <row r="3" spans="2:15" hidden="1">
      <c r="I3" s="135" t="s">
        <v>521</v>
      </c>
      <c r="J3" s="135"/>
      <c r="K3" s="135"/>
      <c r="L3" s="135"/>
    </row>
    <row r="4" spans="2:15" ht="12.75" hidden="1" customHeight="1">
      <c r="B4" s="260" t="s">
        <v>522</v>
      </c>
      <c r="C4" s="260"/>
      <c r="D4" s="178"/>
      <c r="E4" s="178"/>
      <c r="F4" s="136"/>
      <c r="G4" s="136"/>
      <c r="H4" s="136"/>
      <c r="I4" s="136"/>
      <c r="J4" s="136"/>
      <c r="K4" s="136"/>
      <c r="L4" s="136"/>
    </row>
    <row r="5" spans="2:15" ht="31.5" customHeight="1">
      <c r="B5" s="260"/>
      <c r="C5" s="260"/>
      <c r="D5" s="178"/>
      <c r="E5" s="178" t="s">
        <v>523</v>
      </c>
      <c r="F5" s="136"/>
      <c r="G5" s="136"/>
      <c r="H5" s="136"/>
      <c r="I5" s="136"/>
      <c r="J5" s="136"/>
      <c r="K5" s="136"/>
      <c r="L5" s="136"/>
    </row>
    <row r="6" spans="2:15" ht="31.5" customHeight="1" thickBot="1">
      <c r="B6" s="261" t="s">
        <v>524</v>
      </c>
      <c r="C6" s="261"/>
      <c r="D6" s="137"/>
      <c r="E6" s="137"/>
      <c r="F6" s="137"/>
      <c r="G6" s="137"/>
      <c r="H6" s="137"/>
      <c r="I6" s="137"/>
      <c r="J6" s="137"/>
      <c r="K6" s="137"/>
      <c r="L6" s="137"/>
    </row>
    <row r="7" spans="2:15" ht="84.75" customHeight="1" thickBot="1">
      <c r="B7" s="138" t="s">
        <v>0</v>
      </c>
      <c r="C7" s="139" t="s">
        <v>130</v>
      </c>
      <c r="D7" s="140"/>
      <c r="E7" s="141" t="s">
        <v>525</v>
      </c>
      <c r="F7" s="141" t="s">
        <v>243</v>
      </c>
      <c r="G7" s="141" t="s">
        <v>526</v>
      </c>
      <c r="H7" s="141" t="s">
        <v>527</v>
      </c>
      <c r="I7" s="141" t="s">
        <v>528</v>
      </c>
      <c r="J7" s="142" t="s">
        <v>246</v>
      </c>
      <c r="K7" s="143" t="s">
        <v>529</v>
      </c>
      <c r="L7" s="142" t="s">
        <v>530</v>
      </c>
      <c r="N7" s="181" t="s">
        <v>529</v>
      </c>
      <c r="O7" s="142" t="s">
        <v>531</v>
      </c>
    </row>
    <row r="8" spans="2:15" ht="27" customHeight="1">
      <c r="B8" s="262" t="s">
        <v>532</v>
      </c>
      <c r="C8" s="263"/>
      <c r="D8" s="144"/>
      <c r="E8" s="264"/>
      <c r="F8" s="265"/>
      <c r="G8" s="265"/>
      <c r="H8" s="265"/>
      <c r="I8" s="265"/>
      <c r="J8" s="266"/>
      <c r="K8" s="145">
        <v>1.25</v>
      </c>
      <c r="L8" s="146">
        <f>J8*K8</f>
        <v>0</v>
      </c>
      <c r="N8" s="179"/>
      <c r="O8" s="180"/>
    </row>
    <row r="9" spans="2:15" ht="18.75" customHeight="1">
      <c r="B9" s="148">
        <v>1</v>
      </c>
      <c r="C9" s="149" t="s">
        <v>533</v>
      </c>
      <c r="D9" s="150">
        <v>125</v>
      </c>
      <c r="E9" s="151" t="s">
        <v>534</v>
      </c>
      <c r="F9" s="149">
        <v>24.64</v>
      </c>
      <c r="G9" s="152">
        <f>F9*22%</f>
        <v>5.4207999999999998</v>
      </c>
      <c r="H9" s="152">
        <v>21.08</v>
      </c>
      <c r="I9" s="152">
        <f t="shared" ref="I9:I21" si="0">F9*0.57</f>
        <v>14.044799999999999</v>
      </c>
      <c r="J9" s="153">
        <f>F9+G9+H9+I9</f>
        <v>65.185599999999994</v>
      </c>
      <c r="K9" s="150"/>
      <c r="L9" s="153"/>
      <c r="N9" s="152">
        <f>J9*35%</f>
        <v>22.814959999999996</v>
      </c>
      <c r="O9" s="154">
        <f>J9+N9</f>
        <v>88.000559999999993</v>
      </c>
    </row>
    <row r="10" spans="2:15" ht="18.75" customHeight="1">
      <c r="B10" s="148">
        <f>B9+1</f>
        <v>2</v>
      </c>
      <c r="C10" s="149" t="s">
        <v>137</v>
      </c>
      <c r="D10" s="150">
        <v>40</v>
      </c>
      <c r="E10" s="151" t="s">
        <v>535</v>
      </c>
      <c r="F10" s="149">
        <v>12.75</v>
      </c>
      <c r="G10" s="152">
        <f t="shared" ref="G10:G21" si="1">F10*22%</f>
        <v>2.8050000000000002</v>
      </c>
      <c r="H10" s="152">
        <v>6.09</v>
      </c>
      <c r="I10" s="152">
        <f t="shared" si="0"/>
        <v>7.2674999999999992</v>
      </c>
      <c r="J10" s="153">
        <f t="shared" ref="J10:J21" si="2">F10+G10+H10+I10</f>
        <v>28.912499999999998</v>
      </c>
      <c r="K10" s="150"/>
      <c r="L10" s="152"/>
      <c r="N10" s="152">
        <f t="shared" ref="N10:N63" si="3">J10*35%</f>
        <v>10.119374999999998</v>
      </c>
      <c r="O10" s="154">
        <f t="shared" ref="O10:O63" si="4">J10+N10</f>
        <v>39.031874999999999</v>
      </c>
    </row>
    <row r="11" spans="2:15" ht="18.75" customHeight="1">
      <c r="B11" s="148">
        <f t="shared" ref="B11:B21" si="5">B10+1</f>
        <v>3</v>
      </c>
      <c r="C11" s="149" t="s">
        <v>536</v>
      </c>
      <c r="D11" s="150">
        <v>40</v>
      </c>
      <c r="E11" s="151" t="s">
        <v>537</v>
      </c>
      <c r="F11" s="149">
        <v>9.48</v>
      </c>
      <c r="G11" s="152">
        <f t="shared" si="1"/>
        <v>2.0855999999999999</v>
      </c>
      <c r="H11" s="152">
        <v>6.73</v>
      </c>
      <c r="I11" s="152">
        <f t="shared" si="0"/>
        <v>5.4036</v>
      </c>
      <c r="J11" s="153">
        <f t="shared" si="2"/>
        <v>23.699200000000001</v>
      </c>
      <c r="K11" s="150"/>
      <c r="L11" s="152"/>
      <c r="N11" s="152">
        <f t="shared" si="3"/>
        <v>8.2947199999999999</v>
      </c>
      <c r="O11" s="154">
        <f t="shared" si="4"/>
        <v>31.993920000000003</v>
      </c>
    </row>
    <row r="12" spans="2:15" ht="18.75" customHeight="1">
      <c r="B12" s="148">
        <f t="shared" si="5"/>
        <v>4</v>
      </c>
      <c r="C12" s="155" t="s">
        <v>538</v>
      </c>
      <c r="D12" s="150">
        <v>60.62</v>
      </c>
      <c r="E12" s="151" t="s">
        <v>539</v>
      </c>
      <c r="F12" s="152">
        <v>7.87</v>
      </c>
      <c r="G12" s="152">
        <f t="shared" si="1"/>
        <v>1.7314000000000001</v>
      </c>
      <c r="H12" s="152">
        <v>17</v>
      </c>
      <c r="I12" s="152">
        <f t="shared" si="0"/>
        <v>4.4859</v>
      </c>
      <c r="J12" s="153">
        <f t="shared" si="2"/>
        <v>31.087299999999999</v>
      </c>
      <c r="K12" s="150"/>
      <c r="L12" s="152"/>
      <c r="N12" s="152">
        <f t="shared" si="3"/>
        <v>10.880554999999999</v>
      </c>
      <c r="O12" s="154">
        <f t="shared" si="4"/>
        <v>41.967855</v>
      </c>
    </row>
    <row r="13" spans="2:15" ht="18.75" customHeight="1">
      <c r="B13" s="148">
        <f t="shared" si="5"/>
        <v>5</v>
      </c>
      <c r="C13" s="149" t="s">
        <v>294</v>
      </c>
      <c r="D13" s="150">
        <v>201.69</v>
      </c>
      <c r="E13" s="151" t="s">
        <v>540</v>
      </c>
      <c r="F13" s="149">
        <v>13.45</v>
      </c>
      <c r="G13" s="152">
        <f t="shared" si="1"/>
        <v>2.9590000000000001</v>
      </c>
      <c r="H13" s="152">
        <v>35.75</v>
      </c>
      <c r="I13" s="152">
        <f t="shared" si="0"/>
        <v>7.6664999999999992</v>
      </c>
      <c r="J13" s="153">
        <f t="shared" si="2"/>
        <v>59.825499999999998</v>
      </c>
      <c r="K13" s="150"/>
      <c r="L13" s="152"/>
      <c r="N13" s="152">
        <f t="shared" si="3"/>
        <v>20.938924999999998</v>
      </c>
      <c r="O13" s="154">
        <f t="shared" si="4"/>
        <v>80.764424999999989</v>
      </c>
    </row>
    <row r="14" spans="2:15" ht="18.75" customHeight="1">
      <c r="B14" s="148">
        <f t="shared" si="5"/>
        <v>6</v>
      </c>
      <c r="C14" s="149" t="s">
        <v>274</v>
      </c>
      <c r="D14" s="150">
        <v>50</v>
      </c>
      <c r="E14" s="151" t="s">
        <v>541</v>
      </c>
      <c r="F14" s="149">
        <v>15.17</v>
      </c>
      <c r="G14" s="152">
        <f t="shared" si="1"/>
        <v>3.3374000000000001</v>
      </c>
      <c r="H14" s="152">
        <v>5.76</v>
      </c>
      <c r="I14" s="152">
        <f t="shared" si="0"/>
        <v>8.6468999999999987</v>
      </c>
      <c r="J14" s="153">
        <f t="shared" si="2"/>
        <v>32.914299999999997</v>
      </c>
      <c r="K14" s="150"/>
      <c r="L14" s="152"/>
      <c r="N14" s="152">
        <f t="shared" si="3"/>
        <v>11.520004999999998</v>
      </c>
      <c r="O14" s="154">
        <f t="shared" si="4"/>
        <v>44.434304999999995</v>
      </c>
    </row>
    <row r="15" spans="2:15" ht="18.75" customHeight="1">
      <c r="B15" s="148">
        <f t="shared" si="5"/>
        <v>7</v>
      </c>
      <c r="C15" s="149" t="s">
        <v>542</v>
      </c>
      <c r="D15" s="150">
        <v>36.28</v>
      </c>
      <c r="E15" s="151" t="s">
        <v>535</v>
      </c>
      <c r="F15" s="149">
        <v>12.15</v>
      </c>
      <c r="G15" s="152">
        <f t="shared" si="1"/>
        <v>2.673</v>
      </c>
      <c r="H15" s="152">
        <v>15.5</v>
      </c>
      <c r="I15" s="152">
        <f t="shared" si="0"/>
        <v>6.9254999999999995</v>
      </c>
      <c r="J15" s="153">
        <f t="shared" si="2"/>
        <v>37.2485</v>
      </c>
      <c r="K15" s="150"/>
      <c r="L15" s="152"/>
      <c r="N15" s="152">
        <f t="shared" si="3"/>
        <v>13.036975</v>
      </c>
      <c r="O15" s="154">
        <f t="shared" si="4"/>
        <v>50.285474999999998</v>
      </c>
    </row>
    <row r="16" spans="2:15" ht="18.75" customHeight="1">
      <c r="B16" s="148">
        <f t="shared" si="5"/>
        <v>8</v>
      </c>
      <c r="C16" s="149" t="s">
        <v>543</v>
      </c>
      <c r="D16" s="150">
        <v>50</v>
      </c>
      <c r="E16" s="151" t="s">
        <v>544</v>
      </c>
      <c r="F16" s="149">
        <v>6.48</v>
      </c>
      <c r="G16" s="152">
        <f t="shared" si="1"/>
        <v>1.4256000000000002</v>
      </c>
      <c r="H16" s="152">
        <v>11.33</v>
      </c>
      <c r="I16" s="152">
        <f t="shared" si="0"/>
        <v>3.6936</v>
      </c>
      <c r="J16" s="153">
        <f t="shared" si="2"/>
        <v>22.929200000000002</v>
      </c>
      <c r="K16" s="150"/>
      <c r="L16" s="152"/>
      <c r="N16" s="152">
        <f t="shared" si="3"/>
        <v>8.0252200000000009</v>
      </c>
      <c r="O16" s="154">
        <f t="shared" si="4"/>
        <v>30.954420000000002</v>
      </c>
    </row>
    <row r="17" spans="2:15" ht="18.75" customHeight="1">
      <c r="B17" s="148">
        <f t="shared" si="5"/>
        <v>9</v>
      </c>
      <c r="C17" s="156" t="s">
        <v>545</v>
      </c>
      <c r="D17" s="150">
        <v>45.91</v>
      </c>
      <c r="E17" s="151" t="s">
        <v>546</v>
      </c>
      <c r="F17" s="149">
        <v>10.89</v>
      </c>
      <c r="G17" s="152">
        <f t="shared" si="1"/>
        <v>2.3957999999999999</v>
      </c>
      <c r="H17" s="152">
        <v>10.92</v>
      </c>
      <c r="I17" s="152">
        <f t="shared" si="0"/>
        <v>6.2073</v>
      </c>
      <c r="J17" s="153">
        <f t="shared" si="2"/>
        <v>30.4131</v>
      </c>
      <c r="K17" s="150"/>
      <c r="L17" s="152"/>
      <c r="N17" s="152">
        <f t="shared" si="3"/>
        <v>10.644584999999999</v>
      </c>
      <c r="O17" s="154">
        <f t="shared" si="4"/>
        <v>41.057684999999999</v>
      </c>
    </row>
    <row r="18" spans="2:15" ht="18.75" customHeight="1">
      <c r="B18" s="148">
        <f t="shared" si="5"/>
        <v>10</v>
      </c>
      <c r="C18" s="155" t="s">
        <v>547</v>
      </c>
      <c r="D18" s="157">
        <v>60.39</v>
      </c>
      <c r="E18" s="158" t="s">
        <v>544</v>
      </c>
      <c r="F18" s="159">
        <v>8.0399999999999991</v>
      </c>
      <c r="G18" s="152">
        <f t="shared" si="1"/>
        <v>1.7687999999999999</v>
      </c>
      <c r="H18" s="160">
        <v>22.98</v>
      </c>
      <c r="I18" s="152">
        <f t="shared" si="0"/>
        <v>4.5827999999999989</v>
      </c>
      <c r="J18" s="153">
        <f t="shared" si="2"/>
        <v>37.371600000000001</v>
      </c>
      <c r="K18" s="161">
        <v>1.25</v>
      </c>
      <c r="L18" s="162">
        <f t="shared" ref="L18:L23" si="6">J18*K18</f>
        <v>46.714500000000001</v>
      </c>
      <c r="N18" s="152">
        <f t="shared" si="3"/>
        <v>13.08006</v>
      </c>
      <c r="O18" s="154">
        <f t="shared" si="4"/>
        <v>50.451660000000004</v>
      </c>
    </row>
    <row r="19" spans="2:15" ht="18.75" customHeight="1">
      <c r="B19" s="148">
        <f t="shared" si="5"/>
        <v>11</v>
      </c>
      <c r="C19" s="155" t="s">
        <v>548</v>
      </c>
      <c r="D19" s="150">
        <v>77.5</v>
      </c>
      <c r="E19" s="151" t="s">
        <v>549</v>
      </c>
      <c r="F19" s="149">
        <v>13.26</v>
      </c>
      <c r="G19" s="152">
        <f t="shared" si="1"/>
        <v>2.9171999999999998</v>
      </c>
      <c r="H19" s="152">
        <v>38.81</v>
      </c>
      <c r="I19" s="152">
        <f t="shared" si="0"/>
        <v>7.5581999999999994</v>
      </c>
      <c r="J19" s="153">
        <f t="shared" si="2"/>
        <v>62.545400000000001</v>
      </c>
      <c r="K19" s="150"/>
      <c r="L19" s="153"/>
      <c r="N19" s="152">
        <f t="shared" si="3"/>
        <v>21.890889999999999</v>
      </c>
      <c r="O19" s="154">
        <f t="shared" si="4"/>
        <v>84.43629</v>
      </c>
    </row>
    <row r="20" spans="2:15" ht="18.75" customHeight="1">
      <c r="B20" s="148">
        <f t="shared" si="5"/>
        <v>12</v>
      </c>
      <c r="C20" s="149" t="s">
        <v>550</v>
      </c>
      <c r="D20" s="150">
        <v>68.569999999999993</v>
      </c>
      <c r="E20" s="151" t="s">
        <v>544</v>
      </c>
      <c r="F20" s="149">
        <v>5.98</v>
      </c>
      <c r="G20" s="152">
        <f t="shared" si="1"/>
        <v>1.3156000000000001</v>
      </c>
      <c r="H20" s="152">
        <v>41.22</v>
      </c>
      <c r="I20" s="152">
        <f t="shared" si="0"/>
        <v>3.4085999999999999</v>
      </c>
      <c r="J20" s="153">
        <f t="shared" si="2"/>
        <v>51.924199999999999</v>
      </c>
      <c r="K20" s="161">
        <v>1.25</v>
      </c>
      <c r="L20" s="162">
        <f t="shared" si="6"/>
        <v>64.905249999999995</v>
      </c>
      <c r="N20" s="152">
        <f t="shared" si="3"/>
        <v>18.173469999999998</v>
      </c>
      <c r="O20" s="154">
        <f t="shared" si="4"/>
        <v>70.097669999999994</v>
      </c>
    </row>
    <row r="21" spans="2:15" ht="18.75" customHeight="1" thickBot="1">
      <c r="B21" s="148">
        <f t="shared" si="5"/>
        <v>13</v>
      </c>
      <c r="C21" s="149" t="s">
        <v>551</v>
      </c>
      <c r="D21" s="163">
        <v>69.17</v>
      </c>
      <c r="E21" s="151" t="s">
        <v>552</v>
      </c>
      <c r="F21" s="149">
        <v>12.68</v>
      </c>
      <c r="G21" s="152">
        <f t="shared" si="1"/>
        <v>2.7896000000000001</v>
      </c>
      <c r="H21" s="152">
        <v>34.43</v>
      </c>
      <c r="I21" s="152">
        <f t="shared" si="0"/>
        <v>7.2275999999999989</v>
      </c>
      <c r="J21" s="153">
        <f t="shared" si="2"/>
        <v>57.127200000000002</v>
      </c>
      <c r="K21" s="150"/>
      <c r="L21" s="152"/>
      <c r="N21" s="152">
        <f t="shared" si="3"/>
        <v>19.994519999999998</v>
      </c>
      <c r="O21" s="154">
        <f t="shared" si="4"/>
        <v>77.121719999999996</v>
      </c>
    </row>
    <row r="22" spans="2:15" ht="27" customHeight="1">
      <c r="B22" s="255" t="s">
        <v>553</v>
      </c>
      <c r="C22" s="256"/>
      <c r="D22" s="164"/>
      <c r="E22" s="257"/>
      <c r="F22" s="258"/>
      <c r="G22" s="258"/>
      <c r="H22" s="258"/>
      <c r="I22" s="258"/>
      <c r="J22" s="259"/>
      <c r="K22" s="150"/>
      <c r="L22" s="152"/>
      <c r="N22" s="152">
        <f t="shared" si="3"/>
        <v>0</v>
      </c>
      <c r="O22" s="154">
        <f t="shared" si="4"/>
        <v>0</v>
      </c>
    </row>
    <row r="23" spans="2:15" ht="18.75" customHeight="1">
      <c r="B23" s="148">
        <v>14</v>
      </c>
      <c r="C23" s="149" t="s">
        <v>33</v>
      </c>
      <c r="D23" s="150">
        <v>137.30000000000001</v>
      </c>
      <c r="E23" s="151" t="s">
        <v>554</v>
      </c>
      <c r="F23" s="149">
        <v>43.49</v>
      </c>
      <c r="G23" s="152">
        <f t="shared" ref="G23:G46" si="7">F23*22%</f>
        <v>9.5678000000000001</v>
      </c>
      <c r="H23" s="152">
        <v>20</v>
      </c>
      <c r="I23" s="152">
        <f>F23*0.57</f>
        <v>24.789300000000001</v>
      </c>
      <c r="J23" s="153">
        <f>F23+G23+H23+I23</f>
        <v>97.847099999999998</v>
      </c>
      <c r="K23" s="165">
        <v>1.25</v>
      </c>
      <c r="L23" s="152">
        <f t="shared" si="6"/>
        <v>122.308875</v>
      </c>
      <c r="N23" s="152">
        <f t="shared" si="3"/>
        <v>34.246485</v>
      </c>
      <c r="O23" s="154">
        <f t="shared" si="4"/>
        <v>132.09358499999999</v>
      </c>
    </row>
    <row r="24" spans="2:15" ht="18.75" customHeight="1">
      <c r="B24" s="148">
        <f>B23+1</f>
        <v>15</v>
      </c>
      <c r="C24" s="149" t="s">
        <v>34</v>
      </c>
      <c r="D24" s="150">
        <v>100</v>
      </c>
      <c r="E24" s="151" t="s">
        <v>546</v>
      </c>
      <c r="F24" s="149">
        <v>21.74</v>
      </c>
      <c r="G24" s="152">
        <f t="shared" si="7"/>
        <v>4.7827999999999999</v>
      </c>
      <c r="H24" s="152">
        <v>15.6</v>
      </c>
      <c r="I24" s="152">
        <f t="shared" ref="I24:I30" si="8">F24*0.57</f>
        <v>12.391799999999998</v>
      </c>
      <c r="J24" s="153">
        <f t="shared" ref="J24:J39" si="9">F24+G24+H24+I24</f>
        <v>54.514599999999994</v>
      </c>
      <c r="K24" s="165"/>
      <c r="L24" s="152"/>
      <c r="N24" s="152">
        <f t="shared" si="3"/>
        <v>19.080109999999998</v>
      </c>
      <c r="O24" s="154">
        <f t="shared" si="4"/>
        <v>73.594709999999992</v>
      </c>
    </row>
    <row r="25" spans="2:15" ht="18.75" customHeight="1">
      <c r="B25" s="148">
        <f t="shared" ref="B25:B30" si="10">B24+1</f>
        <v>16</v>
      </c>
      <c r="C25" s="149" t="s">
        <v>555</v>
      </c>
      <c r="D25" s="150">
        <v>150</v>
      </c>
      <c r="E25" s="151" t="s">
        <v>554</v>
      </c>
      <c r="F25" s="149">
        <v>43.49</v>
      </c>
      <c r="G25" s="152">
        <f t="shared" si="7"/>
        <v>9.5678000000000001</v>
      </c>
      <c r="H25" s="152">
        <v>20.6</v>
      </c>
      <c r="I25" s="152">
        <f t="shared" si="8"/>
        <v>24.789300000000001</v>
      </c>
      <c r="J25" s="153">
        <f t="shared" si="9"/>
        <v>98.447100000000006</v>
      </c>
      <c r="K25" s="165"/>
      <c r="L25" s="152"/>
      <c r="N25" s="152">
        <f t="shared" si="3"/>
        <v>34.456485000000001</v>
      </c>
      <c r="O25" s="154">
        <f t="shared" si="4"/>
        <v>132.90358500000002</v>
      </c>
    </row>
    <row r="26" spans="2:15" ht="18.75" customHeight="1">
      <c r="B26" s="148">
        <f t="shared" si="10"/>
        <v>17</v>
      </c>
      <c r="C26" s="149" t="s">
        <v>556</v>
      </c>
      <c r="D26" s="150">
        <v>140</v>
      </c>
      <c r="E26" s="151" t="s">
        <v>549</v>
      </c>
      <c r="F26" s="152">
        <v>28.7</v>
      </c>
      <c r="G26" s="152">
        <f t="shared" si="7"/>
        <v>6.3140000000000001</v>
      </c>
      <c r="H26" s="152">
        <v>20.6</v>
      </c>
      <c r="I26" s="152">
        <f t="shared" si="8"/>
        <v>16.358999999999998</v>
      </c>
      <c r="J26" s="153">
        <f t="shared" si="9"/>
        <v>71.972999999999999</v>
      </c>
      <c r="K26" s="165"/>
      <c r="L26" s="152"/>
      <c r="N26" s="152">
        <f t="shared" si="3"/>
        <v>25.190549999999998</v>
      </c>
      <c r="O26" s="154">
        <f t="shared" si="4"/>
        <v>97.163550000000001</v>
      </c>
    </row>
    <row r="27" spans="2:15" ht="18.75" customHeight="1">
      <c r="B27" s="148">
        <f t="shared" si="10"/>
        <v>18</v>
      </c>
      <c r="C27" s="149" t="s">
        <v>40</v>
      </c>
      <c r="D27" s="150">
        <v>105</v>
      </c>
      <c r="E27" s="151" t="s">
        <v>546</v>
      </c>
      <c r="F27" s="149">
        <v>21.74</v>
      </c>
      <c r="G27" s="152">
        <f t="shared" si="7"/>
        <v>4.7827999999999999</v>
      </c>
      <c r="H27" s="152">
        <v>12.6</v>
      </c>
      <c r="I27" s="152">
        <f t="shared" si="8"/>
        <v>12.391799999999998</v>
      </c>
      <c r="J27" s="153">
        <f t="shared" si="9"/>
        <v>51.514599999999994</v>
      </c>
      <c r="K27" s="165"/>
      <c r="L27" s="152"/>
      <c r="N27" s="152">
        <f t="shared" si="3"/>
        <v>18.030109999999997</v>
      </c>
      <c r="O27" s="154">
        <f t="shared" si="4"/>
        <v>69.544709999999995</v>
      </c>
    </row>
    <row r="28" spans="2:15" ht="18.75" customHeight="1">
      <c r="B28" s="148">
        <f t="shared" si="10"/>
        <v>19</v>
      </c>
      <c r="C28" s="149" t="s">
        <v>557</v>
      </c>
      <c r="D28" s="150">
        <v>100</v>
      </c>
      <c r="E28" s="151" t="s">
        <v>549</v>
      </c>
      <c r="F28" s="152">
        <v>28.7</v>
      </c>
      <c r="G28" s="152">
        <f t="shared" si="7"/>
        <v>6.3140000000000001</v>
      </c>
      <c r="H28" s="152">
        <v>10.6</v>
      </c>
      <c r="I28" s="152">
        <f t="shared" si="8"/>
        <v>16.358999999999998</v>
      </c>
      <c r="J28" s="153">
        <f t="shared" si="9"/>
        <v>61.972999999999999</v>
      </c>
      <c r="K28" s="165"/>
      <c r="L28" s="152"/>
      <c r="N28" s="152">
        <f t="shared" si="3"/>
        <v>21.690549999999998</v>
      </c>
      <c r="O28" s="154">
        <f t="shared" si="4"/>
        <v>83.663550000000001</v>
      </c>
    </row>
    <row r="29" spans="2:15" ht="18.75" customHeight="1">
      <c r="B29" s="148">
        <f t="shared" si="10"/>
        <v>20</v>
      </c>
      <c r="C29" s="149" t="s">
        <v>558</v>
      </c>
      <c r="D29" s="150">
        <v>100</v>
      </c>
      <c r="E29" s="151" t="s">
        <v>549</v>
      </c>
      <c r="F29" s="152">
        <v>28.7</v>
      </c>
      <c r="G29" s="152">
        <f t="shared" si="7"/>
        <v>6.3140000000000001</v>
      </c>
      <c r="H29" s="152">
        <v>10.6</v>
      </c>
      <c r="I29" s="152">
        <f t="shared" si="8"/>
        <v>16.358999999999998</v>
      </c>
      <c r="J29" s="153">
        <f t="shared" si="9"/>
        <v>61.972999999999999</v>
      </c>
      <c r="K29" s="165"/>
      <c r="L29" s="152"/>
      <c r="N29" s="152">
        <f t="shared" si="3"/>
        <v>21.690549999999998</v>
      </c>
      <c r="O29" s="154">
        <f t="shared" si="4"/>
        <v>83.663550000000001</v>
      </c>
    </row>
    <row r="30" spans="2:15" ht="18.75" customHeight="1">
      <c r="B30" s="148">
        <f t="shared" si="10"/>
        <v>21</v>
      </c>
      <c r="C30" s="149" t="s">
        <v>559</v>
      </c>
      <c r="D30" s="150">
        <v>100</v>
      </c>
      <c r="E30" s="151" t="s">
        <v>549</v>
      </c>
      <c r="F30" s="152">
        <v>28.7</v>
      </c>
      <c r="G30" s="152">
        <f t="shared" si="7"/>
        <v>6.3140000000000001</v>
      </c>
      <c r="H30" s="152">
        <v>10.6</v>
      </c>
      <c r="I30" s="152">
        <f t="shared" si="8"/>
        <v>16.358999999999998</v>
      </c>
      <c r="J30" s="153">
        <f t="shared" si="9"/>
        <v>61.972999999999999</v>
      </c>
      <c r="K30" s="165"/>
      <c r="L30" s="152"/>
      <c r="N30" s="152">
        <f t="shared" si="3"/>
        <v>21.690549999999998</v>
      </c>
      <c r="O30" s="154">
        <f t="shared" si="4"/>
        <v>83.663550000000001</v>
      </c>
    </row>
    <row r="31" spans="2:15" ht="27" customHeight="1">
      <c r="B31" s="255" t="s">
        <v>560</v>
      </c>
      <c r="C31" s="256"/>
      <c r="D31" s="150"/>
      <c r="E31" s="257"/>
      <c r="F31" s="258"/>
      <c r="G31" s="258"/>
      <c r="H31" s="258"/>
      <c r="I31" s="258"/>
      <c r="J31" s="259"/>
      <c r="K31" s="165"/>
      <c r="L31" s="152"/>
      <c r="N31" s="152">
        <f t="shared" si="3"/>
        <v>0</v>
      </c>
      <c r="O31" s="154">
        <f t="shared" si="4"/>
        <v>0</v>
      </c>
    </row>
    <row r="32" spans="2:15" ht="22.5" customHeight="1">
      <c r="B32" s="148">
        <f>B30+1</f>
        <v>22</v>
      </c>
      <c r="C32" s="149" t="s">
        <v>561</v>
      </c>
      <c r="D32" s="150">
        <v>120</v>
      </c>
      <c r="E32" s="151" t="s">
        <v>562</v>
      </c>
      <c r="F32" s="149">
        <v>31.59</v>
      </c>
      <c r="G32" s="152">
        <f t="shared" si="7"/>
        <v>6.9497999999999998</v>
      </c>
      <c r="H32" s="152">
        <v>19</v>
      </c>
      <c r="I32" s="152">
        <f>F32*0.57</f>
        <v>18.0063</v>
      </c>
      <c r="J32" s="153">
        <f t="shared" si="9"/>
        <v>75.546099999999996</v>
      </c>
      <c r="K32" s="165"/>
      <c r="L32" s="152"/>
      <c r="N32" s="152">
        <f t="shared" si="3"/>
        <v>26.441134999999996</v>
      </c>
      <c r="O32" s="154">
        <f t="shared" si="4"/>
        <v>101.987235</v>
      </c>
    </row>
    <row r="33" spans="2:15" ht="22.5" customHeight="1">
      <c r="B33" s="148">
        <f>B32+1</f>
        <v>23</v>
      </c>
      <c r="C33" s="155" t="s">
        <v>563</v>
      </c>
      <c r="D33" s="150">
        <v>130</v>
      </c>
      <c r="E33" s="151" t="s">
        <v>549</v>
      </c>
      <c r="F33" s="149">
        <v>31.59</v>
      </c>
      <c r="G33" s="152">
        <f t="shared" si="7"/>
        <v>6.9497999999999998</v>
      </c>
      <c r="H33" s="152">
        <v>18.899999999999999</v>
      </c>
      <c r="I33" s="152">
        <f t="shared" ref="I33:I39" si="11">F33*0.57</f>
        <v>18.0063</v>
      </c>
      <c r="J33" s="153">
        <f t="shared" si="9"/>
        <v>75.446100000000001</v>
      </c>
      <c r="K33" s="165"/>
      <c r="L33" s="152"/>
      <c r="N33" s="152">
        <f t="shared" si="3"/>
        <v>26.406134999999999</v>
      </c>
      <c r="O33" s="154">
        <f t="shared" si="4"/>
        <v>101.85223500000001</v>
      </c>
    </row>
    <row r="34" spans="2:15" ht="22.5" customHeight="1">
      <c r="B34" s="148">
        <f t="shared" ref="B34:B39" si="12">B33+1</f>
        <v>24</v>
      </c>
      <c r="C34" s="149" t="s">
        <v>564</v>
      </c>
      <c r="D34" s="150">
        <v>155</v>
      </c>
      <c r="E34" s="151" t="s">
        <v>554</v>
      </c>
      <c r="F34" s="152">
        <v>45.3</v>
      </c>
      <c r="G34" s="152">
        <f t="shared" si="7"/>
        <v>9.9659999999999993</v>
      </c>
      <c r="H34" s="152">
        <v>24.6</v>
      </c>
      <c r="I34" s="152">
        <f t="shared" si="11"/>
        <v>25.820999999999994</v>
      </c>
      <c r="J34" s="153">
        <f t="shared" si="9"/>
        <v>105.687</v>
      </c>
      <c r="K34" s="165"/>
      <c r="L34" s="152"/>
      <c r="N34" s="152">
        <f t="shared" si="3"/>
        <v>36.990449999999996</v>
      </c>
      <c r="O34" s="154">
        <f t="shared" si="4"/>
        <v>142.67744999999999</v>
      </c>
    </row>
    <row r="35" spans="2:15" ht="22.5" customHeight="1">
      <c r="B35" s="148">
        <f t="shared" si="12"/>
        <v>25</v>
      </c>
      <c r="C35" s="149" t="s">
        <v>565</v>
      </c>
      <c r="D35" s="150">
        <v>125</v>
      </c>
      <c r="E35" s="151" t="s">
        <v>554</v>
      </c>
      <c r="F35" s="149">
        <v>29.31</v>
      </c>
      <c r="G35" s="152">
        <f t="shared" si="7"/>
        <v>6.4481999999999999</v>
      </c>
      <c r="H35" s="152">
        <v>24.6</v>
      </c>
      <c r="I35" s="152">
        <f t="shared" si="11"/>
        <v>16.706699999999998</v>
      </c>
      <c r="J35" s="153">
        <f t="shared" si="9"/>
        <v>77.064899999999994</v>
      </c>
      <c r="K35" s="165"/>
      <c r="L35" s="152"/>
      <c r="N35" s="152">
        <f t="shared" si="3"/>
        <v>26.972714999999997</v>
      </c>
      <c r="O35" s="154">
        <f t="shared" si="4"/>
        <v>104.03761499999999</v>
      </c>
    </row>
    <row r="36" spans="2:15" ht="22.5" customHeight="1">
      <c r="B36" s="148">
        <f t="shared" si="12"/>
        <v>26</v>
      </c>
      <c r="C36" s="149" t="s">
        <v>566</v>
      </c>
      <c r="D36" s="150">
        <v>100</v>
      </c>
      <c r="E36" s="151" t="s">
        <v>554</v>
      </c>
      <c r="F36" s="149">
        <v>29.21</v>
      </c>
      <c r="G36" s="152">
        <f t="shared" si="7"/>
        <v>6.4262000000000006</v>
      </c>
      <c r="H36" s="152">
        <v>8</v>
      </c>
      <c r="I36" s="152">
        <f t="shared" si="11"/>
        <v>16.649699999999999</v>
      </c>
      <c r="J36" s="153">
        <f t="shared" si="9"/>
        <v>60.285899999999998</v>
      </c>
      <c r="K36" s="165"/>
      <c r="L36" s="152"/>
      <c r="N36" s="152">
        <f t="shared" si="3"/>
        <v>21.100064999999997</v>
      </c>
      <c r="O36" s="154">
        <f t="shared" si="4"/>
        <v>81.385964999999999</v>
      </c>
    </row>
    <row r="37" spans="2:15" ht="22.5" customHeight="1">
      <c r="B37" s="148">
        <f t="shared" si="12"/>
        <v>27</v>
      </c>
      <c r="C37" s="149" t="s">
        <v>567</v>
      </c>
      <c r="D37" s="164">
        <v>60</v>
      </c>
      <c r="E37" s="151" t="s">
        <v>546</v>
      </c>
      <c r="F37" s="149">
        <v>23.69</v>
      </c>
      <c r="G37" s="152">
        <f t="shared" si="7"/>
        <v>5.2118000000000002</v>
      </c>
      <c r="H37" s="152">
        <v>19</v>
      </c>
      <c r="I37" s="152">
        <f t="shared" si="11"/>
        <v>13.503299999999999</v>
      </c>
      <c r="J37" s="153">
        <f t="shared" si="9"/>
        <v>61.405100000000004</v>
      </c>
      <c r="K37" s="165"/>
      <c r="L37" s="152"/>
      <c r="N37" s="152">
        <f t="shared" si="3"/>
        <v>21.491785</v>
      </c>
      <c r="O37" s="154">
        <f t="shared" si="4"/>
        <v>82.896884999999997</v>
      </c>
    </row>
    <row r="38" spans="2:15" ht="22.5" customHeight="1">
      <c r="B38" s="148">
        <f t="shared" si="12"/>
        <v>28</v>
      </c>
      <c r="C38" s="155" t="s">
        <v>568</v>
      </c>
      <c r="D38" s="164">
        <v>65</v>
      </c>
      <c r="E38" s="151" t="s">
        <v>546</v>
      </c>
      <c r="F38" s="149">
        <v>23.69</v>
      </c>
      <c r="G38" s="152">
        <f t="shared" si="7"/>
        <v>5.2118000000000002</v>
      </c>
      <c r="H38" s="152">
        <v>18.899999999999999</v>
      </c>
      <c r="I38" s="152">
        <f t="shared" si="11"/>
        <v>13.503299999999999</v>
      </c>
      <c r="J38" s="153">
        <f t="shared" si="9"/>
        <v>61.305099999999996</v>
      </c>
      <c r="K38" s="165"/>
      <c r="L38" s="152"/>
      <c r="N38" s="152">
        <f t="shared" si="3"/>
        <v>21.456784999999996</v>
      </c>
      <c r="O38" s="154">
        <f t="shared" si="4"/>
        <v>82.761884999999992</v>
      </c>
    </row>
    <row r="39" spans="2:15" ht="22.5" customHeight="1">
      <c r="B39" s="148">
        <f t="shared" si="12"/>
        <v>29</v>
      </c>
      <c r="C39" s="149" t="s">
        <v>569</v>
      </c>
      <c r="D39" s="164">
        <v>77</v>
      </c>
      <c r="E39" s="151" t="s">
        <v>549</v>
      </c>
      <c r="F39" s="149">
        <v>30.2</v>
      </c>
      <c r="G39" s="152">
        <f t="shared" si="7"/>
        <v>6.6440000000000001</v>
      </c>
      <c r="H39" s="152">
        <v>24.6</v>
      </c>
      <c r="I39" s="152">
        <f t="shared" si="11"/>
        <v>17.213999999999999</v>
      </c>
      <c r="J39" s="153">
        <f t="shared" si="9"/>
        <v>78.658000000000001</v>
      </c>
      <c r="K39" s="165"/>
      <c r="L39" s="152"/>
      <c r="N39" s="152">
        <f t="shared" si="3"/>
        <v>27.5303</v>
      </c>
      <c r="O39" s="154">
        <f t="shared" si="4"/>
        <v>106.1883</v>
      </c>
    </row>
    <row r="40" spans="2:15" ht="27" customHeight="1">
      <c r="B40" s="255" t="s">
        <v>570</v>
      </c>
      <c r="C40" s="256"/>
      <c r="D40" s="150"/>
      <c r="E40" s="257"/>
      <c r="F40" s="258"/>
      <c r="G40" s="258"/>
      <c r="H40" s="258"/>
      <c r="I40" s="258"/>
      <c r="J40" s="259"/>
      <c r="K40" s="165"/>
      <c r="L40" s="152"/>
      <c r="N40" s="152">
        <f t="shared" si="3"/>
        <v>0</v>
      </c>
      <c r="O40" s="154">
        <f t="shared" si="4"/>
        <v>0</v>
      </c>
    </row>
    <row r="41" spans="2:15" ht="21.75" customHeight="1">
      <c r="B41" s="148">
        <f>30</f>
        <v>30</v>
      </c>
      <c r="C41" s="155" t="s">
        <v>571</v>
      </c>
      <c r="D41" s="157">
        <v>271.58999999999997</v>
      </c>
      <c r="E41" s="151" t="s">
        <v>572</v>
      </c>
      <c r="F41" s="149">
        <v>31.28</v>
      </c>
      <c r="G41" s="152">
        <f t="shared" si="7"/>
        <v>6.8816000000000006</v>
      </c>
      <c r="H41" s="152">
        <f>23.03</f>
        <v>23.03</v>
      </c>
      <c r="I41" s="152">
        <f>F41*0.66</f>
        <v>20.6448</v>
      </c>
      <c r="J41" s="153">
        <f>F41+G41+H41+I41</f>
        <v>81.836399999999998</v>
      </c>
      <c r="K41" s="165"/>
      <c r="L41" s="152"/>
      <c r="N41" s="152">
        <f t="shared" si="3"/>
        <v>28.642739999999996</v>
      </c>
      <c r="O41" s="154">
        <f t="shared" si="4"/>
        <v>110.47914</v>
      </c>
    </row>
    <row r="42" spans="2:15" ht="21.75" customHeight="1">
      <c r="B42" s="148">
        <f>B41+1</f>
        <v>31</v>
      </c>
      <c r="C42" s="155" t="s">
        <v>573</v>
      </c>
      <c r="D42" s="166">
        <v>257.89999999999998</v>
      </c>
      <c r="E42" s="151" t="s">
        <v>574</v>
      </c>
      <c r="F42" s="149">
        <v>40.14</v>
      </c>
      <c r="G42" s="152">
        <f t="shared" si="7"/>
        <v>8.8308</v>
      </c>
      <c r="H42" s="152">
        <v>23.03</v>
      </c>
      <c r="I42" s="152">
        <f t="shared" ref="I42:I44" si="13">F42*0.66</f>
        <v>26.4924</v>
      </c>
      <c r="J42" s="153">
        <f t="shared" ref="J42:J63" si="14">F42+G42+H42+I42</f>
        <v>98.493200000000002</v>
      </c>
      <c r="K42" s="165"/>
      <c r="L42" s="152"/>
      <c r="N42" s="152">
        <f t="shared" si="3"/>
        <v>34.472619999999999</v>
      </c>
      <c r="O42" s="154">
        <f t="shared" si="4"/>
        <v>132.96582000000001</v>
      </c>
    </row>
    <row r="43" spans="2:15" ht="21.75" customHeight="1">
      <c r="B43" s="148">
        <f t="shared" ref="B43:B60" si="15">B42+1</f>
        <v>32</v>
      </c>
      <c r="C43" s="155" t="s">
        <v>575</v>
      </c>
      <c r="D43" s="166">
        <v>260.72000000000003</v>
      </c>
      <c r="E43" s="151" t="s">
        <v>572</v>
      </c>
      <c r="F43" s="149">
        <v>31.28</v>
      </c>
      <c r="G43" s="152">
        <f t="shared" si="7"/>
        <v>6.8816000000000006</v>
      </c>
      <c r="H43" s="152">
        <v>23.03</v>
      </c>
      <c r="I43" s="152">
        <f t="shared" si="13"/>
        <v>20.6448</v>
      </c>
      <c r="J43" s="153">
        <f t="shared" si="14"/>
        <v>81.836399999999998</v>
      </c>
      <c r="K43" s="165"/>
      <c r="L43" s="152"/>
      <c r="N43" s="152">
        <f t="shared" si="3"/>
        <v>28.642739999999996</v>
      </c>
      <c r="O43" s="154">
        <f t="shared" si="4"/>
        <v>110.47914</v>
      </c>
    </row>
    <row r="44" spans="2:15" ht="33.75" customHeight="1">
      <c r="B44" s="148">
        <f t="shared" si="15"/>
        <v>33</v>
      </c>
      <c r="C44" s="155" t="s">
        <v>576</v>
      </c>
      <c r="D44" s="166">
        <v>279.55</v>
      </c>
      <c r="E44" s="151" t="s">
        <v>572</v>
      </c>
      <c r="F44" s="149">
        <v>40.14</v>
      </c>
      <c r="G44" s="152">
        <f t="shared" si="7"/>
        <v>8.8308</v>
      </c>
      <c r="H44" s="152">
        <v>23.03</v>
      </c>
      <c r="I44" s="152">
        <f t="shared" si="13"/>
        <v>26.4924</v>
      </c>
      <c r="J44" s="153">
        <f t="shared" si="14"/>
        <v>98.493200000000002</v>
      </c>
      <c r="K44" s="165"/>
      <c r="L44" s="152"/>
      <c r="N44" s="152">
        <f t="shared" si="3"/>
        <v>34.472619999999999</v>
      </c>
      <c r="O44" s="154">
        <f t="shared" si="4"/>
        <v>132.96582000000001</v>
      </c>
    </row>
    <row r="45" spans="2:15" ht="21.75" customHeight="1">
      <c r="B45" s="148"/>
      <c r="C45" s="167" t="s">
        <v>577</v>
      </c>
      <c r="D45" s="166"/>
      <c r="E45" s="151"/>
      <c r="F45" s="149"/>
      <c r="G45" s="152"/>
      <c r="H45" s="152"/>
      <c r="I45" s="152"/>
      <c r="J45" s="153"/>
      <c r="K45" s="165"/>
      <c r="L45" s="152"/>
      <c r="N45" s="152">
        <f t="shared" si="3"/>
        <v>0</v>
      </c>
      <c r="O45" s="154">
        <f t="shared" si="4"/>
        <v>0</v>
      </c>
    </row>
    <row r="46" spans="2:15" ht="21.75" customHeight="1">
      <c r="B46" s="148">
        <v>34</v>
      </c>
      <c r="C46" s="155" t="s">
        <v>578</v>
      </c>
      <c r="D46" s="166"/>
      <c r="E46" s="151" t="s">
        <v>579</v>
      </c>
      <c r="F46" s="149">
        <v>15.43</v>
      </c>
      <c r="G46" s="152">
        <f t="shared" si="7"/>
        <v>3.3946000000000001</v>
      </c>
      <c r="H46" s="152">
        <v>15.35</v>
      </c>
      <c r="I46" s="152">
        <f>F46*0.68</f>
        <v>10.4924</v>
      </c>
      <c r="J46" s="153">
        <f t="shared" si="14"/>
        <v>44.667000000000002</v>
      </c>
      <c r="K46" s="165"/>
      <c r="L46" s="152"/>
      <c r="N46" s="152">
        <f t="shared" si="3"/>
        <v>15.63345</v>
      </c>
      <c r="O46" s="154">
        <f t="shared" si="4"/>
        <v>60.300449999999998</v>
      </c>
    </row>
    <row r="47" spans="2:15" ht="21.75" customHeight="1">
      <c r="B47" s="148"/>
      <c r="C47" s="167" t="s">
        <v>580</v>
      </c>
      <c r="D47" s="166"/>
      <c r="E47" s="151"/>
      <c r="F47" s="149"/>
      <c r="G47" s="152"/>
      <c r="H47" s="152"/>
      <c r="I47" s="152"/>
      <c r="J47" s="153"/>
      <c r="K47" s="165"/>
      <c r="L47" s="152"/>
      <c r="N47" s="152">
        <f t="shared" si="3"/>
        <v>0</v>
      </c>
      <c r="O47" s="154">
        <f t="shared" si="4"/>
        <v>0</v>
      </c>
    </row>
    <row r="48" spans="2:15" ht="21.75" customHeight="1">
      <c r="B48" s="148">
        <v>35</v>
      </c>
      <c r="C48" s="155" t="s">
        <v>581</v>
      </c>
      <c r="D48" s="166"/>
      <c r="E48" s="151" t="s">
        <v>582</v>
      </c>
      <c r="F48" s="149">
        <v>12.96</v>
      </c>
      <c r="G48" s="152">
        <v>2.4</v>
      </c>
      <c r="H48" s="152">
        <v>5.35</v>
      </c>
      <c r="I48" s="152">
        <v>15.11</v>
      </c>
      <c r="J48" s="153">
        <f t="shared" si="14"/>
        <v>35.82</v>
      </c>
      <c r="K48" s="165"/>
      <c r="L48" s="152"/>
      <c r="N48" s="152">
        <f t="shared" si="3"/>
        <v>12.536999999999999</v>
      </c>
      <c r="O48" s="154">
        <f t="shared" si="4"/>
        <v>48.356999999999999</v>
      </c>
    </row>
    <row r="49" spans="2:15" ht="21.75" customHeight="1">
      <c r="B49" s="148">
        <v>36</v>
      </c>
      <c r="C49" s="155" t="s">
        <v>583</v>
      </c>
      <c r="D49" s="166"/>
      <c r="E49" s="151" t="s">
        <v>584</v>
      </c>
      <c r="F49" s="149">
        <v>7.71</v>
      </c>
      <c r="G49" s="152">
        <v>1.45</v>
      </c>
      <c r="H49" s="152">
        <v>5.35</v>
      </c>
      <c r="I49" s="152">
        <v>32.53</v>
      </c>
      <c r="J49" s="153">
        <f t="shared" si="14"/>
        <v>47.04</v>
      </c>
      <c r="K49" s="165"/>
      <c r="L49" s="152"/>
      <c r="N49" s="152">
        <f t="shared" si="3"/>
        <v>16.463999999999999</v>
      </c>
      <c r="O49" s="154">
        <f t="shared" si="4"/>
        <v>63.503999999999998</v>
      </c>
    </row>
    <row r="50" spans="2:15" ht="21.75" customHeight="1">
      <c r="B50" s="148">
        <v>37</v>
      </c>
      <c r="C50" s="155" t="s">
        <v>585</v>
      </c>
      <c r="D50" s="166"/>
      <c r="E50" s="151" t="s">
        <v>584</v>
      </c>
      <c r="F50" s="149">
        <v>7.71</v>
      </c>
      <c r="G50" s="152">
        <v>1.45</v>
      </c>
      <c r="H50" s="152">
        <v>5.35</v>
      </c>
      <c r="I50" s="152">
        <v>32.53</v>
      </c>
      <c r="J50" s="153">
        <f t="shared" si="14"/>
        <v>47.04</v>
      </c>
      <c r="K50" s="165"/>
      <c r="L50" s="152"/>
      <c r="N50" s="152">
        <f t="shared" si="3"/>
        <v>16.463999999999999</v>
      </c>
      <c r="O50" s="154">
        <f t="shared" si="4"/>
        <v>63.503999999999998</v>
      </c>
    </row>
    <row r="51" spans="2:15" ht="21.75" customHeight="1">
      <c r="B51" s="148"/>
      <c r="C51" s="167" t="s">
        <v>586</v>
      </c>
      <c r="D51" s="166"/>
      <c r="E51" s="151"/>
      <c r="F51" s="149"/>
      <c r="G51" s="152"/>
      <c r="H51" s="152"/>
      <c r="I51" s="152"/>
      <c r="J51" s="153"/>
      <c r="K51" s="165"/>
      <c r="L51" s="152"/>
      <c r="N51" s="152">
        <f t="shared" si="3"/>
        <v>0</v>
      </c>
      <c r="O51" s="154">
        <f t="shared" si="4"/>
        <v>0</v>
      </c>
    </row>
    <row r="52" spans="2:15" ht="21.75" customHeight="1">
      <c r="B52" s="148">
        <v>38</v>
      </c>
      <c r="C52" s="149" t="s">
        <v>587</v>
      </c>
      <c r="D52" s="150">
        <v>100</v>
      </c>
      <c r="E52" s="151" t="s">
        <v>549</v>
      </c>
      <c r="F52" s="152">
        <f>76.67/60*20</f>
        <v>25.556666666666668</v>
      </c>
      <c r="G52" s="152">
        <f>F52*22%</f>
        <v>5.6224666666666669</v>
      </c>
      <c r="H52" s="149">
        <v>5.2</v>
      </c>
      <c r="I52" s="152">
        <f t="shared" ref="I52:I63" si="16">F52*0.57</f>
        <v>14.567299999999999</v>
      </c>
      <c r="J52" s="153">
        <f t="shared" si="14"/>
        <v>50.946433333333331</v>
      </c>
      <c r="K52" s="150"/>
      <c r="L52" s="152"/>
      <c r="M52" s="134">
        <v>1.22</v>
      </c>
      <c r="N52" s="152">
        <f t="shared" si="3"/>
        <v>17.831251666666663</v>
      </c>
      <c r="O52" s="154">
        <f t="shared" si="4"/>
        <v>68.777684999999991</v>
      </c>
    </row>
    <row r="53" spans="2:15" ht="21.75" customHeight="1">
      <c r="B53" s="148">
        <f t="shared" si="15"/>
        <v>39</v>
      </c>
      <c r="C53" s="149" t="s">
        <v>588</v>
      </c>
      <c r="D53" s="150">
        <v>100</v>
      </c>
      <c r="E53" s="151" t="s">
        <v>549</v>
      </c>
      <c r="F53" s="152">
        <f>77.3/60*20</f>
        <v>25.766666666666666</v>
      </c>
      <c r="G53" s="152">
        <f>F53*22%</f>
        <v>5.6686666666666667</v>
      </c>
      <c r="H53" s="149">
        <v>5.2</v>
      </c>
      <c r="I53" s="152">
        <f t="shared" si="16"/>
        <v>14.686999999999998</v>
      </c>
      <c r="J53" s="153">
        <f t="shared" si="14"/>
        <v>51.322333333333333</v>
      </c>
      <c r="K53" s="150"/>
      <c r="L53" s="152"/>
      <c r="M53" s="134">
        <v>1.22</v>
      </c>
      <c r="N53" s="152">
        <f t="shared" si="3"/>
        <v>17.962816666666665</v>
      </c>
      <c r="O53" s="154">
        <f t="shared" si="4"/>
        <v>69.285150000000002</v>
      </c>
    </row>
    <row r="54" spans="2:15" ht="21.75" customHeight="1">
      <c r="B54" s="148">
        <f t="shared" si="15"/>
        <v>40</v>
      </c>
      <c r="C54" s="149" t="s">
        <v>589</v>
      </c>
      <c r="D54" s="150">
        <v>100</v>
      </c>
      <c r="E54" s="151" t="s">
        <v>590</v>
      </c>
      <c r="F54" s="152">
        <f>73.25/60*23</f>
        <v>28.079166666666669</v>
      </c>
      <c r="G54" s="152">
        <f t="shared" ref="G54:G63" si="17">F54*22%</f>
        <v>6.1774166666666677</v>
      </c>
      <c r="H54" s="149">
        <v>5.2</v>
      </c>
      <c r="I54" s="152">
        <f t="shared" si="16"/>
        <v>16.005125</v>
      </c>
      <c r="J54" s="153">
        <f t="shared" si="14"/>
        <v>55.461708333333341</v>
      </c>
      <c r="K54" s="150"/>
      <c r="L54" s="152"/>
      <c r="M54" s="134">
        <v>1.22</v>
      </c>
      <c r="N54" s="152">
        <f t="shared" si="3"/>
        <v>19.411597916666668</v>
      </c>
      <c r="O54" s="154">
        <f t="shared" si="4"/>
        <v>74.873306250000013</v>
      </c>
    </row>
    <row r="55" spans="2:15" ht="21.75" customHeight="1">
      <c r="B55" s="148">
        <f t="shared" si="15"/>
        <v>41</v>
      </c>
      <c r="C55" s="149" t="s">
        <v>591</v>
      </c>
      <c r="D55" s="150">
        <v>100</v>
      </c>
      <c r="E55" s="151" t="s">
        <v>549</v>
      </c>
      <c r="F55" s="152">
        <f>69.34/60*20</f>
        <v>23.113333333333333</v>
      </c>
      <c r="G55" s="152">
        <f t="shared" si="17"/>
        <v>5.0849333333333337</v>
      </c>
      <c r="H55" s="149">
        <v>5.2</v>
      </c>
      <c r="I55" s="152">
        <f t="shared" si="16"/>
        <v>13.174599999999998</v>
      </c>
      <c r="J55" s="153">
        <f t="shared" si="14"/>
        <v>46.57286666666667</v>
      </c>
      <c r="K55" s="150"/>
      <c r="L55" s="152"/>
      <c r="M55" s="134">
        <v>1.22</v>
      </c>
      <c r="N55" s="152">
        <f t="shared" si="3"/>
        <v>16.300503333333335</v>
      </c>
      <c r="O55" s="154">
        <f t="shared" si="4"/>
        <v>62.873370000000008</v>
      </c>
    </row>
    <row r="56" spans="2:15" ht="21.75" customHeight="1">
      <c r="B56" s="148">
        <f t="shared" si="15"/>
        <v>42</v>
      </c>
      <c r="C56" s="149" t="s">
        <v>592</v>
      </c>
      <c r="D56" s="150">
        <v>100</v>
      </c>
      <c r="E56" s="151" t="s">
        <v>549</v>
      </c>
      <c r="F56" s="152">
        <f>68.74/60*20</f>
        <v>22.913333333333334</v>
      </c>
      <c r="G56" s="152">
        <f t="shared" si="17"/>
        <v>5.0409333333333333</v>
      </c>
      <c r="H56" s="149">
        <v>5.2</v>
      </c>
      <c r="I56" s="152">
        <f t="shared" si="16"/>
        <v>13.060599999999999</v>
      </c>
      <c r="J56" s="153">
        <f t="shared" si="14"/>
        <v>46.214866666666673</v>
      </c>
      <c r="K56" s="150"/>
      <c r="L56" s="152"/>
      <c r="M56" s="134">
        <v>1.22</v>
      </c>
      <c r="N56" s="152">
        <f t="shared" si="3"/>
        <v>16.175203333333336</v>
      </c>
      <c r="O56" s="154">
        <f t="shared" si="4"/>
        <v>62.390070000000009</v>
      </c>
    </row>
    <row r="57" spans="2:15" ht="21.75" customHeight="1">
      <c r="B57" s="148">
        <f t="shared" si="15"/>
        <v>43</v>
      </c>
      <c r="C57" s="149" t="s">
        <v>593</v>
      </c>
      <c r="D57" s="150">
        <v>100</v>
      </c>
      <c r="E57" s="151" t="s">
        <v>549</v>
      </c>
      <c r="F57" s="152">
        <f>93.05/60*20</f>
        <v>31.016666666666666</v>
      </c>
      <c r="G57" s="152">
        <f t="shared" si="17"/>
        <v>6.8236666666666661</v>
      </c>
      <c r="H57" s="149">
        <v>5.2</v>
      </c>
      <c r="I57" s="152">
        <f t="shared" si="16"/>
        <v>17.679499999999997</v>
      </c>
      <c r="J57" s="153">
        <f t="shared" si="14"/>
        <v>60.719833333333334</v>
      </c>
      <c r="K57" s="150"/>
      <c r="L57" s="152"/>
      <c r="M57" s="134">
        <v>1.22</v>
      </c>
      <c r="N57" s="152">
        <f t="shared" si="3"/>
        <v>21.251941666666667</v>
      </c>
      <c r="O57" s="154">
        <f t="shared" si="4"/>
        <v>81.971775000000008</v>
      </c>
    </row>
    <row r="58" spans="2:15" ht="21.75" customHeight="1">
      <c r="B58" s="148">
        <f t="shared" si="15"/>
        <v>44</v>
      </c>
      <c r="C58" s="149" t="s">
        <v>594</v>
      </c>
      <c r="D58" s="150">
        <v>100</v>
      </c>
      <c r="E58" s="151" t="s">
        <v>549</v>
      </c>
      <c r="F58" s="152">
        <f>80.5/60*20</f>
        <v>26.833333333333332</v>
      </c>
      <c r="G58" s="152">
        <f t="shared" si="17"/>
        <v>5.9033333333333333</v>
      </c>
      <c r="H58" s="149">
        <v>5.2</v>
      </c>
      <c r="I58" s="152">
        <f t="shared" si="16"/>
        <v>15.294999999999998</v>
      </c>
      <c r="J58" s="153">
        <f t="shared" si="14"/>
        <v>53.231666666666669</v>
      </c>
      <c r="K58" s="150"/>
      <c r="L58" s="152"/>
      <c r="M58" s="134">
        <v>1.22</v>
      </c>
      <c r="N58" s="152">
        <f t="shared" si="3"/>
        <v>18.631083333333333</v>
      </c>
      <c r="O58" s="154">
        <f t="shared" si="4"/>
        <v>71.862750000000005</v>
      </c>
    </row>
    <row r="59" spans="2:15" ht="21.75" customHeight="1">
      <c r="B59" s="148">
        <f t="shared" si="15"/>
        <v>45</v>
      </c>
      <c r="C59" s="149" t="s">
        <v>595</v>
      </c>
      <c r="D59" s="150">
        <v>100</v>
      </c>
      <c r="E59" s="151" t="s">
        <v>549</v>
      </c>
      <c r="F59" s="152">
        <f>64.36/60*20</f>
        <v>21.453333333333333</v>
      </c>
      <c r="G59" s="152">
        <f t="shared" si="17"/>
        <v>4.7197333333333331</v>
      </c>
      <c r="H59" s="149">
        <v>5.2</v>
      </c>
      <c r="I59" s="152">
        <f t="shared" si="16"/>
        <v>12.228399999999999</v>
      </c>
      <c r="J59" s="153">
        <f t="shared" si="14"/>
        <v>43.601466666666667</v>
      </c>
      <c r="K59" s="165"/>
      <c r="L59" s="152"/>
      <c r="M59" s="134">
        <v>1.22</v>
      </c>
      <c r="N59" s="152">
        <f t="shared" si="3"/>
        <v>15.260513333333332</v>
      </c>
      <c r="O59" s="154">
        <f t="shared" si="4"/>
        <v>58.861980000000003</v>
      </c>
    </row>
    <row r="60" spans="2:15" ht="21.75" customHeight="1">
      <c r="B60" s="148">
        <f t="shared" si="15"/>
        <v>46</v>
      </c>
      <c r="C60" s="149" t="s">
        <v>596</v>
      </c>
      <c r="D60" s="150">
        <v>100</v>
      </c>
      <c r="E60" s="151" t="s">
        <v>549</v>
      </c>
      <c r="F60" s="152">
        <f>79.62/60*20</f>
        <v>26.540000000000003</v>
      </c>
      <c r="G60" s="152">
        <f t="shared" si="17"/>
        <v>5.8388000000000009</v>
      </c>
      <c r="H60" s="149">
        <v>5.2</v>
      </c>
      <c r="I60" s="152">
        <f t="shared" si="16"/>
        <v>15.127800000000001</v>
      </c>
      <c r="J60" s="153">
        <f t="shared" si="14"/>
        <v>52.706600000000009</v>
      </c>
      <c r="K60" s="150"/>
      <c r="L60" s="152"/>
      <c r="M60" s="134">
        <v>1.22</v>
      </c>
      <c r="N60" s="152">
        <f t="shared" si="3"/>
        <v>18.447310000000002</v>
      </c>
      <c r="O60" s="154">
        <f t="shared" si="4"/>
        <v>71.15391000000001</v>
      </c>
    </row>
    <row r="61" spans="2:15" ht="21.75" customHeight="1">
      <c r="B61" s="148">
        <v>43</v>
      </c>
      <c r="C61" s="149" t="s">
        <v>597</v>
      </c>
      <c r="D61" s="150"/>
      <c r="E61" s="151" t="s">
        <v>549</v>
      </c>
      <c r="F61" s="152">
        <f>68.74/60*20</f>
        <v>22.913333333333334</v>
      </c>
      <c r="G61" s="152">
        <f t="shared" si="17"/>
        <v>5.0409333333333333</v>
      </c>
      <c r="H61" s="149">
        <v>5.2</v>
      </c>
      <c r="I61" s="152">
        <f t="shared" si="16"/>
        <v>13.060599999999999</v>
      </c>
      <c r="J61" s="153">
        <f t="shared" si="14"/>
        <v>46.214866666666673</v>
      </c>
      <c r="K61" s="150"/>
      <c r="L61" s="152"/>
      <c r="M61" s="134">
        <v>1.22</v>
      </c>
      <c r="N61" s="152">
        <f t="shared" si="3"/>
        <v>16.175203333333336</v>
      </c>
      <c r="O61" s="154">
        <f t="shared" si="4"/>
        <v>62.390070000000009</v>
      </c>
    </row>
    <row r="62" spans="2:15" ht="21.75" customHeight="1">
      <c r="B62" s="148">
        <v>44</v>
      </c>
      <c r="C62" s="149" t="s">
        <v>598</v>
      </c>
      <c r="D62" s="150"/>
      <c r="E62" s="151" t="s">
        <v>549</v>
      </c>
      <c r="F62" s="152">
        <f>67.82/60*20</f>
        <v>22.606666666666662</v>
      </c>
      <c r="G62" s="152">
        <f t="shared" si="17"/>
        <v>4.973466666666666</v>
      </c>
      <c r="H62" s="149">
        <v>5.2</v>
      </c>
      <c r="I62" s="152">
        <f t="shared" si="16"/>
        <v>12.885799999999996</v>
      </c>
      <c r="J62" s="153">
        <f t="shared" si="14"/>
        <v>45.665933333333328</v>
      </c>
      <c r="K62" s="150"/>
      <c r="L62" s="152"/>
      <c r="M62" s="134">
        <v>1.22</v>
      </c>
      <c r="N62" s="152">
        <f t="shared" si="3"/>
        <v>15.983076666666664</v>
      </c>
      <c r="O62" s="154">
        <f t="shared" si="4"/>
        <v>61.64900999999999</v>
      </c>
    </row>
    <row r="63" spans="2:15" ht="21.75" customHeight="1">
      <c r="B63" s="168">
        <v>45</v>
      </c>
      <c r="C63" s="169" t="s">
        <v>599</v>
      </c>
      <c r="D63" s="164">
        <v>100</v>
      </c>
      <c r="E63" s="170" t="s">
        <v>549</v>
      </c>
      <c r="F63" s="171">
        <f>79.62/60*20</f>
        <v>26.540000000000003</v>
      </c>
      <c r="G63" s="171">
        <f t="shared" si="17"/>
        <v>5.8388000000000009</v>
      </c>
      <c r="H63" s="169">
        <v>5.2</v>
      </c>
      <c r="I63" s="171">
        <f t="shared" si="16"/>
        <v>15.127800000000001</v>
      </c>
      <c r="J63" s="172">
        <f t="shared" si="14"/>
        <v>52.706600000000009</v>
      </c>
      <c r="K63" s="173"/>
      <c r="L63" s="171"/>
      <c r="M63" s="134">
        <v>1.22</v>
      </c>
      <c r="N63" s="171">
        <f t="shared" si="3"/>
        <v>18.447310000000002</v>
      </c>
      <c r="O63" s="174">
        <f t="shared" si="4"/>
        <v>71.15391000000001</v>
      </c>
    </row>
    <row r="64" spans="2:15" ht="27" customHeight="1">
      <c r="B64" s="149"/>
      <c r="C64" s="149"/>
      <c r="D64" s="149"/>
      <c r="E64" s="151"/>
      <c r="F64" s="152"/>
      <c r="G64" s="152"/>
      <c r="H64" s="149"/>
      <c r="I64" s="152"/>
      <c r="J64" s="152"/>
      <c r="K64" s="175"/>
      <c r="L64" s="152"/>
      <c r="M64" s="147"/>
      <c r="N64" s="152"/>
      <c r="O64" s="152"/>
    </row>
    <row r="65" spans="2:10">
      <c r="B65" s="176"/>
      <c r="C65" s="176"/>
      <c r="D65" s="176"/>
      <c r="E65" s="176"/>
      <c r="F65" s="176"/>
      <c r="G65" s="176"/>
      <c r="H65" s="176"/>
      <c r="I65" s="176"/>
      <c r="J65" s="176"/>
    </row>
    <row r="66" spans="2:10">
      <c r="B66" s="176"/>
      <c r="C66" s="176"/>
      <c r="D66" s="176"/>
      <c r="E66" s="176"/>
      <c r="F66" s="176"/>
      <c r="G66" s="176"/>
      <c r="H66" s="176"/>
      <c r="I66" s="176"/>
      <c r="J66" s="176"/>
    </row>
    <row r="67" spans="2:10">
      <c r="B67" s="177" t="s">
        <v>600</v>
      </c>
      <c r="C67" s="176"/>
      <c r="D67" s="176"/>
      <c r="E67" s="176"/>
      <c r="F67" s="176"/>
      <c r="G67" s="176"/>
      <c r="H67" s="176"/>
      <c r="I67" s="176"/>
      <c r="J67" s="176"/>
    </row>
    <row r="68" spans="2:10">
      <c r="B68" s="176" t="s">
        <v>601</v>
      </c>
      <c r="C68" s="176"/>
      <c r="D68" s="176"/>
      <c r="E68" s="176"/>
      <c r="F68" s="176"/>
      <c r="G68" s="176"/>
      <c r="H68" s="176"/>
      <c r="I68" s="176"/>
      <c r="J68" s="176"/>
    </row>
  </sheetData>
  <mergeCells count="10">
    <mergeCell ref="B31:C31"/>
    <mergeCell ref="E31:J31"/>
    <mergeCell ref="B40:C40"/>
    <mergeCell ref="E40:J40"/>
    <mergeCell ref="B4:C5"/>
    <mergeCell ref="B6:C6"/>
    <mergeCell ref="B8:C8"/>
    <mergeCell ref="E8:J8"/>
    <mergeCell ref="B22:C22"/>
    <mergeCell ref="E22:J22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300" r:id="rId1"/>
  <rowBreaks count="2" manualBreakCount="2">
    <brk id="35" max="14" man="1"/>
    <brk id="68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4"/>
  <sheetViews>
    <sheetView topLeftCell="A76" zoomScale="106" zoomScaleNormal="106" workbookViewId="0">
      <selection activeCell="E3" sqref="E3"/>
    </sheetView>
  </sheetViews>
  <sheetFormatPr defaultRowHeight="15"/>
  <cols>
    <col min="1" max="1" width="6.140625" style="274" customWidth="1"/>
    <col min="2" max="2" width="26.42578125" style="274" customWidth="1"/>
    <col min="3" max="3" width="12.140625" style="274" customWidth="1"/>
    <col min="4" max="4" width="13.85546875" style="274" customWidth="1"/>
    <col min="5" max="5" width="11.28515625" style="274" customWidth="1"/>
    <col min="6" max="6" width="11.140625" style="274" customWidth="1"/>
    <col min="7" max="7" width="8.7109375" style="274" customWidth="1"/>
    <col min="8" max="8" width="12.42578125" style="274" customWidth="1"/>
    <col min="9" max="9" width="15.140625" style="274" customWidth="1"/>
    <col min="10" max="10" width="11.140625" style="274" customWidth="1"/>
    <col min="11" max="11" width="10" style="274" customWidth="1"/>
    <col min="12" max="16384" width="9.140625" style="274"/>
  </cols>
  <sheetData>
    <row r="1" spans="1:11" ht="49.5" customHeight="1">
      <c r="A1" s="275" t="s">
        <v>971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</row>
    <row r="2" spans="1:11" ht="71.25" customHeight="1">
      <c r="A2" s="276" t="s">
        <v>972</v>
      </c>
      <c r="B2" s="277" t="s">
        <v>130</v>
      </c>
      <c r="C2" s="278" t="s">
        <v>525</v>
      </c>
      <c r="D2" s="276" t="s">
        <v>973</v>
      </c>
      <c r="E2" s="276" t="s">
        <v>1787</v>
      </c>
      <c r="F2" s="276" t="s">
        <v>244</v>
      </c>
      <c r="G2" s="276" t="s">
        <v>607</v>
      </c>
      <c r="H2" s="279" t="s">
        <v>1788</v>
      </c>
      <c r="I2" s="279" t="s">
        <v>131</v>
      </c>
      <c r="J2" s="280" t="s">
        <v>529</v>
      </c>
      <c r="K2" s="277" t="s">
        <v>234</v>
      </c>
    </row>
    <row r="3" spans="1:11" ht="32.25">
      <c r="A3" s="281">
        <v>1</v>
      </c>
      <c r="B3" s="282" t="s">
        <v>974</v>
      </c>
      <c r="C3" s="283">
        <v>20</v>
      </c>
      <c r="D3" s="284">
        <f>C3*1.83</f>
        <v>36.6</v>
      </c>
      <c r="E3" s="284">
        <f>D3*0.22</f>
        <v>8.0519999999999996</v>
      </c>
      <c r="F3" s="284">
        <v>32.4</v>
      </c>
      <c r="G3" s="285">
        <f>0.11*C3</f>
        <v>2.2000000000000002</v>
      </c>
      <c r="H3" s="285">
        <f>D3*0.385</f>
        <v>14.091000000000001</v>
      </c>
      <c r="I3" s="285">
        <f>H3+G3+F3+E3+D3</f>
        <v>93.343000000000004</v>
      </c>
      <c r="J3" s="286">
        <f>I3*0.35</f>
        <v>32.670049999999996</v>
      </c>
      <c r="K3" s="287">
        <f>I3+J3</f>
        <v>126.01304999999999</v>
      </c>
    </row>
    <row r="4" spans="1:11" ht="32.25">
      <c r="A4" s="281">
        <f>A3+1</f>
        <v>2</v>
      </c>
      <c r="B4" s="282" t="s">
        <v>975</v>
      </c>
      <c r="C4" s="283">
        <v>15</v>
      </c>
      <c r="D4" s="284">
        <f t="shared" ref="D4:D14" si="0">C4*1.83</f>
        <v>27.450000000000003</v>
      </c>
      <c r="E4" s="284">
        <f t="shared" ref="E4:E43" si="1">D4*0.22</f>
        <v>6.0390000000000006</v>
      </c>
      <c r="F4" s="284">
        <v>0</v>
      </c>
      <c r="G4" s="285">
        <f t="shared" ref="G4:G20" si="2">0.11*C4</f>
        <v>1.65</v>
      </c>
      <c r="H4" s="285">
        <f t="shared" ref="H4:H43" si="3">D4*0.385</f>
        <v>10.568250000000001</v>
      </c>
      <c r="I4" s="285">
        <f t="shared" ref="I4:I42" si="4">H4+G4+F4+E4+D4</f>
        <v>45.707250000000002</v>
      </c>
      <c r="J4" s="286">
        <f t="shared" ref="J4:J22" si="5">I4*0.35</f>
        <v>15.9975375</v>
      </c>
      <c r="K4" s="287">
        <f t="shared" ref="K4:K22" si="6">I4+J4</f>
        <v>61.704787500000002</v>
      </c>
    </row>
    <row r="5" spans="1:11" ht="35.25" customHeight="1">
      <c r="A5" s="281">
        <f t="shared" ref="A5:A54" si="7">A4+1</f>
        <v>3</v>
      </c>
      <c r="B5" s="282" t="s">
        <v>976</v>
      </c>
      <c r="C5" s="283">
        <v>20</v>
      </c>
      <c r="D5" s="284">
        <f>C5*1.83</f>
        <v>36.6</v>
      </c>
      <c r="E5" s="284">
        <f t="shared" si="1"/>
        <v>8.0519999999999996</v>
      </c>
      <c r="F5" s="284">
        <v>66.069999999999993</v>
      </c>
      <c r="G5" s="285">
        <f t="shared" si="2"/>
        <v>2.2000000000000002</v>
      </c>
      <c r="H5" s="285">
        <f t="shared" si="3"/>
        <v>14.091000000000001</v>
      </c>
      <c r="I5" s="285">
        <f t="shared" si="4"/>
        <v>127.01299999999998</v>
      </c>
      <c r="J5" s="286">
        <f t="shared" si="5"/>
        <v>44.45454999999999</v>
      </c>
      <c r="K5" s="287">
        <f t="shared" si="6"/>
        <v>171.46754999999996</v>
      </c>
    </row>
    <row r="6" spans="1:11" ht="36" customHeight="1">
      <c r="A6" s="281">
        <f t="shared" si="7"/>
        <v>4</v>
      </c>
      <c r="B6" s="282" t="s">
        <v>977</v>
      </c>
      <c r="C6" s="283">
        <v>20</v>
      </c>
      <c r="D6" s="284">
        <f t="shared" si="0"/>
        <v>36.6</v>
      </c>
      <c r="E6" s="284">
        <f t="shared" si="1"/>
        <v>8.0519999999999996</v>
      </c>
      <c r="F6" s="284">
        <v>61.27</v>
      </c>
      <c r="G6" s="285">
        <f t="shared" si="2"/>
        <v>2.2000000000000002</v>
      </c>
      <c r="H6" s="285">
        <f t="shared" si="3"/>
        <v>14.091000000000001</v>
      </c>
      <c r="I6" s="285">
        <f t="shared" si="4"/>
        <v>122.21299999999999</v>
      </c>
      <c r="J6" s="286">
        <f t="shared" si="5"/>
        <v>42.774549999999998</v>
      </c>
      <c r="K6" s="287">
        <f t="shared" si="6"/>
        <v>164.98755</v>
      </c>
    </row>
    <row r="7" spans="1:11" ht="19.5" customHeight="1">
      <c r="A7" s="281">
        <f t="shared" si="7"/>
        <v>5</v>
      </c>
      <c r="B7" s="282" t="s">
        <v>978</v>
      </c>
      <c r="C7" s="283">
        <v>25</v>
      </c>
      <c r="D7" s="284">
        <f t="shared" si="0"/>
        <v>45.75</v>
      </c>
      <c r="E7" s="284">
        <f t="shared" si="1"/>
        <v>10.065</v>
      </c>
      <c r="F7" s="284">
        <v>34.869999999999997</v>
      </c>
      <c r="G7" s="285">
        <f t="shared" si="2"/>
        <v>2.75</v>
      </c>
      <c r="H7" s="285">
        <f t="shared" si="3"/>
        <v>17.61375</v>
      </c>
      <c r="I7" s="285">
        <f t="shared" si="4"/>
        <v>111.04875</v>
      </c>
      <c r="J7" s="286">
        <f t="shared" si="5"/>
        <v>38.867062499999996</v>
      </c>
      <c r="K7" s="287">
        <f t="shared" si="6"/>
        <v>149.91581249999999</v>
      </c>
    </row>
    <row r="8" spans="1:11" ht="37.5" customHeight="1">
      <c r="A8" s="281">
        <f t="shared" si="7"/>
        <v>6</v>
      </c>
      <c r="B8" s="282" t="s">
        <v>979</v>
      </c>
      <c r="C8" s="283">
        <v>20</v>
      </c>
      <c r="D8" s="284">
        <f t="shared" si="0"/>
        <v>36.6</v>
      </c>
      <c r="E8" s="284">
        <f t="shared" si="1"/>
        <v>8.0519999999999996</v>
      </c>
      <c r="F8" s="284">
        <v>34.869999999999997</v>
      </c>
      <c r="G8" s="285">
        <f t="shared" si="2"/>
        <v>2.2000000000000002</v>
      </c>
      <c r="H8" s="285">
        <f t="shared" si="3"/>
        <v>14.091000000000001</v>
      </c>
      <c r="I8" s="285">
        <f t="shared" si="4"/>
        <v>95.813000000000002</v>
      </c>
      <c r="J8" s="286">
        <f t="shared" si="5"/>
        <v>33.534549999999996</v>
      </c>
      <c r="K8" s="287">
        <f t="shared" si="6"/>
        <v>129.34755000000001</v>
      </c>
    </row>
    <row r="9" spans="1:11" ht="51" customHeight="1">
      <c r="A9" s="281">
        <f t="shared" si="7"/>
        <v>7</v>
      </c>
      <c r="B9" s="282" t="s">
        <v>980</v>
      </c>
      <c r="C9" s="283">
        <v>25</v>
      </c>
      <c r="D9" s="284">
        <f t="shared" si="0"/>
        <v>45.75</v>
      </c>
      <c r="E9" s="288">
        <f t="shared" si="1"/>
        <v>10.065</v>
      </c>
      <c r="F9" s="288">
        <v>68.16</v>
      </c>
      <c r="G9" s="285">
        <f t="shared" si="2"/>
        <v>2.75</v>
      </c>
      <c r="H9" s="289">
        <f t="shared" si="3"/>
        <v>17.61375</v>
      </c>
      <c r="I9" s="289">
        <f t="shared" si="4"/>
        <v>144.33875</v>
      </c>
      <c r="J9" s="286">
        <f t="shared" si="5"/>
        <v>50.518562500000002</v>
      </c>
      <c r="K9" s="287">
        <f t="shared" si="6"/>
        <v>194.85731250000001</v>
      </c>
    </row>
    <row r="10" spans="1:11" ht="51.75" customHeight="1">
      <c r="A10" s="281">
        <f t="shared" si="7"/>
        <v>8</v>
      </c>
      <c r="B10" s="282" t="s">
        <v>981</v>
      </c>
      <c r="C10" s="283">
        <v>25</v>
      </c>
      <c r="D10" s="284">
        <f t="shared" si="0"/>
        <v>45.75</v>
      </c>
      <c r="E10" s="284">
        <f t="shared" si="1"/>
        <v>10.065</v>
      </c>
      <c r="F10" s="284">
        <v>33.869999999999997</v>
      </c>
      <c r="G10" s="285">
        <f t="shared" si="2"/>
        <v>2.75</v>
      </c>
      <c r="H10" s="285">
        <f>D10*0.385</f>
        <v>17.61375</v>
      </c>
      <c r="I10" s="285">
        <f t="shared" si="4"/>
        <v>110.04875</v>
      </c>
      <c r="J10" s="286">
        <f t="shared" si="5"/>
        <v>38.517062499999994</v>
      </c>
      <c r="K10" s="287">
        <f t="shared" si="6"/>
        <v>148.56581249999999</v>
      </c>
    </row>
    <row r="11" spans="1:11" ht="63.75" customHeight="1">
      <c r="A11" s="281">
        <f t="shared" si="7"/>
        <v>9</v>
      </c>
      <c r="B11" s="282" t="s">
        <v>982</v>
      </c>
      <c r="C11" s="283">
        <v>25</v>
      </c>
      <c r="D11" s="284">
        <f>C11*1.83</f>
        <v>45.75</v>
      </c>
      <c r="E11" s="284">
        <f t="shared" si="1"/>
        <v>10.065</v>
      </c>
      <c r="F11" s="284">
        <v>87.4</v>
      </c>
      <c r="G11" s="285">
        <f t="shared" si="2"/>
        <v>2.75</v>
      </c>
      <c r="H11" s="285">
        <f t="shared" si="3"/>
        <v>17.61375</v>
      </c>
      <c r="I11" s="285">
        <f t="shared" si="4"/>
        <v>163.57875000000001</v>
      </c>
      <c r="J11" s="286">
        <f t="shared" si="5"/>
        <v>57.252562500000003</v>
      </c>
      <c r="K11" s="287">
        <f t="shared" si="6"/>
        <v>220.83131250000002</v>
      </c>
    </row>
    <row r="12" spans="1:11" ht="46.5" customHeight="1">
      <c r="A12" s="281">
        <f t="shared" si="7"/>
        <v>10</v>
      </c>
      <c r="B12" s="282" t="s">
        <v>983</v>
      </c>
      <c r="C12" s="283">
        <v>25</v>
      </c>
      <c r="D12" s="284">
        <f t="shared" si="0"/>
        <v>45.75</v>
      </c>
      <c r="E12" s="288">
        <f t="shared" si="1"/>
        <v>10.065</v>
      </c>
      <c r="F12" s="288">
        <v>33.869999999999997</v>
      </c>
      <c r="G12" s="285">
        <f t="shared" si="2"/>
        <v>2.75</v>
      </c>
      <c r="H12" s="289">
        <f t="shared" si="3"/>
        <v>17.61375</v>
      </c>
      <c r="I12" s="289">
        <f t="shared" si="4"/>
        <v>110.04875</v>
      </c>
      <c r="J12" s="286">
        <f t="shared" si="5"/>
        <v>38.517062499999994</v>
      </c>
      <c r="K12" s="287">
        <f t="shared" si="6"/>
        <v>148.56581249999999</v>
      </c>
    </row>
    <row r="13" spans="1:11" ht="33" customHeight="1">
      <c r="A13" s="281">
        <f t="shared" si="7"/>
        <v>11</v>
      </c>
      <c r="B13" s="282" t="s">
        <v>984</v>
      </c>
      <c r="C13" s="283">
        <v>20</v>
      </c>
      <c r="D13" s="284">
        <f t="shared" si="0"/>
        <v>36.6</v>
      </c>
      <c r="E13" s="284">
        <f t="shared" si="1"/>
        <v>8.0519999999999996</v>
      </c>
      <c r="F13" s="284">
        <v>34.4</v>
      </c>
      <c r="G13" s="285">
        <f t="shared" si="2"/>
        <v>2.2000000000000002</v>
      </c>
      <c r="H13" s="285">
        <f t="shared" si="3"/>
        <v>14.091000000000001</v>
      </c>
      <c r="I13" s="285">
        <f t="shared" si="4"/>
        <v>95.343000000000004</v>
      </c>
      <c r="J13" s="286">
        <f t="shared" si="5"/>
        <v>33.370049999999999</v>
      </c>
      <c r="K13" s="287">
        <f t="shared" si="6"/>
        <v>128.71305000000001</v>
      </c>
    </row>
    <row r="14" spans="1:11" ht="30.75" customHeight="1">
      <c r="A14" s="281">
        <f t="shared" si="7"/>
        <v>12</v>
      </c>
      <c r="B14" s="282" t="s">
        <v>985</v>
      </c>
      <c r="C14" s="283">
        <v>20</v>
      </c>
      <c r="D14" s="284">
        <f t="shared" si="0"/>
        <v>36.6</v>
      </c>
      <c r="E14" s="284">
        <f t="shared" si="1"/>
        <v>8.0519999999999996</v>
      </c>
      <c r="F14" s="284">
        <v>37.4</v>
      </c>
      <c r="G14" s="285">
        <f t="shared" si="2"/>
        <v>2.2000000000000002</v>
      </c>
      <c r="H14" s="285">
        <f t="shared" si="3"/>
        <v>14.091000000000001</v>
      </c>
      <c r="I14" s="285">
        <f t="shared" si="4"/>
        <v>98.343000000000004</v>
      </c>
      <c r="J14" s="286">
        <f t="shared" si="5"/>
        <v>34.420049999999996</v>
      </c>
      <c r="K14" s="287">
        <f t="shared" si="6"/>
        <v>132.76304999999999</v>
      </c>
    </row>
    <row r="15" spans="1:11" ht="31.5" customHeight="1">
      <c r="A15" s="290">
        <f t="shared" si="7"/>
        <v>13</v>
      </c>
      <c r="B15" s="282" t="s">
        <v>986</v>
      </c>
      <c r="C15" s="291">
        <v>15</v>
      </c>
      <c r="D15" s="292">
        <f>C15*0.84</f>
        <v>12.6</v>
      </c>
      <c r="E15" s="292">
        <f t="shared" si="1"/>
        <v>2.7719999999999998</v>
      </c>
      <c r="F15" s="292">
        <v>32.4</v>
      </c>
      <c r="G15" s="285">
        <f t="shared" si="2"/>
        <v>1.65</v>
      </c>
      <c r="H15" s="293">
        <f t="shared" si="3"/>
        <v>4.851</v>
      </c>
      <c r="I15" s="293">
        <f t="shared" si="4"/>
        <v>54.272999999999996</v>
      </c>
      <c r="J15" s="286">
        <f t="shared" si="5"/>
        <v>18.995549999999998</v>
      </c>
      <c r="K15" s="287">
        <f t="shared" si="6"/>
        <v>73.268549999999991</v>
      </c>
    </row>
    <row r="16" spans="1:11" ht="49.5" customHeight="1">
      <c r="A16" s="281">
        <f t="shared" si="7"/>
        <v>14</v>
      </c>
      <c r="B16" s="282" t="s">
        <v>987</v>
      </c>
      <c r="C16" s="283">
        <v>15</v>
      </c>
      <c r="D16" s="284">
        <f>C16*0.84</f>
        <v>12.6</v>
      </c>
      <c r="E16" s="284">
        <f t="shared" si="1"/>
        <v>2.7719999999999998</v>
      </c>
      <c r="F16" s="284">
        <v>54</v>
      </c>
      <c r="G16" s="285">
        <f t="shared" si="2"/>
        <v>1.65</v>
      </c>
      <c r="H16" s="285">
        <f t="shared" si="3"/>
        <v>4.851</v>
      </c>
      <c r="I16" s="285">
        <f t="shared" si="4"/>
        <v>75.87299999999999</v>
      </c>
      <c r="J16" s="286">
        <f t="shared" si="5"/>
        <v>26.555549999999997</v>
      </c>
      <c r="K16" s="287">
        <f t="shared" si="6"/>
        <v>102.42854999999999</v>
      </c>
    </row>
    <row r="17" spans="1:11" ht="39.75" customHeight="1">
      <c r="A17" s="281">
        <f t="shared" si="7"/>
        <v>15</v>
      </c>
      <c r="B17" s="294" t="s">
        <v>988</v>
      </c>
      <c r="C17" s="283">
        <v>25</v>
      </c>
      <c r="D17" s="284">
        <f t="shared" ref="D17:D21" si="8">C17*1.83</f>
        <v>45.75</v>
      </c>
      <c r="E17" s="284">
        <f t="shared" si="1"/>
        <v>10.065</v>
      </c>
      <c r="F17" s="284">
        <v>32.4</v>
      </c>
      <c r="G17" s="285">
        <f t="shared" si="2"/>
        <v>2.75</v>
      </c>
      <c r="H17" s="285">
        <f t="shared" si="3"/>
        <v>17.61375</v>
      </c>
      <c r="I17" s="285">
        <f t="shared" si="4"/>
        <v>108.57875</v>
      </c>
      <c r="J17" s="286">
        <f t="shared" si="5"/>
        <v>38.002562499999996</v>
      </c>
      <c r="K17" s="287">
        <f t="shared" si="6"/>
        <v>146.5813125</v>
      </c>
    </row>
    <row r="18" spans="1:11" ht="34.5" customHeight="1">
      <c r="A18" s="281">
        <f t="shared" si="7"/>
        <v>16</v>
      </c>
      <c r="B18" s="294" t="s">
        <v>989</v>
      </c>
      <c r="C18" s="283">
        <v>20</v>
      </c>
      <c r="D18" s="284">
        <f t="shared" si="8"/>
        <v>36.6</v>
      </c>
      <c r="E18" s="284">
        <f t="shared" si="1"/>
        <v>8.0519999999999996</v>
      </c>
      <c r="F18" s="284">
        <v>30</v>
      </c>
      <c r="G18" s="285">
        <f t="shared" si="2"/>
        <v>2.2000000000000002</v>
      </c>
      <c r="H18" s="285">
        <f t="shared" si="3"/>
        <v>14.091000000000001</v>
      </c>
      <c r="I18" s="285">
        <f t="shared" si="4"/>
        <v>90.942999999999998</v>
      </c>
      <c r="J18" s="286">
        <f t="shared" si="5"/>
        <v>31.830049999999996</v>
      </c>
      <c r="K18" s="287">
        <f t="shared" si="6"/>
        <v>122.77305</v>
      </c>
    </row>
    <row r="19" spans="1:11" ht="36.75" customHeight="1">
      <c r="A19" s="281">
        <f t="shared" si="7"/>
        <v>17</v>
      </c>
      <c r="B19" s="294" t="s">
        <v>990</v>
      </c>
      <c r="C19" s="283">
        <v>20</v>
      </c>
      <c r="D19" s="284">
        <f t="shared" si="8"/>
        <v>36.6</v>
      </c>
      <c r="E19" s="284">
        <f t="shared" si="1"/>
        <v>8.0519999999999996</v>
      </c>
      <c r="F19" s="284">
        <v>1032.4000000000001</v>
      </c>
      <c r="G19" s="285">
        <f t="shared" si="2"/>
        <v>2.2000000000000002</v>
      </c>
      <c r="H19" s="285">
        <f t="shared" si="3"/>
        <v>14.091000000000001</v>
      </c>
      <c r="I19" s="285">
        <f t="shared" si="4"/>
        <v>1093.3429999999998</v>
      </c>
      <c r="J19" s="286">
        <f t="shared" si="5"/>
        <v>382.67004999999995</v>
      </c>
      <c r="K19" s="287">
        <f t="shared" si="6"/>
        <v>1476.0130499999998</v>
      </c>
    </row>
    <row r="20" spans="1:11" ht="23.25" customHeight="1">
      <c r="A20" s="281">
        <f t="shared" si="7"/>
        <v>18</v>
      </c>
      <c r="B20" s="294" t="s">
        <v>991</v>
      </c>
      <c r="C20" s="283">
        <v>25</v>
      </c>
      <c r="D20" s="284">
        <f t="shared" si="8"/>
        <v>45.75</v>
      </c>
      <c r="E20" s="284">
        <f t="shared" si="1"/>
        <v>10.065</v>
      </c>
      <c r="F20" s="284">
        <v>34.869999999999997</v>
      </c>
      <c r="G20" s="285">
        <f t="shared" si="2"/>
        <v>2.75</v>
      </c>
      <c r="H20" s="285">
        <f t="shared" si="3"/>
        <v>17.61375</v>
      </c>
      <c r="I20" s="285">
        <f t="shared" si="4"/>
        <v>111.04875</v>
      </c>
      <c r="J20" s="286">
        <f t="shared" si="5"/>
        <v>38.867062499999996</v>
      </c>
      <c r="K20" s="287">
        <f t="shared" si="6"/>
        <v>149.91581249999999</v>
      </c>
    </row>
    <row r="21" spans="1:11" ht="38.25" customHeight="1">
      <c r="A21" s="281">
        <f t="shared" si="7"/>
        <v>19</v>
      </c>
      <c r="B21" s="294" t="s">
        <v>992</v>
      </c>
      <c r="C21" s="283">
        <v>20</v>
      </c>
      <c r="D21" s="284">
        <f t="shared" si="8"/>
        <v>36.6</v>
      </c>
      <c r="E21" s="284">
        <f t="shared" si="1"/>
        <v>8.0519999999999996</v>
      </c>
      <c r="F21" s="284">
        <v>233.87</v>
      </c>
      <c r="G21" s="285">
        <f>0.11*C21</f>
        <v>2.2000000000000002</v>
      </c>
      <c r="H21" s="285">
        <f t="shared" si="3"/>
        <v>14.091000000000001</v>
      </c>
      <c r="I21" s="285">
        <f t="shared" si="4"/>
        <v>294.81300000000005</v>
      </c>
      <c r="J21" s="286">
        <f t="shared" si="5"/>
        <v>103.18455000000002</v>
      </c>
      <c r="K21" s="287">
        <f t="shared" si="6"/>
        <v>397.99755000000005</v>
      </c>
    </row>
    <row r="22" spans="1:11" ht="69" customHeight="1">
      <c r="A22" s="281">
        <f t="shared" si="7"/>
        <v>20</v>
      </c>
      <c r="B22" s="282" t="s">
        <v>993</v>
      </c>
      <c r="C22" s="295">
        <v>60</v>
      </c>
      <c r="D22" s="284">
        <f>2.38*C22</f>
        <v>142.79999999999998</v>
      </c>
      <c r="E22" s="284">
        <f t="shared" si="1"/>
        <v>31.415999999999997</v>
      </c>
      <c r="F22" s="284">
        <f>30+41.9</f>
        <v>71.900000000000006</v>
      </c>
      <c r="G22" s="285">
        <f>0.11*C22</f>
        <v>6.6</v>
      </c>
      <c r="H22" s="285">
        <f t="shared" si="3"/>
        <v>54.977999999999994</v>
      </c>
      <c r="I22" s="285">
        <f t="shared" si="4"/>
        <v>307.69399999999996</v>
      </c>
      <c r="J22" s="286">
        <f t="shared" si="5"/>
        <v>107.69289999999998</v>
      </c>
      <c r="K22" s="287">
        <f t="shared" si="6"/>
        <v>415.38689999999997</v>
      </c>
    </row>
    <row r="23" spans="1:11" ht="53.25" customHeight="1">
      <c r="A23" s="275" t="s">
        <v>995</v>
      </c>
      <c r="B23" s="275"/>
      <c r="C23" s="275"/>
      <c r="D23" s="275"/>
      <c r="E23" s="275"/>
      <c r="F23" s="275"/>
      <c r="G23" s="275"/>
      <c r="H23" s="275"/>
      <c r="I23" s="275"/>
      <c r="J23" s="275"/>
      <c r="K23" s="275"/>
    </row>
    <row r="24" spans="1:11" ht="71.25" customHeight="1">
      <c r="A24" s="276" t="s">
        <v>972</v>
      </c>
      <c r="B24" s="277" t="s">
        <v>130</v>
      </c>
      <c r="C24" s="278" t="s">
        <v>525</v>
      </c>
      <c r="D24" s="276" t="s">
        <v>973</v>
      </c>
      <c r="E24" s="276" t="s">
        <v>1787</v>
      </c>
      <c r="F24" s="276" t="s">
        <v>244</v>
      </c>
      <c r="G24" s="276" t="s">
        <v>607</v>
      </c>
      <c r="H24" s="279" t="s">
        <v>1788</v>
      </c>
      <c r="I24" s="279" t="s">
        <v>131</v>
      </c>
      <c r="J24" s="280" t="s">
        <v>529</v>
      </c>
      <c r="K24" s="277" t="s">
        <v>234</v>
      </c>
    </row>
    <row r="25" spans="1:11" ht="48.75" customHeight="1">
      <c r="A25" s="297">
        <v>1</v>
      </c>
      <c r="B25" s="282" t="s">
        <v>996</v>
      </c>
      <c r="C25" s="298">
        <v>25</v>
      </c>
      <c r="D25" s="299">
        <f>C25*1.68</f>
        <v>42</v>
      </c>
      <c r="E25" s="299">
        <f t="shared" si="1"/>
        <v>9.24</v>
      </c>
      <c r="F25" s="299">
        <v>23</v>
      </c>
      <c r="G25" s="299">
        <f>0.5*C25</f>
        <v>12.5</v>
      </c>
      <c r="H25" s="299">
        <f t="shared" si="3"/>
        <v>16.170000000000002</v>
      </c>
      <c r="I25" s="299">
        <f t="shared" si="4"/>
        <v>102.91</v>
      </c>
      <c r="J25" s="286">
        <f>I25*0.35</f>
        <v>36.018499999999996</v>
      </c>
      <c r="K25" s="287">
        <f>I25+J25</f>
        <v>138.92849999999999</v>
      </c>
    </row>
    <row r="26" spans="1:11" ht="36" customHeight="1">
      <c r="A26" s="281">
        <f t="shared" si="7"/>
        <v>2</v>
      </c>
      <c r="B26" s="282" t="s">
        <v>997</v>
      </c>
      <c r="C26" s="295">
        <v>30</v>
      </c>
      <c r="D26" s="299">
        <f t="shared" ref="D26:D43" si="9">C26*1.68</f>
        <v>50.4</v>
      </c>
      <c r="E26" s="284">
        <f t="shared" si="1"/>
        <v>11.087999999999999</v>
      </c>
      <c r="F26" s="284">
        <v>27</v>
      </c>
      <c r="G26" s="284">
        <f t="shared" ref="G26:G43" si="10">0.5*C26</f>
        <v>15</v>
      </c>
      <c r="H26" s="284">
        <f t="shared" si="3"/>
        <v>19.404</v>
      </c>
      <c r="I26" s="284">
        <f t="shared" si="4"/>
        <v>122.892</v>
      </c>
      <c r="J26" s="286">
        <f t="shared" ref="J26:J43" si="11">I26*0.35</f>
        <v>43.012199999999993</v>
      </c>
      <c r="K26" s="287">
        <f t="shared" ref="K26:K43" si="12">I26+J26</f>
        <v>165.9042</v>
      </c>
    </row>
    <row r="27" spans="1:11" ht="38.25" customHeight="1">
      <c r="A27" s="281">
        <f t="shared" si="7"/>
        <v>3</v>
      </c>
      <c r="B27" s="282" t="s">
        <v>998</v>
      </c>
      <c r="C27" s="295">
        <v>45</v>
      </c>
      <c r="D27" s="299">
        <f t="shared" si="9"/>
        <v>75.599999999999994</v>
      </c>
      <c r="E27" s="284">
        <f t="shared" si="1"/>
        <v>16.631999999999998</v>
      </c>
      <c r="F27" s="284">
        <v>25</v>
      </c>
      <c r="G27" s="284">
        <f t="shared" si="10"/>
        <v>22.5</v>
      </c>
      <c r="H27" s="284">
        <f t="shared" si="3"/>
        <v>29.105999999999998</v>
      </c>
      <c r="I27" s="284">
        <f t="shared" si="4"/>
        <v>168.83799999999999</v>
      </c>
      <c r="J27" s="286">
        <f t="shared" si="11"/>
        <v>59.093299999999992</v>
      </c>
      <c r="K27" s="287">
        <f t="shared" si="12"/>
        <v>227.93129999999999</v>
      </c>
    </row>
    <row r="28" spans="1:11" ht="39" customHeight="1">
      <c r="A28" s="281">
        <f t="shared" si="7"/>
        <v>4</v>
      </c>
      <c r="B28" s="282" t="s">
        <v>999</v>
      </c>
      <c r="C28" s="295">
        <v>20</v>
      </c>
      <c r="D28" s="299">
        <f t="shared" si="9"/>
        <v>33.6</v>
      </c>
      <c r="E28" s="284">
        <f t="shared" si="1"/>
        <v>7.3920000000000003</v>
      </c>
      <c r="F28" s="284">
        <v>25</v>
      </c>
      <c r="G28" s="284">
        <f t="shared" si="10"/>
        <v>10</v>
      </c>
      <c r="H28" s="284">
        <f t="shared" si="3"/>
        <v>12.936000000000002</v>
      </c>
      <c r="I28" s="284">
        <f t="shared" si="4"/>
        <v>88.927999999999997</v>
      </c>
      <c r="J28" s="286">
        <f t="shared" si="11"/>
        <v>31.124799999999997</v>
      </c>
      <c r="K28" s="287">
        <f t="shared" si="12"/>
        <v>120.05279999999999</v>
      </c>
    </row>
    <row r="29" spans="1:11" ht="35.25" customHeight="1">
      <c r="A29" s="281">
        <f t="shared" si="7"/>
        <v>5</v>
      </c>
      <c r="B29" s="282" t="s">
        <v>1000</v>
      </c>
      <c r="C29" s="295">
        <v>30</v>
      </c>
      <c r="D29" s="299">
        <f t="shared" si="9"/>
        <v>50.4</v>
      </c>
      <c r="E29" s="284">
        <f t="shared" si="1"/>
        <v>11.087999999999999</v>
      </c>
      <c r="F29" s="284">
        <v>25</v>
      </c>
      <c r="G29" s="284">
        <f t="shared" si="10"/>
        <v>15</v>
      </c>
      <c r="H29" s="284">
        <f t="shared" si="3"/>
        <v>19.404</v>
      </c>
      <c r="I29" s="284">
        <f t="shared" si="4"/>
        <v>120.892</v>
      </c>
      <c r="J29" s="286">
        <f t="shared" si="11"/>
        <v>42.312199999999997</v>
      </c>
      <c r="K29" s="287">
        <f t="shared" si="12"/>
        <v>163.20419999999999</v>
      </c>
    </row>
    <row r="30" spans="1:11" ht="34.5" customHeight="1">
      <c r="A30" s="281">
        <f t="shared" si="7"/>
        <v>6</v>
      </c>
      <c r="B30" s="282" t="s">
        <v>1001</v>
      </c>
      <c r="C30" s="295">
        <v>25</v>
      </c>
      <c r="D30" s="299">
        <f t="shared" si="9"/>
        <v>42</v>
      </c>
      <c r="E30" s="284">
        <f t="shared" si="1"/>
        <v>9.24</v>
      </c>
      <c r="F30" s="284">
        <v>23</v>
      </c>
      <c r="G30" s="284">
        <f t="shared" si="10"/>
        <v>12.5</v>
      </c>
      <c r="H30" s="284">
        <f t="shared" si="3"/>
        <v>16.170000000000002</v>
      </c>
      <c r="I30" s="284">
        <f t="shared" si="4"/>
        <v>102.91</v>
      </c>
      <c r="J30" s="286">
        <f t="shared" si="11"/>
        <v>36.018499999999996</v>
      </c>
      <c r="K30" s="287">
        <f t="shared" si="12"/>
        <v>138.92849999999999</v>
      </c>
    </row>
    <row r="31" spans="1:11" ht="25.5" customHeight="1">
      <c r="A31" s="281">
        <f t="shared" si="7"/>
        <v>7</v>
      </c>
      <c r="B31" s="282" t="s">
        <v>1002</v>
      </c>
      <c r="C31" s="295">
        <v>45</v>
      </c>
      <c r="D31" s="299">
        <f t="shared" si="9"/>
        <v>75.599999999999994</v>
      </c>
      <c r="E31" s="284">
        <f t="shared" si="1"/>
        <v>16.631999999999998</v>
      </c>
      <c r="F31" s="284">
        <v>25</v>
      </c>
      <c r="G31" s="284">
        <f t="shared" si="10"/>
        <v>22.5</v>
      </c>
      <c r="H31" s="284">
        <f t="shared" si="3"/>
        <v>29.105999999999998</v>
      </c>
      <c r="I31" s="284">
        <f t="shared" si="4"/>
        <v>168.83799999999999</v>
      </c>
      <c r="J31" s="286">
        <f t="shared" si="11"/>
        <v>59.093299999999992</v>
      </c>
      <c r="K31" s="287">
        <f t="shared" si="12"/>
        <v>227.93129999999999</v>
      </c>
    </row>
    <row r="32" spans="1:11" ht="35.25" customHeight="1">
      <c r="A32" s="281">
        <f t="shared" si="7"/>
        <v>8</v>
      </c>
      <c r="B32" s="282" t="s">
        <v>1003</v>
      </c>
      <c r="C32" s="295">
        <v>10</v>
      </c>
      <c r="D32" s="299">
        <f t="shared" si="9"/>
        <v>16.8</v>
      </c>
      <c r="E32" s="284">
        <f t="shared" si="1"/>
        <v>3.6960000000000002</v>
      </c>
      <c r="F32" s="284">
        <v>23</v>
      </c>
      <c r="G32" s="284">
        <f t="shared" si="10"/>
        <v>5</v>
      </c>
      <c r="H32" s="284">
        <f t="shared" si="3"/>
        <v>6.4680000000000009</v>
      </c>
      <c r="I32" s="284">
        <f t="shared" si="4"/>
        <v>54.963999999999999</v>
      </c>
      <c r="J32" s="286">
        <f t="shared" si="11"/>
        <v>19.237399999999997</v>
      </c>
      <c r="K32" s="287">
        <f t="shared" si="12"/>
        <v>74.201399999999992</v>
      </c>
    </row>
    <row r="33" spans="1:22" ht="36.75" customHeight="1">
      <c r="A33" s="281">
        <f t="shared" si="7"/>
        <v>9</v>
      </c>
      <c r="B33" s="282" t="s">
        <v>1004</v>
      </c>
      <c r="C33" s="295">
        <v>60</v>
      </c>
      <c r="D33" s="299">
        <f t="shared" si="9"/>
        <v>100.8</v>
      </c>
      <c r="E33" s="284">
        <f t="shared" si="1"/>
        <v>22.175999999999998</v>
      </c>
      <c r="F33" s="284">
        <v>25</v>
      </c>
      <c r="G33" s="284">
        <f t="shared" si="10"/>
        <v>30</v>
      </c>
      <c r="H33" s="284">
        <f t="shared" si="3"/>
        <v>38.808</v>
      </c>
      <c r="I33" s="284">
        <f t="shared" si="4"/>
        <v>216.78399999999999</v>
      </c>
      <c r="J33" s="286">
        <f t="shared" si="11"/>
        <v>75.874399999999994</v>
      </c>
      <c r="K33" s="287">
        <f t="shared" si="12"/>
        <v>292.65839999999997</v>
      </c>
    </row>
    <row r="34" spans="1:22" ht="53.25" customHeight="1">
      <c r="A34" s="281">
        <f t="shared" si="7"/>
        <v>10</v>
      </c>
      <c r="B34" s="282" t="s">
        <v>1005</v>
      </c>
      <c r="C34" s="300">
        <v>20</v>
      </c>
      <c r="D34" s="299">
        <f t="shared" si="9"/>
        <v>33.6</v>
      </c>
      <c r="E34" s="288">
        <f t="shared" si="1"/>
        <v>7.3920000000000003</v>
      </c>
      <c r="F34" s="288">
        <v>25</v>
      </c>
      <c r="G34" s="284">
        <f t="shared" si="10"/>
        <v>10</v>
      </c>
      <c r="H34" s="288">
        <f t="shared" si="3"/>
        <v>12.936000000000002</v>
      </c>
      <c r="I34" s="288">
        <f t="shared" si="4"/>
        <v>88.927999999999997</v>
      </c>
      <c r="J34" s="286">
        <f t="shared" si="11"/>
        <v>31.124799999999997</v>
      </c>
      <c r="K34" s="287">
        <f t="shared" si="12"/>
        <v>120.05279999999999</v>
      </c>
    </row>
    <row r="35" spans="1:22" ht="34.5" customHeight="1">
      <c r="A35" s="281">
        <f t="shared" si="7"/>
        <v>11</v>
      </c>
      <c r="B35" s="282" t="s">
        <v>1006</v>
      </c>
      <c r="C35" s="295">
        <v>45</v>
      </c>
      <c r="D35" s="299">
        <f t="shared" si="9"/>
        <v>75.599999999999994</v>
      </c>
      <c r="E35" s="284">
        <f t="shared" si="1"/>
        <v>16.631999999999998</v>
      </c>
      <c r="F35" s="284">
        <v>25</v>
      </c>
      <c r="G35" s="284">
        <f t="shared" si="10"/>
        <v>22.5</v>
      </c>
      <c r="H35" s="284">
        <f t="shared" si="3"/>
        <v>29.105999999999998</v>
      </c>
      <c r="I35" s="284">
        <f t="shared" si="4"/>
        <v>168.83799999999999</v>
      </c>
      <c r="J35" s="286">
        <f t="shared" si="11"/>
        <v>59.093299999999992</v>
      </c>
      <c r="K35" s="287">
        <f t="shared" si="12"/>
        <v>227.93129999999999</v>
      </c>
    </row>
    <row r="36" spans="1:22" ht="38.25" customHeight="1">
      <c r="A36" s="281">
        <f t="shared" si="7"/>
        <v>12</v>
      </c>
      <c r="B36" s="282" t="s">
        <v>1007</v>
      </c>
      <c r="C36" s="295">
        <v>45</v>
      </c>
      <c r="D36" s="299">
        <f t="shared" si="9"/>
        <v>75.599999999999994</v>
      </c>
      <c r="E36" s="284">
        <f t="shared" si="1"/>
        <v>16.631999999999998</v>
      </c>
      <c r="F36" s="284">
        <v>27</v>
      </c>
      <c r="G36" s="284">
        <f t="shared" si="10"/>
        <v>22.5</v>
      </c>
      <c r="H36" s="284">
        <f t="shared" si="3"/>
        <v>29.105999999999998</v>
      </c>
      <c r="I36" s="284">
        <f t="shared" si="4"/>
        <v>170.83799999999999</v>
      </c>
      <c r="J36" s="286">
        <f t="shared" si="11"/>
        <v>59.793299999999995</v>
      </c>
      <c r="K36" s="287">
        <f t="shared" si="12"/>
        <v>230.63129999999998</v>
      </c>
    </row>
    <row r="37" spans="1:22" ht="34.5" customHeight="1">
      <c r="A37" s="281">
        <f t="shared" si="7"/>
        <v>13</v>
      </c>
      <c r="B37" s="282" t="s">
        <v>1008</v>
      </c>
      <c r="C37" s="295">
        <v>60</v>
      </c>
      <c r="D37" s="299">
        <f t="shared" si="9"/>
        <v>100.8</v>
      </c>
      <c r="E37" s="284">
        <f>D37*0.22</f>
        <v>22.175999999999998</v>
      </c>
      <c r="F37" s="284">
        <v>27</v>
      </c>
      <c r="G37" s="284">
        <f>0.5*C37</f>
        <v>30</v>
      </c>
      <c r="H37" s="284">
        <f t="shared" si="3"/>
        <v>38.808</v>
      </c>
      <c r="I37" s="284">
        <f t="shared" si="4"/>
        <v>218.78399999999999</v>
      </c>
      <c r="J37" s="286">
        <f t="shared" si="11"/>
        <v>76.574399999999997</v>
      </c>
      <c r="K37" s="287">
        <f t="shared" si="12"/>
        <v>295.35839999999996</v>
      </c>
    </row>
    <row r="38" spans="1:22" ht="39" customHeight="1">
      <c r="A38" s="281">
        <f t="shared" si="7"/>
        <v>14</v>
      </c>
      <c r="B38" s="282" t="s">
        <v>1009</v>
      </c>
      <c r="C38" s="295">
        <v>45</v>
      </c>
      <c r="D38" s="299">
        <f t="shared" si="9"/>
        <v>75.599999999999994</v>
      </c>
      <c r="E38" s="284">
        <f t="shared" ref="E38" si="13">D38*0.22</f>
        <v>16.631999999999998</v>
      </c>
      <c r="F38" s="284">
        <v>27</v>
      </c>
      <c r="G38" s="284">
        <f t="shared" ref="G38" si="14">0.5*C38</f>
        <v>22.5</v>
      </c>
      <c r="H38" s="284">
        <f t="shared" si="3"/>
        <v>29.105999999999998</v>
      </c>
      <c r="I38" s="284">
        <f t="shared" si="4"/>
        <v>170.83799999999999</v>
      </c>
      <c r="J38" s="286">
        <f t="shared" si="11"/>
        <v>59.793299999999995</v>
      </c>
      <c r="K38" s="287">
        <f t="shared" si="12"/>
        <v>230.63129999999998</v>
      </c>
    </row>
    <row r="39" spans="1:22" ht="39.75" customHeight="1">
      <c r="A39" s="281">
        <f t="shared" si="7"/>
        <v>15</v>
      </c>
      <c r="B39" s="282" t="s">
        <v>1010</v>
      </c>
      <c r="C39" s="295">
        <v>30</v>
      </c>
      <c r="D39" s="299">
        <f t="shared" si="9"/>
        <v>50.4</v>
      </c>
      <c r="E39" s="284">
        <f t="shared" si="1"/>
        <v>11.087999999999999</v>
      </c>
      <c r="F39" s="284">
        <v>25</v>
      </c>
      <c r="G39" s="284">
        <f t="shared" si="10"/>
        <v>15</v>
      </c>
      <c r="H39" s="284">
        <f t="shared" si="3"/>
        <v>19.404</v>
      </c>
      <c r="I39" s="284">
        <f t="shared" si="4"/>
        <v>120.892</v>
      </c>
      <c r="J39" s="286">
        <f t="shared" si="11"/>
        <v>42.312199999999997</v>
      </c>
      <c r="K39" s="287">
        <f t="shared" si="12"/>
        <v>163.20419999999999</v>
      </c>
    </row>
    <row r="40" spans="1:22" ht="55.5" customHeight="1">
      <c r="A40" s="281">
        <f t="shared" si="7"/>
        <v>16</v>
      </c>
      <c r="B40" s="282" t="s">
        <v>1011</v>
      </c>
      <c r="C40" s="300">
        <v>60</v>
      </c>
      <c r="D40" s="299">
        <f t="shared" si="9"/>
        <v>100.8</v>
      </c>
      <c r="E40" s="288">
        <f t="shared" si="1"/>
        <v>22.175999999999998</v>
      </c>
      <c r="F40" s="288">
        <v>27</v>
      </c>
      <c r="G40" s="288">
        <f t="shared" si="10"/>
        <v>30</v>
      </c>
      <c r="H40" s="288">
        <f t="shared" si="3"/>
        <v>38.808</v>
      </c>
      <c r="I40" s="288">
        <f t="shared" si="4"/>
        <v>218.78399999999999</v>
      </c>
      <c r="J40" s="286">
        <f t="shared" si="11"/>
        <v>76.574399999999997</v>
      </c>
      <c r="K40" s="287">
        <f t="shared" si="12"/>
        <v>295.35839999999996</v>
      </c>
    </row>
    <row r="41" spans="1:22" ht="39" customHeight="1">
      <c r="A41" s="281">
        <f t="shared" si="7"/>
        <v>17</v>
      </c>
      <c r="B41" s="282" t="s">
        <v>1012</v>
      </c>
      <c r="C41" s="295">
        <v>30</v>
      </c>
      <c r="D41" s="299">
        <f t="shared" si="9"/>
        <v>50.4</v>
      </c>
      <c r="E41" s="284">
        <f t="shared" si="1"/>
        <v>11.087999999999999</v>
      </c>
      <c r="F41" s="284">
        <v>23</v>
      </c>
      <c r="G41" s="284">
        <f t="shared" si="10"/>
        <v>15</v>
      </c>
      <c r="H41" s="284">
        <f t="shared" si="3"/>
        <v>19.404</v>
      </c>
      <c r="I41" s="284">
        <f t="shared" si="4"/>
        <v>118.892</v>
      </c>
      <c r="J41" s="286">
        <f t="shared" si="11"/>
        <v>41.612199999999994</v>
      </c>
      <c r="K41" s="287">
        <f t="shared" si="12"/>
        <v>160.5042</v>
      </c>
    </row>
    <row r="42" spans="1:22" ht="47.25" customHeight="1">
      <c r="A42" s="281">
        <f t="shared" si="7"/>
        <v>18</v>
      </c>
      <c r="B42" s="282" t="s">
        <v>1013</v>
      </c>
      <c r="C42" s="300">
        <v>15</v>
      </c>
      <c r="D42" s="299">
        <f t="shared" si="9"/>
        <v>25.2</v>
      </c>
      <c r="E42" s="288">
        <f t="shared" si="1"/>
        <v>5.5439999999999996</v>
      </c>
      <c r="F42" s="288">
        <v>23</v>
      </c>
      <c r="G42" s="284">
        <f t="shared" si="10"/>
        <v>7.5</v>
      </c>
      <c r="H42" s="288">
        <f t="shared" si="3"/>
        <v>9.702</v>
      </c>
      <c r="I42" s="288">
        <f t="shared" si="4"/>
        <v>70.945999999999998</v>
      </c>
      <c r="J42" s="286">
        <f t="shared" si="11"/>
        <v>24.831099999999999</v>
      </c>
      <c r="K42" s="287">
        <f t="shared" si="12"/>
        <v>95.77709999999999</v>
      </c>
    </row>
    <row r="43" spans="1:22" ht="41.25" customHeight="1">
      <c r="A43" s="281">
        <f t="shared" si="7"/>
        <v>19</v>
      </c>
      <c r="B43" s="282" t="s">
        <v>1014</v>
      </c>
      <c r="C43" s="295">
        <v>60</v>
      </c>
      <c r="D43" s="299">
        <f t="shared" si="9"/>
        <v>100.8</v>
      </c>
      <c r="E43" s="284">
        <f t="shared" si="1"/>
        <v>22.175999999999998</v>
      </c>
      <c r="F43" s="284">
        <v>23</v>
      </c>
      <c r="G43" s="284">
        <f t="shared" si="10"/>
        <v>30</v>
      </c>
      <c r="H43" s="284">
        <f t="shared" si="3"/>
        <v>38.808</v>
      </c>
      <c r="I43" s="284">
        <f>H43+G43+F43+E43+D43</f>
        <v>214.78399999999999</v>
      </c>
      <c r="J43" s="286">
        <f t="shared" si="11"/>
        <v>75.174399999999991</v>
      </c>
      <c r="K43" s="287">
        <f t="shared" si="12"/>
        <v>289.95839999999998</v>
      </c>
    </row>
    <row r="44" spans="1:22" ht="58.5" customHeight="1">
      <c r="A44" s="275" t="s">
        <v>1015</v>
      </c>
      <c r="B44" s="275"/>
      <c r="C44" s="275"/>
      <c r="D44" s="275"/>
      <c r="E44" s="275"/>
      <c r="F44" s="275"/>
      <c r="G44" s="275"/>
      <c r="H44" s="275"/>
      <c r="I44" s="275"/>
      <c r="J44" s="275"/>
      <c r="K44" s="275"/>
      <c r="M44" s="301"/>
      <c r="N44" s="301"/>
      <c r="O44" s="301"/>
      <c r="P44" s="301"/>
      <c r="Q44" s="301"/>
      <c r="R44" s="301"/>
      <c r="S44" s="301"/>
      <c r="T44" s="301"/>
      <c r="U44" s="301"/>
      <c r="V44" s="302"/>
    </row>
    <row r="45" spans="1:22" ht="71.25" customHeight="1">
      <c r="A45" s="276" t="s">
        <v>972</v>
      </c>
      <c r="B45" s="277" t="s">
        <v>130</v>
      </c>
      <c r="C45" s="278" t="s">
        <v>525</v>
      </c>
      <c r="D45" s="276" t="s">
        <v>973</v>
      </c>
      <c r="E45" s="276" t="s">
        <v>1787</v>
      </c>
      <c r="F45" s="276" t="s">
        <v>244</v>
      </c>
      <c r="G45" s="276" t="s">
        <v>607</v>
      </c>
      <c r="H45" s="279" t="s">
        <v>1788</v>
      </c>
      <c r="I45" s="279" t="s">
        <v>131</v>
      </c>
      <c r="J45" s="280" t="s">
        <v>529</v>
      </c>
      <c r="K45" s="277" t="s">
        <v>234</v>
      </c>
    </row>
    <row r="46" spans="1:22" ht="18.75">
      <c r="A46" s="281">
        <v>1</v>
      </c>
      <c r="B46" s="303" t="s">
        <v>1016</v>
      </c>
      <c r="C46" s="304">
        <v>10</v>
      </c>
      <c r="D46" s="292">
        <f>C46*0.64</f>
        <v>6.4</v>
      </c>
      <c r="E46" s="292">
        <f t="shared" ref="E46:E54" si="15">D46*0.22</f>
        <v>1.4080000000000001</v>
      </c>
      <c r="F46" s="304">
        <v>2.5099999999999998</v>
      </c>
      <c r="G46" s="304">
        <f t="shared" ref="G46:G54" si="16">C46*0.013</f>
        <v>0.13</v>
      </c>
      <c r="H46" s="292">
        <f t="shared" ref="H46:H54" si="17">D46*0.385</f>
        <v>2.4640000000000004</v>
      </c>
      <c r="I46" s="292">
        <f>H46+G46+F46+E46+D46</f>
        <v>12.912000000000001</v>
      </c>
      <c r="J46" s="284">
        <f>I46*0.35</f>
        <v>4.5191999999999997</v>
      </c>
      <c r="K46" s="287">
        <f>I46+J46</f>
        <v>17.4312</v>
      </c>
    </row>
    <row r="47" spans="1:22" ht="31.5" customHeight="1">
      <c r="A47" s="281">
        <f t="shared" si="7"/>
        <v>2</v>
      </c>
      <c r="B47" s="303" t="s">
        <v>1017</v>
      </c>
      <c r="C47" s="304">
        <v>20</v>
      </c>
      <c r="D47" s="292">
        <f t="shared" ref="D47:D54" si="18">C47*0.64</f>
        <v>12.8</v>
      </c>
      <c r="E47" s="292">
        <f t="shared" si="15"/>
        <v>2.8160000000000003</v>
      </c>
      <c r="F47" s="304">
        <v>4.3600000000000003</v>
      </c>
      <c r="G47" s="304">
        <f t="shared" si="16"/>
        <v>0.26</v>
      </c>
      <c r="H47" s="292">
        <f t="shared" si="17"/>
        <v>4.9280000000000008</v>
      </c>
      <c r="I47" s="292">
        <f t="shared" ref="I47:I53" si="19">SUM(D47:H47)</f>
        <v>25.164000000000005</v>
      </c>
      <c r="J47" s="284">
        <f t="shared" ref="J47:J54" si="20">I47*0.35</f>
        <v>8.8074000000000012</v>
      </c>
      <c r="K47" s="287">
        <f t="shared" ref="K47:K54" si="21">I47+J47</f>
        <v>33.971400000000003</v>
      </c>
    </row>
    <row r="48" spans="1:22" ht="44.25" customHeight="1">
      <c r="A48" s="281">
        <f t="shared" si="7"/>
        <v>3</v>
      </c>
      <c r="B48" s="303" t="s">
        <v>1018</v>
      </c>
      <c r="C48" s="305">
        <v>20</v>
      </c>
      <c r="D48" s="306">
        <f>C48*0.64</f>
        <v>12.8</v>
      </c>
      <c r="E48" s="306">
        <f t="shared" si="15"/>
        <v>2.8160000000000003</v>
      </c>
      <c r="F48" s="305">
        <v>9.4499999999999993</v>
      </c>
      <c r="G48" s="305">
        <f t="shared" si="16"/>
        <v>0.26</v>
      </c>
      <c r="H48" s="306">
        <f t="shared" si="17"/>
        <v>4.9280000000000008</v>
      </c>
      <c r="I48" s="306">
        <f t="shared" si="19"/>
        <v>30.254000000000005</v>
      </c>
      <c r="J48" s="284">
        <f t="shared" si="20"/>
        <v>10.588900000000001</v>
      </c>
      <c r="K48" s="287">
        <f t="shared" si="21"/>
        <v>40.842900000000007</v>
      </c>
    </row>
    <row r="49" spans="1:14" ht="47.25">
      <c r="A49" s="281">
        <v>4</v>
      </c>
      <c r="B49" s="303" t="s">
        <v>1019</v>
      </c>
      <c r="C49" s="305">
        <v>30</v>
      </c>
      <c r="D49" s="306">
        <f t="shared" si="18"/>
        <v>19.2</v>
      </c>
      <c r="E49" s="306">
        <f t="shared" si="15"/>
        <v>4.2240000000000002</v>
      </c>
      <c r="F49" s="305">
        <v>9.4499999999999993</v>
      </c>
      <c r="G49" s="305">
        <f t="shared" si="16"/>
        <v>0.38999999999999996</v>
      </c>
      <c r="H49" s="306">
        <f t="shared" si="17"/>
        <v>7.3919999999999995</v>
      </c>
      <c r="I49" s="306">
        <f t="shared" si="19"/>
        <v>40.655999999999992</v>
      </c>
      <c r="J49" s="284">
        <f t="shared" si="20"/>
        <v>14.229599999999996</v>
      </c>
      <c r="K49" s="287">
        <f t="shared" si="21"/>
        <v>54.88559999999999</v>
      </c>
    </row>
    <row r="50" spans="1:14" ht="24" customHeight="1">
      <c r="A50" s="281">
        <f t="shared" si="7"/>
        <v>5</v>
      </c>
      <c r="B50" s="303" t="s">
        <v>1020</v>
      </c>
      <c r="C50" s="304">
        <v>20</v>
      </c>
      <c r="D50" s="292">
        <f t="shared" si="18"/>
        <v>12.8</v>
      </c>
      <c r="E50" s="292">
        <f t="shared" si="15"/>
        <v>2.8160000000000003</v>
      </c>
      <c r="F50" s="304">
        <v>9.4499999999999993</v>
      </c>
      <c r="G50" s="304">
        <f t="shared" si="16"/>
        <v>0.26</v>
      </c>
      <c r="H50" s="292">
        <f t="shared" si="17"/>
        <v>4.9280000000000008</v>
      </c>
      <c r="I50" s="292">
        <f t="shared" si="19"/>
        <v>30.254000000000005</v>
      </c>
      <c r="J50" s="284">
        <f t="shared" si="20"/>
        <v>10.588900000000001</v>
      </c>
      <c r="K50" s="287">
        <f t="shared" si="21"/>
        <v>40.842900000000007</v>
      </c>
    </row>
    <row r="51" spans="1:14" ht="36.75" customHeight="1">
      <c r="A51" s="281">
        <f t="shared" si="7"/>
        <v>6</v>
      </c>
      <c r="B51" s="303" t="s">
        <v>1021</v>
      </c>
      <c r="C51" s="304">
        <v>8</v>
      </c>
      <c r="D51" s="292">
        <f t="shared" si="18"/>
        <v>5.12</v>
      </c>
      <c r="E51" s="292">
        <f t="shared" si="15"/>
        <v>1.1264000000000001</v>
      </c>
      <c r="F51" s="304">
        <v>3.06</v>
      </c>
      <c r="G51" s="292">
        <f t="shared" si="16"/>
        <v>0.104</v>
      </c>
      <c r="H51" s="292">
        <f t="shared" si="17"/>
        <v>1.9712000000000001</v>
      </c>
      <c r="I51" s="284">
        <f t="shared" si="19"/>
        <v>11.381599999999999</v>
      </c>
      <c r="J51" s="284">
        <f t="shared" si="20"/>
        <v>3.9835599999999993</v>
      </c>
      <c r="K51" s="287">
        <f t="shared" si="21"/>
        <v>15.365159999999998</v>
      </c>
    </row>
    <row r="52" spans="1:14" ht="42" customHeight="1">
      <c r="A52" s="281">
        <f t="shared" si="7"/>
        <v>7</v>
      </c>
      <c r="B52" s="303" t="s">
        <v>1022</v>
      </c>
      <c r="C52" s="304">
        <v>15</v>
      </c>
      <c r="D52" s="292">
        <f t="shared" si="18"/>
        <v>9.6</v>
      </c>
      <c r="E52" s="292">
        <f t="shared" si="15"/>
        <v>2.1120000000000001</v>
      </c>
      <c r="F52" s="304">
        <v>3.06</v>
      </c>
      <c r="G52" s="292">
        <f t="shared" si="16"/>
        <v>0.19499999999999998</v>
      </c>
      <c r="H52" s="292">
        <f t="shared" si="17"/>
        <v>3.6959999999999997</v>
      </c>
      <c r="I52" s="284">
        <f t="shared" si="19"/>
        <v>18.663</v>
      </c>
      <c r="J52" s="284">
        <f t="shared" si="20"/>
        <v>6.5320499999999999</v>
      </c>
      <c r="K52" s="287">
        <f t="shared" si="21"/>
        <v>25.195050000000002</v>
      </c>
    </row>
    <row r="53" spans="1:14" ht="39.75" customHeight="1">
      <c r="A53" s="281">
        <f t="shared" si="7"/>
        <v>8</v>
      </c>
      <c r="B53" s="307" t="s">
        <v>1023</v>
      </c>
      <c r="C53" s="295">
        <v>8</v>
      </c>
      <c r="D53" s="284">
        <f t="shared" si="18"/>
        <v>5.12</v>
      </c>
      <c r="E53" s="284">
        <f t="shared" si="15"/>
        <v>1.1264000000000001</v>
      </c>
      <c r="F53" s="295">
        <v>2.4500000000000002</v>
      </c>
      <c r="G53" s="284">
        <f t="shared" si="16"/>
        <v>0.104</v>
      </c>
      <c r="H53" s="284">
        <f t="shared" si="17"/>
        <v>1.9712000000000001</v>
      </c>
      <c r="I53" s="284">
        <f t="shared" si="19"/>
        <v>10.771599999999999</v>
      </c>
      <c r="J53" s="284">
        <f t="shared" si="20"/>
        <v>3.7700599999999995</v>
      </c>
      <c r="K53" s="287">
        <f t="shared" si="21"/>
        <v>14.541659999999998</v>
      </c>
    </row>
    <row r="54" spans="1:14" ht="37.5" customHeight="1">
      <c r="A54" s="281">
        <f t="shared" si="7"/>
        <v>9</v>
      </c>
      <c r="B54" s="307" t="s">
        <v>1024</v>
      </c>
      <c r="C54" s="295">
        <v>15</v>
      </c>
      <c r="D54" s="284">
        <f t="shared" si="18"/>
        <v>9.6</v>
      </c>
      <c r="E54" s="284">
        <f t="shared" si="15"/>
        <v>2.1120000000000001</v>
      </c>
      <c r="F54" s="295">
        <v>2.4500000000000002</v>
      </c>
      <c r="G54" s="284">
        <f t="shared" si="16"/>
        <v>0.19499999999999998</v>
      </c>
      <c r="H54" s="284">
        <f t="shared" si="17"/>
        <v>3.6959999999999997</v>
      </c>
      <c r="I54" s="284">
        <f t="shared" ref="I54:I74" si="22">SUM(D54:H54)</f>
        <v>18.052999999999997</v>
      </c>
      <c r="J54" s="284">
        <f t="shared" si="20"/>
        <v>6.3185499999999983</v>
      </c>
      <c r="K54" s="287">
        <f t="shared" si="21"/>
        <v>24.371549999999996</v>
      </c>
    </row>
    <row r="55" spans="1:14" ht="57" customHeight="1">
      <c r="A55" s="275" t="s">
        <v>1025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5"/>
    </row>
    <row r="56" spans="1:14" ht="82.5" customHeight="1">
      <c r="A56" s="276" t="s">
        <v>972</v>
      </c>
      <c r="B56" s="277" t="s">
        <v>130</v>
      </c>
      <c r="C56" s="278" t="s">
        <v>525</v>
      </c>
      <c r="D56" s="276" t="s">
        <v>973</v>
      </c>
      <c r="E56" s="276" t="s">
        <v>1787</v>
      </c>
      <c r="F56" s="276" t="s">
        <v>244</v>
      </c>
      <c r="G56" s="276" t="s">
        <v>607</v>
      </c>
      <c r="H56" s="279" t="s">
        <v>1788</v>
      </c>
      <c r="I56" s="279" t="s">
        <v>131</v>
      </c>
      <c r="J56" s="280" t="s">
        <v>529</v>
      </c>
      <c r="K56" s="277" t="s">
        <v>234</v>
      </c>
    </row>
    <row r="57" spans="1:14" ht="52.5" customHeight="1">
      <c r="A57" s="308">
        <v>1</v>
      </c>
      <c r="B57" s="307" t="s">
        <v>1026</v>
      </c>
      <c r="C57" s="309">
        <v>15</v>
      </c>
      <c r="D57" s="310">
        <f>C57*2.17</f>
        <v>32.549999999999997</v>
      </c>
      <c r="E57" s="310">
        <f>D57*0.22</f>
        <v>7.1609999999999996</v>
      </c>
      <c r="F57" s="310">
        <v>50.2</v>
      </c>
      <c r="G57" s="311">
        <f t="shared" ref="G57:G74" si="23">C57*0.023</f>
        <v>0.34499999999999997</v>
      </c>
      <c r="H57" s="285">
        <f>D57*0.385</f>
        <v>12.531749999999999</v>
      </c>
      <c r="I57" s="311">
        <f t="shared" si="22"/>
        <v>102.78775</v>
      </c>
      <c r="J57" s="286">
        <f>I57*0.35</f>
        <v>35.9757125</v>
      </c>
      <c r="K57" s="287">
        <f>I57+J57</f>
        <v>138.7634625</v>
      </c>
    </row>
    <row r="58" spans="1:14" ht="57.75" customHeight="1">
      <c r="A58" s="308">
        <f>A57+1</f>
        <v>2</v>
      </c>
      <c r="B58" s="307" t="s">
        <v>1027</v>
      </c>
      <c r="C58" s="309">
        <v>20</v>
      </c>
      <c r="D58" s="310">
        <f t="shared" ref="D58:D74" si="24">C58*2.17</f>
        <v>43.4</v>
      </c>
      <c r="E58" s="310">
        <f t="shared" ref="E58:E74" si="25">D58*0.22</f>
        <v>9.548</v>
      </c>
      <c r="F58" s="310">
        <v>50.2</v>
      </c>
      <c r="G58" s="311">
        <f t="shared" si="23"/>
        <v>0.45999999999999996</v>
      </c>
      <c r="H58" s="285">
        <f t="shared" ref="H58:H74" si="26">D58*0.385</f>
        <v>16.709</v>
      </c>
      <c r="I58" s="311">
        <f t="shared" si="22"/>
        <v>120.31699999999999</v>
      </c>
      <c r="J58" s="286">
        <f t="shared" ref="J58:J74" si="27">I58*0.35</f>
        <v>42.110949999999995</v>
      </c>
      <c r="K58" s="287">
        <f t="shared" ref="K58:K74" si="28">I58+J58</f>
        <v>162.42794999999998</v>
      </c>
    </row>
    <row r="59" spans="1:14" ht="43.5" customHeight="1">
      <c r="A59" s="308">
        <f t="shared" ref="A59:A74" si="29">A58+1</f>
        <v>3</v>
      </c>
      <c r="B59" s="307" t="s">
        <v>1028</v>
      </c>
      <c r="C59" s="309">
        <v>15</v>
      </c>
      <c r="D59" s="310">
        <f t="shared" si="24"/>
        <v>32.549999999999997</v>
      </c>
      <c r="E59" s="310">
        <f t="shared" si="25"/>
        <v>7.1609999999999996</v>
      </c>
      <c r="F59" s="310">
        <v>50.2</v>
      </c>
      <c r="G59" s="311">
        <f t="shared" si="23"/>
        <v>0.34499999999999997</v>
      </c>
      <c r="H59" s="285">
        <f t="shared" si="26"/>
        <v>12.531749999999999</v>
      </c>
      <c r="I59" s="311">
        <f t="shared" si="22"/>
        <v>102.78775</v>
      </c>
      <c r="J59" s="286">
        <f t="shared" si="27"/>
        <v>35.9757125</v>
      </c>
      <c r="K59" s="287">
        <f t="shared" si="28"/>
        <v>138.7634625</v>
      </c>
    </row>
    <row r="60" spans="1:14" ht="45.75" customHeight="1">
      <c r="A60" s="308">
        <f t="shared" si="29"/>
        <v>4</v>
      </c>
      <c r="B60" s="307" t="s">
        <v>1029</v>
      </c>
      <c r="C60" s="309">
        <v>40</v>
      </c>
      <c r="D60" s="310">
        <f t="shared" si="24"/>
        <v>86.8</v>
      </c>
      <c r="E60" s="310">
        <f t="shared" si="25"/>
        <v>19.096</v>
      </c>
      <c r="F60" s="310">
        <v>50.2</v>
      </c>
      <c r="G60" s="311">
        <f t="shared" si="23"/>
        <v>0.91999999999999993</v>
      </c>
      <c r="H60" s="285">
        <f t="shared" si="26"/>
        <v>33.417999999999999</v>
      </c>
      <c r="I60" s="311">
        <f t="shared" si="22"/>
        <v>190.434</v>
      </c>
      <c r="J60" s="286">
        <f t="shared" si="27"/>
        <v>66.651899999999998</v>
      </c>
      <c r="K60" s="287">
        <f t="shared" si="28"/>
        <v>257.08589999999998</v>
      </c>
    </row>
    <row r="61" spans="1:14" ht="37.5" customHeight="1">
      <c r="A61" s="308">
        <f t="shared" si="29"/>
        <v>5</v>
      </c>
      <c r="B61" s="307" t="s">
        <v>1030</v>
      </c>
      <c r="C61" s="309">
        <v>40</v>
      </c>
      <c r="D61" s="310">
        <f t="shared" si="24"/>
        <v>86.8</v>
      </c>
      <c r="E61" s="310">
        <f t="shared" si="25"/>
        <v>19.096</v>
      </c>
      <c r="F61" s="310">
        <v>50.2</v>
      </c>
      <c r="G61" s="311">
        <f t="shared" si="23"/>
        <v>0.91999999999999993</v>
      </c>
      <c r="H61" s="285">
        <f t="shared" si="26"/>
        <v>33.417999999999999</v>
      </c>
      <c r="I61" s="311">
        <f t="shared" si="22"/>
        <v>190.434</v>
      </c>
      <c r="J61" s="286">
        <f t="shared" si="27"/>
        <v>66.651899999999998</v>
      </c>
      <c r="K61" s="287">
        <f t="shared" si="28"/>
        <v>257.08589999999998</v>
      </c>
    </row>
    <row r="62" spans="1:14" ht="36.75" customHeight="1">
      <c r="A62" s="308">
        <f t="shared" si="29"/>
        <v>6</v>
      </c>
      <c r="B62" s="307" t="s">
        <v>1031</v>
      </c>
      <c r="C62" s="309">
        <v>40</v>
      </c>
      <c r="D62" s="310">
        <f t="shared" si="24"/>
        <v>86.8</v>
      </c>
      <c r="E62" s="310">
        <f t="shared" si="25"/>
        <v>19.096</v>
      </c>
      <c r="F62" s="310">
        <v>50.2</v>
      </c>
      <c r="G62" s="311">
        <f t="shared" si="23"/>
        <v>0.91999999999999993</v>
      </c>
      <c r="H62" s="285">
        <f t="shared" si="26"/>
        <v>33.417999999999999</v>
      </c>
      <c r="I62" s="311">
        <f t="shared" si="22"/>
        <v>190.434</v>
      </c>
      <c r="J62" s="286">
        <f t="shared" si="27"/>
        <v>66.651899999999998</v>
      </c>
      <c r="K62" s="287">
        <f t="shared" si="28"/>
        <v>257.08589999999998</v>
      </c>
    </row>
    <row r="63" spans="1:14" ht="57.75" customHeight="1">
      <c r="A63" s="308">
        <f t="shared" si="29"/>
        <v>7</v>
      </c>
      <c r="B63" s="307" t="s">
        <v>1032</v>
      </c>
      <c r="C63" s="309">
        <v>20</v>
      </c>
      <c r="D63" s="310">
        <f t="shared" si="24"/>
        <v>43.4</v>
      </c>
      <c r="E63" s="310">
        <f t="shared" si="25"/>
        <v>9.548</v>
      </c>
      <c r="F63" s="310">
        <v>50.2</v>
      </c>
      <c r="G63" s="311">
        <f t="shared" si="23"/>
        <v>0.45999999999999996</v>
      </c>
      <c r="H63" s="285">
        <f t="shared" si="26"/>
        <v>16.709</v>
      </c>
      <c r="I63" s="311">
        <f t="shared" si="22"/>
        <v>120.31699999999999</v>
      </c>
      <c r="J63" s="286">
        <f t="shared" si="27"/>
        <v>42.110949999999995</v>
      </c>
      <c r="K63" s="287">
        <f t="shared" si="28"/>
        <v>162.42794999999998</v>
      </c>
    </row>
    <row r="64" spans="1:14" ht="50.25" customHeight="1">
      <c r="A64" s="308">
        <f t="shared" si="29"/>
        <v>8</v>
      </c>
      <c r="B64" s="307" t="s">
        <v>1033</v>
      </c>
      <c r="C64" s="309">
        <v>30</v>
      </c>
      <c r="D64" s="310">
        <f t="shared" si="24"/>
        <v>65.099999999999994</v>
      </c>
      <c r="E64" s="310">
        <f t="shared" si="25"/>
        <v>14.321999999999999</v>
      </c>
      <c r="F64" s="310">
        <v>100.2</v>
      </c>
      <c r="G64" s="311">
        <f t="shared" si="23"/>
        <v>0.69</v>
      </c>
      <c r="H64" s="285">
        <f t="shared" si="26"/>
        <v>25.063499999999998</v>
      </c>
      <c r="I64" s="311">
        <f t="shared" si="22"/>
        <v>205.37550000000002</v>
      </c>
      <c r="J64" s="286">
        <f t="shared" si="27"/>
        <v>71.881425000000007</v>
      </c>
      <c r="K64" s="287">
        <f t="shared" si="28"/>
        <v>277.25692500000002</v>
      </c>
      <c r="N64" s="274" t="s">
        <v>1034</v>
      </c>
    </row>
    <row r="65" spans="1:11" ht="55.5" customHeight="1">
      <c r="A65" s="308">
        <f t="shared" si="29"/>
        <v>9</v>
      </c>
      <c r="B65" s="307" t="s">
        <v>1035</v>
      </c>
      <c r="C65" s="309">
        <v>15</v>
      </c>
      <c r="D65" s="310">
        <f t="shared" si="24"/>
        <v>32.549999999999997</v>
      </c>
      <c r="E65" s="310">
        <f t="shared" si="25"/>
        <v>7.1609999999999996</v>
      </c>
      <c r="F65" s="310">
        <v>46.2</v>
      </c>
      <c r="G65" s="311">
        <f t="shared" si="23"/>
        <v>0.34499999999999997</v>
      </c>
      <c r="H65" s="285">
        <f t="shared" si="26"/>
        <v>12.531749999999999</v>
      </c>
      <c r="I65" s="311">
        <f t="shared" si="22"/>
        <v>98.787750000000003</v>
      </c>
      <c r="J65" s="286">
        <f t="shared" si="27"/>
        <v>34.575712500000002</v>
      </c>
      <c r="K65" s="287">
        <f t="shared" si="28"/>
        <v>133.3634625</v>
      </c>
    </row>
    <row r="66" spans="1:11" ht="51.75" customHeight="1">
      <c r="A66" s="308">
        <f t="shared" si="29"/>
        <v>10</v>
      </c>
      <c r="B66" s="307" t="s">
        <v>1036</v>
      </c>
      <c r="C66" s="309">
        <v>30</v>
      </c>
      <c r="D66" s="310">
        <f t="shared" si="24"/>
        <v>65.099999999999994</v>
      </c>
      <c r="E66" s="310">
        <f t="shared" si="25"/>
        <v>14.321999999999999</v>
      </c>
      <c r="F66" s="310">
        <v>46.2</v>
      </c>
      <c r="G66" s="311">
        <f t="shared" si="23"/>
        <v>0.69</v>
      </c>
      <c r="H66" s="285">
        <f t="shared" si="26"/>
        <v>25.063499999999998</v>
      </c>
      <c r="I66" s="311">
        <f t="shared" si="22"/>
        <v>151.37549999999999</v>
      </c>
      <c r="J66" s="286">
        <f t="shared" si="27"/>
        <v>52.981424999999994</v>
      </c>
      <c r="K66" s="287">
        <f t="shared" si="28"/>
        <v>204.35692499999999</v>
      </c>
    </row>
    <row r="67" spans="1:11" ht="49.5" customHeight="1">
      <c r="A67" s="308">
        <f t="shared" si="29"/>
        <v>11</v>
      </c>
      <c r="B67" s="307" t="s">
        <v>1037</v>
      </c>
      <c r="C67" s="309">
        <v>30</v>
      </c>
      <c r="D67" s="310">
        <f t="shared" si="24"/>
        <v>65.099999999999994</v>
      </c>
      <c r="E67" s="310">
        <f t="shared" si="25"/>
        <v>14.321999999999999</v>
      </c>
      <c r="F67" s="310">
        <v>46.2</v>
      </c>
      <c r="G67" s="311">
        <f t="shared" si="23"/>
        <v>0.69</v>
      </c>
      <c r="H67" s="285">
        <f t="shared" si="26"/>
        <v>25.063499999999998</v>
      </c>
      <c r="I67" s="311">
        <f t="shared" si="22"/>
        <v>151.37549999999999</v>
      </c>
      <c r="J67" s="286">
        <f t="shared" si="27"/>
        <v>52.981424999999994</v>
      </c>
      <c r="K67" s="287">
        <f t="shared" si="28"/>
        <v>204.35692499999999</v>
      </c>
    </row>
    <row r="68" spans="1:11" ht="60.75" customHeight="1">
      <c r="A68" s="308">
        <f t="shared" si="29"/>
        <v>12</v>
      </c>
      <c r="B68" s="307" t="s">
        <v>1038</v>
      </c>
      <c r="C68" s="309">
        <v>30</v>
      </c>
      <c r="D68" s="310">
        <f t="shared" si="24"/>
        <v>65.099999999999994</v>
      </c>
      <c r="E68" s="310">
        <f t="shared" si="25"/>
        <v>14.321999999999999</v>
      </c>
      <c r="F68" s="310">
        <v>46.2</v>
      </c>
      <c r="G68" s="311">
        <f t="shared" si="23"/>
        <v>0.69</v>
      </c>
      <c r="H68" s="285">
        <f t="shared" si="26"/>
        <v>25.063499999999998</v>
      </c>
      <c r="I68" s="311">
        <f t="shared" si="22"/>
        <v>151.37549999999999</v>
      </c>
      <c r="J68" s="286">
        <f t="shared" si="27"/>
        <v>52.981424999999994</v>
      </c>
      <c r="K68" s="287">
        <f t="shared" si="28"/>
        <v>204.35692499999999</v>
      </c>
    </row>
    <row r="69" spans="1:11" ht="60.75" customHeight="1">
      <c r="A69" s="308">
        <f t="shared" si="29"/>
        <v>13</v>
      </c>
      <c r="B69" s="307" t="s">
        <v>1039</v>
      </c>
      <c r="C69" s="309">
        <v>30</v>
      </c>
      <c r="D69" s="310">
        <f t="shared" si="24"/>
        <v>65.099999999999994</v>
      </c>
      <c r="E69" s="310">
        <f t="shared" si="25"/>
        <v>14.321999999999999</v>
      </c>
      <c r="F69" s="310">
        <v>50.2</v>
      </c>
      <c r="G69" s="311">
        <f t="shared" si="23"/>
        <v>0.69</v>
      </c>
      <c r="H69" s="285">
        <f t="shared" si="26"/>
        <v>25.063499999999998</v>
      </c>
      <c r="I69" s="311">
        <f t="shared" si="22"/>
        <v>155.37550000000002</v>
      </c>
      <c r="J69" s="286">
        <f t="shared" si="27"/>
        <v>54.381425</v>
      </c>
      <c r="K69" s="287">
        <f t="shared" si="28"/>
        <v>209.75692500000002</v>
      </c>
    </row>
    <row r="70" spans="1:11" ht="54" customHeight="1">
      <c r="A70" s="308">
        <f t="shared" si="29"/>
        <v>14</v>
      </c>
      <c r="B70" s="307" t="s">
        <v>1040</v>
      </c>
      <c r="C70" s="309">
        <v>15</v>
      </c>
      <c r="D70" s="310">
        <f t="shared" si="24"/>
        <v>32.549999999999997</v>
      </c>
      <c r="E70" s="310">
        <f t="shared" si="25"/>
        <v>7.1609999999999996</v>
      </c>
      <c r="F70" s="310">
        <v>41.2</v>
      </c>
      <c r="G70" s="311">
        <f t="shared" si="23"/>
        <v>0.34499999999999997</v>
      </c>
      <c r="H70" s="285">
        <f t="shared" si="26"/>
        <v>12.531749999999999</v>
      </c>
      <c r="I70" s="311">
        <f t="shared" si="22"/>
        <v>93.787750000000003</v>
      </c>
      <c r="J70" s="286">
        <f t="shared" si="27"/>
        <v>32.825712500000002</v>
      </c>
      <c r="K70" s="287">
        <f t="shared" si="28"/>
        <v>126.6134625</v>
      </c>
    </row>
    <row r="71" spans="1:11" ht="47.25">
      <c r="A71" s="308">
        <f t="shared" si="29"/>
        <v>15</v>
      </c>
      <c r="B71" s="307" t="s">
        <v>1041</v>
      </c>
      <c r="C71" s="309">
        <v>20</v>
      </c>
      <c r="D71" s="310">
        <f t="shared" si="24"/>
        <v>43.4</v>
      </c>
      <c r="E71" s="310">
        <f t="shared" si="25"/>
        <v>9.548</v>
      </c>
      <c r="F71" s="310">
        <v>46.2</v>
      </c>
      <c r="G71" s="311">
        <f t="shared" si="23"/>
        <v>0.45999999999999996</v>
      </c>
      <c r="H71" s="285">
        <f t="shared" si="26"/>
        <v>16.709</v>
      </c>
      <c r="I71" s="311">
        <f t="shared" si="22"/>
        <v>116.31699999999999</v>
      </c>
      <c r="J71" s="286">
        <f t="shared" si="27"/>
        <v>40.710949999999997</v>
      </c>
      <c r="K71" s="287">
        <f t="shared" si="28"/>
        <v>157.02794999999998</v>
      </c>
    </row>
    <row r="72" spans="1:11" ht="39" customHeight="1">
      <c r="A72" s="308">
        <f t="shared" si="29"/>
        <v>16</v>
      </c>
      <c r="B72" s="307" t="s">
        <v>1042</v>
      </c>
      <c r="C72" s="309">
        <v>20</v>
      </c>
      <c r="D72" s="310">
        <f t="shared" si="24"/>
        <v>43.4</v>
      </c>
      <c r="E72" s="310">
        <f t="shared" si="25"/>
        <v>9.548</v>
      </c>
      <c r="F72" s="310">
        <v>39.200000000000003</v>
      </c>
      <c r="G72" s="311">
        <f t="shared" si="23"/>
        <v>0.45999999999999996</v>
      </c>
      <c r="H72" s="285">
        <f t="shared" si="26"/>
        <v>16.709</v>
      </c>
      <c r="I72" s="311">
        <f t="shared" si="22"/>
        <v>109.31699999999999</v>
      </c>
      <c r="J72" s="286">
        <f t="shared" si="27"/>
        <v>38.260949999999994</v>
      </c>
      <c r="K72" s="287">
        <f t="shared" si="28"/>
        <v>147.57794999999999</v>
      </c>
    </row>
    <row r="73" spans="1:11" ht="35.25" customHeight="1">
      <c r="A73" s="308">
        <f t="shared" si="29"/>
        <v>17</v>
      </c>
      <c r="B73" s="312" t="s">
        <v>1043</v>
      </c>
      <c r="C73" s="313">
        <v>45</v>
      </c>
      <c r="D73" s="310">
        <f t="shared" si="24"/>
        <v>97.649999999999991</v>
      </c>
      <c r="E73" s="310">
        <f t="shared" si="25"/>
        <v>21.482999999999997</v>
      </c>
      <c r="F73" s="310">
        <v>46.2</v>
      </c>
      <c r="G73" s="310">
        <f t="shared" si="23"/>
        <v>1.0349999999999999</v>
      </c>
      <c r="H73" s="285">
        <f t="shared" si="26"/>
        <v>37.59525</v>
      </c>
      <c r="I73" s="311">
        <f t="shared" si="22"/>
        <v>203.96324999999996</v>
      </c>
      <c r="J73" s="286">
        <f t="shared" si="27"/>
        <v>71.38713749999998</v>
      </c>
      <c r="K73" s="287">
        <f t="shared" si="28"/>
        <v>275.35038749999995</v>
      </c>
    </row>
    <row r="74" spans="1:11" ht="35.25" customHeight="1">
      <c r="A74" s="308">
        <f t="shared" si="29"/>
        <v>18</v>
      </c>
      <c r="B74" s="312" t="s">
        <v>1044</v>
      </c>
      <c r="C74" s="313">
        <v>15</v>
      </c>
      <c r="D74" s="310">
        <f t="shared" si="24"/>
        <v>32.549999999999997</v>
      </c>
      <c r="E74" s="310">
        <f t="shared" si="25"/>
        <v>7.1609999999999996</v>
      </c>
      <c r="F74" s="310">
        <v>16.420000000000002</v>
      </c>
      <c r="G74" s="310">
        <f t="shared" si="23"/>
        <v>0.34499999999999997</v>
      </c>
      <c r="H74" s="285">
        <f t="shared" si="26"/>
        <v>12.531749999999999</v>
      </c>
      <c r="I74" s="311">
        <f t="shared" si="22"/>
        <v>69.007750000000001</v>
      </c>
      <c r="J74" s="286">
        <f t="shared" si="27"/>
        <v>24.1527125</v>
      </c>
      <c r="K74" s="287">
        <f t="shared" si="28"/>
        <v>93.160462499999994</v>
      </c>
    </row>
    <row r="75" spans="1:11" ht="37.5" customHeight="1">
      <c r="A75" s="275" t="s">
        <v>1045</v>
      </c>
      <c r="B75" s="275"/>
      <c r="C75" s="275"/>
      <c r="D75" s="275"/>
      <c r="E75" s="275"/>
      <c r="F75" s="275"/>
      <c r="G75" s="275"/>
      <c r="H75" s="275"/>
      <c r="I75" s="275"/>
      <c r="J75" s="275"/>
      <c r="K75" s="275"/>
    </row>
    <row r="76" spans="1:11" ht="85.5">
      <c r="A76" s="276" t="s">
        <v>972</v>
      </c>
      <c r="B76" s="277" t="s">
        <v>130</v>
      </c>
      <c r="C76" s="278" t="s">
        <v>525</v>
      </c>
      <c r="D76" s="276" t="s">
        <v>973</v>
      </c>
      <c r="E76" s="276" t="s">
        <v>1789</v>
      </c>
      <c r="F76" s="276" t="s">
        <v>244</v>
      </c>
      <c r="G76" s="276" t="s">
        <v>607</v>
      </c>
      <c r="H76" s="279" t="s">
        <v>1788</v>
      </c>
      <c r="I76" s="279" t="s">
        <v>131</v>
      </c>
      <c r="J76" s="280" t="s">
        <v>529</v>
      </c>
      <c r="K76" s="277" t="s">
        <v>234</v>
      </c>
    </row>
    <row r="77" spans="1:11" ht="30">
      <c r="A77" s="314">
        <v>1</v>
      </c>
      <c r="B77" s="315" t="s">
        <v>1046</v>
      </c>
      <c r="C77" s="316" t="s">
        <v>1047</v>
      </c>
      <c r="D77" s="317">
        <v>452.28</v>
      </c>
      <c r="E77" s="317">
        <v>99.5</v>
      </c>
      <c r="F77" s="317"/>
      <c r="G77" s="317"/>
      <c r="H77" s="318">
        <v>120.62</v>
      </c>
      <c r="I77" s="319">
        <f>D77+E77+H77</f>
        <v>672.4</v>
      </c>
      <c r="J77" s="320">
        <f>I77*0.35</f>
        <v>235.33999999999997</v>
      </c>
      <c r="K77" s="321">
        <f>I77+J77</f>
        <v>907.74</v>
      </c>
    </row>
    <row r="78" spans="1:11" ht="30.75">
      <c r="A78" s="322">
        <f>A77+1</f>
        <v>2</v>
      </c>
      <c r="B78" s="323" t="s">
        <v>1048</v>
      </c>
      <c r="C78" s="324">
        <v>30</v>
      </c>
      <c r="D78" s="325">
        <f>1.03*МКПЦ!C78</f>
        <v>30.900000000000002</v>
      </c>
      <c r="E78" s="325">
        <f>D78*0.22</f>
        <v>6.7980000000000009</v>
      </c>
      <c r="F78" s="326">
        <v>1</v>
      </c>
      <c r="G78" s="327"/>
      <c r="H78" s="327"/>
      <c r="I78" s="325">
        <v>38.700000000000003</v>
      </c>
      <c r="J78" s="320">
        <f t="shared" ref="J78:J80" si="30">I78*0.35</f>
        <v>13.545</v>
      </c>
      <c r="K78" s="321">
        <f t="shared" ref="K78:K80" si="31">I78+J78</f>
        <v>52.245000000000005</v>
      </c>
    </row>
    <row r="79" spans="1:11" ht="30.75">
      <c r="A79" s="322">
        <f t="shared" ref="A79:A80" si="32">A78+1</f>
        <v>3</v>
      </c>
      <c r="B79" s="323" t="s">
        <v>1049</v>
      </c>
      <c r="C79" s="324" t="s">
        <v>1050</v>
      </c>
      <c r="D79" s="327"/>
      <c r="E79" s="327"/>
      <c r="F79" s="327"/>
      <c r="G79" s="325">
        <v>83.3</v>
      </c>
      <c r="H79" s="327"/>
      <c r="I79" s="325">
        <v>83.3</v>
      </c>
      <c r="J79" s="320">
        <f t="shared" si="30"/>
        <v>29.154999999999998</v>
      </c>
      <c r="K79" s="321">
        <f t="shared" si="31"/>
        <v>112.455</v>
      </c>
    </row>
    <row r="80" spans="1:11" ht="30.75">
      <c r="A80" s="322">
        <f t="shared" si="32"/>
        <v>4</v>
      </c>
      <c r="B80" s="323" t="s">
        <v>1051</v>
      </c>
      <c r="C80" s="328" t="s">
        <v>1052</v>
      </c>
      <c r="D80" s="329"/>
      <c r="E80" s="329"/>
      <c r="F80" s="329"/>
      <c r="G80" s="330">
        <v>166.6</v>
      </c>
      <c r="H80" s="329"/>
      <c r="I80" s="330">
        <v>166.6</v>
      </c>
      <c r="J80" s="320">
        <f t="shared" si="30"/>
        <v>58.309999999999995</v>
      </c>
      <c r="K80" s="321">
        <f t="shared" si="31"/>
        <v>224.91</v>
      </c>
    </row>
    <row r="81" spans="1:11">
      <c r="A81" s="331"/>
      <c r="B81" s="331"/>
      <c r="C81" s="331"/>
      <c r="D81" s="331"/>
      <c r="E81" s="331"/>
      <c r="F81" s="331"/>
      <c r="G81" s="331"/>
      <c r="H81" s="331"/>
      <c r="I81" s="331"/>
      <c r="J81" s="331"/>
      <c r="K81" s="331"/>
    </row>
    <row r="82" spans="1:11" ht="43.5" customHeight="1">
      <c r="A82" s="296"/>
      <c r="B82" s="296"/>
      <c r="C82" s="296"/>
      <c r="D82" s="296"/>
      <c r="E82" s="296"/>
      <c r="F82" s="296"/>
      <c r="G82" s="296"/>
      <c r="H82" s="296"/>
      <c r="I82" s="296"/>
      <c r="J82" s="296"/>
      <c r="K82" s="296"/>
    </row>
    <row r="83" spans="1:11" ht="18.75">
      <c r="A83" s="332" t="s">
        <v>1053</v>
      </c>
      <c r="B83" s="332"/>
      <c r="C83" s="332"/>
      <c r="D83" s="332"/>
      <c r="E83" s="332"/>
      <c r="F83" s="332"/>
      <c r="G83" s="332"/>
      <c r="H83" s="332"/>
      <c r="I83" s="332"/>
      <c r="J83" s="332"/>
      <c r="K83" s="332"/>
    </row>
    <row r="84" spans="1:11" ht="43.5" customHeight="1">
      <c r="A84" s="296" t="s">
        <v>994</v>
      </c>
      <c r="B84" s="296"/>
      <c r="C84" s="296"/>
      <c r="D84" s="296"/>
      <c r="E84" s="296"/>
      <c r="F84" s="296"/>
      <c r="G84" s="296"/>
      <c r="H84" s="296"/>
      <c r="I84" s="296"/>
      <c r="J84" s="296"/>
      <c r="K84" s="296"/>
    </row>
  </sheetData>
  <mergeCells count="9">
    <mergeCell ref="A84:K84"/>
    <mergeCell ref="A83:K83"/>
    <mergeCell ref="A75:K75"/>
    <mergeCell ref="A82:K82"/>
    <mergeCell ref="A44:K44"/>
    <mergeCell ref="M44:U44"/>
    <mergeCell ref="A55:K55"/>
    <mergeCell ref="A23:K23"/>
    <mergeCell ref="A1:K1"/>
  </mergeCells>
  <pageMargins left="0.7" right="0.7" top="0.75" bottom="0.75" header="0.3" footer="0.3"/>
  <pageSetup paperSize="9" scale="36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236"/>
  <sheetViews>
    <sheetView workbookViewId="0">
      <selection activeCell="D9" sqref="D9"/>
    </sheetView>
  </sheetViews>
  <sheetFormatPr defaultRowHeight="11.25"/>
  <cols>
    <col min="1" max="1" width="44.140625" style="335" customWidth="1"/>
    <col min="2" max="2" width="10.5703125" style="335" customWidth="1"/>
    <col min="3" max="3" width="9.85546875" style="335" customWidth="1"/>
    <col min="4" max="4" width="11.5703125" style="335" customWidth="1"/>
    <col min="5" max="5" width="10.5703125" style="335" customWidth="1"/>
    <col min="6" max="6" width="10.140625" style="335" customWidth="1"/>
    <col min="7" max="7" width="9.42578125" style="335" customWidth="1"/>
    <col min="8" max="8" width="10.28515625" style="335" customWidth="1"/>
    <col min="9" max="9" width="9.140625" style="335" customWidth="1"/>
    <col min="10" max="252" width="9.140625" style="335"/>
    <col min="253" max="253" width="50.140625" style="335" customWidth="1"/>
    <col min="254" max="254" width="11.140625" style="335" customWidth="1"/>
    <col min="255" max="255" width="9.7109375" style="335" customWidth="1"/>
    <col min="256" max="256" width="11.42578125" style="335" customWidth="1"/>
    <col min="257" max="257" width="12.5703125" style="335" customWidth="1"/>
    <col min="258" max="258" width="11.42578125" style="335" customWidth="1"/>
    <col min="259" max="259" width="10.85546875" style="335" customWidth="1"/>
    <col min="260" max="260" width="11" style="335" customWidth="1"/>
    <col min="261" max="261" width="12.140625" style="335" customWidth="1"/>
    <col min="262" max="262" width="10.28515625" style="335" customWidth="1"/>
    <col min="263" max="508" width="9.140625" style="335"/>
    <col min="509" max="509" width="50.140625" style="335" customWidth="1"/>
    <col min="510" max="510" width="11.140625" style="335" customWidth="1"/>
    <col min="511" max="511" width="9.7109375" style="335" customWidth="1"/>
    <col min="512" max="512" width="11.42578125" style="335" customWidth="1"/>
    <col min="513" max="513" width="12.5703125" style="335" customWidth="1"/>
    <col min="514" max="514" width="11.42578125" style="335" customWidth="1"/>
    <col min="515" max="515" width="10.85546875" style="335" customWidth="1"/>
    <col min="516" max="516" width="11" style="335" customWidth="1"/>
    <col min="517" max="517" width="12.140625" style="335" customWidth="1"/>
    <col min="518" max="518" width="10.28515625" style="335" customWidth="1"/>
    <col min="519" max="764" width="9.140625" style="335"/>
    <col min="765" max="765" width="50.140625" style="335" customWidth="1"/>
    <col min="766" max="766" width="11.140625" style="335" customWidth="1"/>
    <col min="767" max="767" width="9.7109375" style="335" customWidth="1"/>
    <col min="768" max="768" width="11.42578125" style="335" customWidth="1"/>
    <col min="769" max="769" width="12.5703125" style="335" customWidth="1"/>
    <col min="770" max="770" width="11.42578125" style="335" customWidth="1"/>
    <col min="771" max="771" width="10.85546875" style="335" customWidth="1"/>
    <col min="772" max="772" width="11" style="335" customWidth="1"/>
    <col min="773" max="773" width="12.140625" style="335" customWidth="1"/>
    <col min="774" max="774" width="10.28515625" style="335" customWidth="1"/>
    <col min="775" max="1020" width="9.140625" style="335"/>
    <col min="1021" max="1021" width="50.140625" style="335" customWidth="1"/>
    <col min="1022" max="1022" width="11.140625" style="335" customWidth="1"/>
    <col min="1023" max="1023" width="9.7109375" style="335" customWidth="1"/>
    <col min="1024" max="1024" width="11.42578125" style="335" customWidth="1"/>
    <col min="1025" max="1025" width="12.5703125" style="335" customWidth="1"/>
    <col min="1026" max="1026" width="11.42578125" style="335" customWidth="1"/>
    <col min="1027" max="1027" width="10.85546875" style="335" customWidth="1"/>
    <col min="1028" max="1028" width="11" style="335" customWidth="1"/>
    <col min="1029" max="1029" width="12.140625" style="335" customWidth="1"/>
    <col min="1030" max="1030" width="10.28515625" style="335" customWidth="1"/>
    <col min="1031" max="1276" width="9.140625" style="335"/>
    <col min="1277" max="1277" width="50.140625" style="335" customWidth="1"/>
    <col min="1278" max="1278" width="11.140625" style="335" customWidth="1"/>
    <col min="1279" max="1279" width="9.7109375" style="335" customWidth="1"/>
    <col min="1280" max="1280" width="11.42578125" style="335" customWidth="1"/>
    <col min="1281" max="1281" width="12.5703125" style="335" customWidth="1"/>
    <col min="1282" max="1282" width="11.42578125" style="335" customWidth="1"/>
    <col min="1283" max="1283" width="10.85546875" style="335" customWidth="1"/>
    <col min="1284" max="1284" width="11" style="335" customWidth="1"/>
    <col min="1285" max="1285" width="12.140625" style="335" customWidth="1"/>
    <col min="1286" max="1286" width="10.28515625" style="335" customWidth="1"/>
    <col min="1287" max="1532" width="9.140625" style="335"/>
    <col min="1533" max="1533" width="50.140625" style="335" customWidth="1"/>
    <col min="1534" max="1534" width="11.140625" style="335" customWidth="1"/>
    <col min="1535" max="1535" width="9.7109375" style="335" customWidth="1"/>
    <col min="1536" max="1536" width="11.42578125" style="335" customWidth="1"/>
    <col min="1537" max="1537" width="12.5703125" style="335" customWidth="1"/>
    <col min="1538" max="1538" width="11.42578125" style="335" customWidth="1"/>
    <col min="1539" max="1539" width="10.85546875" style="335" customWidth="1"/>
    <col min="1540" max="1540" width="11" style="335" customWidth="1"/>
    <col min="1541" max="1541" width="12.140625" style="335" customWidth="1"/>
    <col min="1542" max="1542" width="10.28515625" style="335" customWidth="1"/>
    <col min="1543" max="1788" width="9.140625" style="335"/>
    <col min="1789" max="1789" width="50.140625" style="335" customWidth="1"/>
    <col min="1790" max="1790" width="11.140625" style="335" customWidth="1"/>
    <col min="1791" max="1791" width="9.7109375" style="335" customWidth="1"/>
    <col min="1792" max="1792" width="11.42578125" style="335" customWidth="1"/>
    <col min="1793" max="1793" width="12.5703125" style="335" customWidth="1"/>
    <col min="1794" max="1794" width="11.42578125" style="335" customWidth="1"/>
    <col min="1795" max="1795" width="10.85546875" style="335" customWidth="1"/>
    <col min="1796" max="1796" width="11" style="335" customWidth="1"/>
    <col min="1797" max="1797" width="12.140625" style="335" customWidth="1"/>
    <col min="1798" max="1798" width="10.28515625" style="335" customWidth="1"/>
    <col min="1799" max="2044" width="9.140625" style="335"/>
    <col min="2045" max="2045" width="50.140625" style="335" customWidth="1"/>
    <col min="2046" max="2046" width="11.140625" style="335" customWidth="1"/>
    <col min="2047" max="2047" width="9.7109375" style="335" customWidth="1"/>
    <col min="2048" max="2048" width="11.42578125" style="335" customWidth="1"/>
    <col min="2049" max="2049" width="12.5703125" style="335" customWidth="1"/>
    <col min="2050" max="2050" width="11.42578125" style="335" customWidth="1"/>
    <col min="2051" max="2051" width="10.85546875" style="335" customWidth="1"/>
    <col min="2052" max="2052" width="11" style="335" customWidth="1"/>
    <col min="2053" max="2053" width="12.140625" style="335" customWidth="1"/>
    <col min="2054" max="2054" width="10.28515625" style="335" customWidth="1"/>
    <col min="2055" max="2300" width="9.140625" style="335"/>
    <col min="2301" max="2301" width="50.140625" style="335" customWidth="1"/>
    <col min="2302" max="2302" width="11.140625" style="335" customWidth="1"/>
    <col min="2303" max="2303" width="9.7109375" style="335" customWidth="1"/>
    <col min="2304" max="2304" width="11.42578125" style="335" customWidth="1"/>
    <col min="2305" max="2305" width="12.5703125" style="335" customWidth="1"/>
    <col min="2306" max="2306" width="11.42578125" style="335" customWidth="1"/>
    <col min="2307" max="2307" width="10.85546875" style="335" customWidth="1"/>
    <col min="2308" max="2308" width="11" style="335" customWidth="1"/>
    <col min="2309" max="2309" width="12.140625" style="335" customWidth="1"/>
    <col min="2310" max="2310" width="10.28515625" style="335" customWidth="1"/>
    <col min="2311" max="2556" width="9.140625" style="335"/>
    <col min="2557" max="2557" width="50.140625" style="335" customWidth="1"/>
    <col min="2558" max="2558" width="11.140625" style="335" customWidth="1"/>
    <col min="2559" max="2559" width="9.7109375" style="335" customWidth="1"/>
    <col min="2560" max="2560" width="11.42578125" style="335" customWidth="1"/>
    <col min="2561" max="2561" width="12.5703125" style="335" customWidth="1"/>
    <col min="2562" max="2562" width="11.42578125" style="335" customWidth="1"/>
    <col min="2563" max="2563" width="10.85546875" style="335" customWidth="1"/>
    <col min="2564" max="2564" width="11" style="335" customWidth="1"/>
    <col min="2565" max="2565" width="12.140625" style="335" customWidth="1"/>
    <col min="2566" max="2566" width="10.28515625" style="335" customWidth="1"/>
    <col min="2567" max="2812" width="9.140625" style="335"/>
    <col min="2813" max="2813" width="50.140625" style="335" customWidth="1"/>
    <col min="2814" max="2814" width="11.140625" style="335" customWidth="1"/>
    <col min="2815" max="2815" width="9.7109375" style="335" customWidth="1"/>
    <col min="2816" max="2816" width="11.42578125" style="335" customWidth="1"/>
    <col min="2817" max="2817" width="12.5703125" style="335" customWidth="1"/>
    <col min="2818" max="2818" width="11.42578125" style="335" customWidth="1"/>
    <col min="2819" max="2819" width="10.85546875" style="335" customWidth="1"/>
    <col min="2820" max="2820" width="11" style="335" customWidth="1"/>
    <col min="2821" max="2821" width="12.140625" style="335" customWidth="1"/>
    <col min="2822" max="2822" width="10.28515625" style="335" customWidth="1"/>
    <col min="2823" max="3068" width="9.140625" style="335"/>
    <col min="3069" max="3069" width="50.140625" style="335" customWidth="1"/>
    <col min="3070" max="3070" width="11.140625" style="335" customWidth="1"/>
    <col min="3071" max="3071" width="9.7109375" style="335" customWidth="1"/>
    <col min="3072" max="3072" width="11.42578125" style="335" customWidth="1"/>
    <col min="3073" max="3073" width="12.5703125" style="335" customWidth="1"/>
    <col min="3074" max="3074" width="11.42578125" style="335" customWidth="1"/>
    <col min="3075" max="3075" width="10.85546875" style="335" customWidth="1"/>
    <col min="3076" max="3076" width="11" style="335" customWidth="1"/>
    <col min="3077" max="3077" width="12.140625" style="335" customWidth="1"/>
    <col min="3078" max="3078" width="10.28515625" style="335" customWidth="1"/>
    <col min="3079" max="3324" width="9.140625" style="335"/>
    <col min="3325" max="3325" width="50.140625" style="335" customWidth="1"/>
    <col min="3326" max="3326" width="11.140625" style="335" customWidth="1"/>
    <col min="3327" max="3327" width="9.7109375" style="335" customWidth="1"/>
    <col min="3328" max="3328" width="11.42578125" style="335" customWidth="1"/>
    <col min="3329" max="3329" width="12.5703125" style="335" customWidth="1"/>
    <col min="3330" max="3330" width="11.42578125" style="335" customWidth="1"/>
    <col min="3331" max="3331" width="10.85546875" style="335" customWidth="1"/>
    <col min="3332" max="3332" width="11" style="335" customWidth="1"/>
    <col min="3333" max="3333" width="12.140625" style="335" customWidth="1"/>
    <col min="3334" max="3334" width="10.28515625" style="335" customWidth="1"/>
    <col min="3335" max="3580" width="9.140625" style="335"/>
    <col min="3581" max="3581" width="50.140625" style="335" customWidth="1"/>
    <col min="3582" max="3582" width="11.140625" style="335" customWidth="1"/>
    <col min="3583" max="3583" width="9.7109375" style="335" customWidth="1"/>
    <col min="3584" max="3584" width="11.42578125" style="335" customWidth="1"/>
    <col min="3585" max="3585" width="12.5703125" style="335" customWidth="1"/>
    <col min="3586" max="3586" width="11.42578125" style="335" customWidth="1"/>
    <col min="3587" max="3587" width="10.85546875" style="335" customWidth="1"/>
    <col min="3588" max="3588" width="11" style="335" customWidth="1"/>
    <col min="3589" max="3589" width="12.140625" style="335" customWidth="1"/>
    <col min="3590" max="3590" width="10.28515625" style="335" customWidth="1"/>
    <col min="3591" max="3836" width="9.140625" style="335"/>
    <col min="3837" max="3837" width="50.140625" style="335" customWidth="1"/>
    <col min="3838" max="3838" width="11.140625" style="335" customWidth="1"/>
    <col min="3839" max="3839" width="9.7109375" style="335" customWidth="1"/>
    <col min="3840" max="3840" width="11.42578125" style="335" customWidth="1"/>
    <col min="3841" max="3841" width="12.5703125" style="335" customWidth="1"/>
    <col min="3842" max="3842" width="11.42578125" style="335" customWidth="1"/>
    <col min="3843" max="3843" width="10.85546875" style="335" customWidth="1"/>
    <col min="3844" max="3844" width="11" style="335" customWidth="1"/>
    <col min="3845" max="3845" width="12.140625" style="335" customWidth="1"/>
    <col min="3846" max="3846" width="10.28515625" style="335" customWidth="1"/>
    <col min="3847" max="4092" width="9.140625" style="335"/>
    <col min="4093" max="4093" width="50.140625" style="335" customWidth="1"/>
    <col min="4094" max="4094" width="11.140625" style="335" customWidth="1"/>
    <col min="4095" max="4095" width="9.7109375" style="335" customWidth="1"/>
    <col min="4096" max="4096" width="11.42578125" style="335" customWidth="1"/>
    <col min="4097" max="4097" width="12.5703125" style="335" customWidth="1"/>
    <col min="4098" max="4098" width="11.42578125" style="335" customWidth="1"/>
    <col min="4099" max="4099" width="10.85546875" style="335" customWidth="1"/>
    <col min="4100" max="4100" width="11" style="335" customWidth="1"/>
    <col min="4101" max="4101" width="12.140625" style="335" customWidth="1"/>
    <col min="4102" max="4102" width="10.28515625" style="335" customWidth="1"/>
    <col min="4103" max="4348" width="9.140625" style="335"/>
    <col min="4349" max="4349" width="50.140625" style="335" customWidth="1"/>
    <col min="4350" max="4350" width="11.140625" style="335" customWidth="1"/>
    <col min="4351" max="4351" width="9.7109375" style="335" customWidth="1"/>
    <col min="4352" max="4352" width="11.42578125" style="335" customWidth="1"/>
    <col min="4353" max="4353" width="12.5703125" style="335" customWidth="1"/>
    <col min="4354" max="4354" width="11.42578125" style="335" customWidth="1"/>
    <col min="4355" max="4355" width="10.85546875" style="335" customWidth="1"/>
    <col min="4356" max="4356" width="11" style="335" customWidth="1"/>
    <col min="4357" max="4357" width="12.140625" style="335" customWidth="1"/>
    <col min="4358" max="4358" width="10.28515625" style="335" customWidth="1"/>
    <col min="4359" max="4604" width="9.140625" style="335"/>
    <col min="4605" max="4605" width="50.140625" style="335" customWidth="1"/>
    <col min="4606" max="4606" width="11.140625" style="335" customWidth="1"/>
    <col min="4607" max="4607" width="9.7109375" style="335" customWidth="1"/>
    <col min="4608" max="4608" width="11.42578125" style="335" customWidth="1"/>
    <col min="4609" max="4609" width="12.5703125" style="335" customWidth="1"/>
    <col min="4610" max="4610" width="11.42578125" style="335" customWidth="1"/>
    <col min="4611" max="4611" width="10.85546875" style="335" customWidth="1"/>
    <col min="4612" max="4612" width="11" style="335" customWidth="1"/>
    <col min="4613" max="4613" width="12.140625" style="335" customWidth="1"/>
    <col min="4614" max="4614" width="10.28515625" style="335" customWidth="1"/>
    <col min="4615" max="4860" width="9.140625" style="335"/>
    <col min="4861" max="4861" width="50.140625" style="335" customWidth="1"/>
    <col min="4862" max="4862" width="11.140625" style="335" customWidth="1"/>
    <col min="4863" max="4863" width="9.7109375" style="335" customWidth="1"/>
    <col min="4864" max="4864" width="11.42578125" style="335" customWidth="1"/>
    <col min="4865" max="4865" width="12.5703125" style="335" customWidth="1"/>
    <col min="4866" max="4866" width="11.42578125" style="335" customWidth="1"/>
    <col min="4867" max="4867" width="10.85546875" style="335" customWidth="1"/>
    <col min="4868" max="4868" width="11" style="335" customWidth="1"/>
    <col min="4869" max="4869" width="12.140625" style="335" customWidth="1"/>
    <col min="4870" max="4870" width="10.28515625" style="335" customWidth="1"/>
    <col min="4871" max="5116" width="9.140625" style="335"/>
    <col min="5117" max="5117" width="50.140625" style="335" customWidth="1"/>
    <col min="5118" max="5118" width="11.140625" style="335" customWidth="1"/>
    <col min="5119" max="5119" width="9.7109375" style="335" customWidth="1"/>
    <col min="5120" max="5120" width="11.42578125" style="335" customWidth="1"/>
    <col min="5121" max="5121" width="12.5703125" style="335" customWidth="1"/>
    <col min="5122" max="5122" width="11.42578125" style="335" customWidth="1"/>
    <col min="5123" max="5123" width="10.85546875" style="335" customWidth="1"/>
    <col min="5124" max="5124" width="11" style="335" customWidth="1"/>
    <col min="5125" max="5125" width="12.140625" style="335" customWidth="1"/>
    <col min="5126" max="5126" width="10.28515625" style="335" customWidth="1"/>
    <col min="5127" max="5372" width="9.140625" style="335"/>
    <col min="5373" max="5373" width="50.140625" style="335" customWidth="1"/>
    <col min="5374" max="5374" width="11.140625" style="335" customWidth="1"/>
    <col min="5375" max="5375" width="9.7109375" style="335" customWidth="1"/>
    <col min="5376" max="5376" width="11.42578125" style="335" customWidth="1"/>
    <col min="5377" max="5377" width="12.5703125" style="335" customWidth="1"/>
    <col min="5378" max="5378" width="11.42578125" style="335" customWidth="1"/>
    <col min="5379" max="5379" width="10.85546875" style="335" customWidth="1"/>
    <col min="5380" max="5380" width="11" style="335" customWidth="1"/>
    <col min="5381" max="5381" width="12.140625" style="335" customWidth="1"/>
    <col min="5382" max="5382" width="10.28515625" style="335" customWidth="1"/>
    <col min="5383" max="5628" width="9.140625" style="335"/>
    <col min="5629" max="5629" width="50.140625" style="335" customWidth="1"/>
    <col min="5630" max="5630" width="11.140625" style="335" customWidth="1"/>
    <col min="5631" max="5631" width="9.7109375" style="335" customWidth="1"/>
    <col min="5632" max="5632" width="11.42578125" style="335" customWidth="1"/>
    <col min="5633" max="5633" width="12.5703125" style="335" customWidth="1"/>
    <col min="5634" max="5634" width="11.42578125" style="335" customWidth="1"/>
    <col min="5635" max="5635" width="10.85546875" style="335" customWidth="1"/>
    <col min="5636" max="5636" width="11" style="335" customWidth="1"/>
    <col min="5637" max="5637" width="12.140625" style="335" customWidth="1"/>
    <col min="5638" max="5638" width="10.28515625" style="335" customWidth="1"/>
    <col min="5639" max="5884" width="9.140625" style="335"/>
    <col min="5885" max="5885" width="50.140625" style="335" customWidth="1"/>
    <col min="5886" max="5886" width="11.140625" style="335" customWidth="1"/>
    <col min="5887" max="5887" width="9.7109375" style="335" customWidth="1"/>
    <col min="5888" max="5888" width="11.42578125" style="335" customWidth="1"/>
    <col min="5889" max="5889" width="12.5703125" style="335" customWidth="1"/>
    <col min="5890" max="5890" width="11.42578125" style="335" customWidth="1"/>
    <col min="5891" max="5891" width="10.85546875" style="335" customWidth="1"/>
    <col min="5892" max="5892" width="11" style="335" customWidth="1"/>
    <col min="5893" max="5893" width="12.140625" style="335" customWidth="1"/>
    <col min="5894" max="5894" width="10.28515625" style="335" customWidth="1"/>
    <col min="5895" max="6140" width="9.140625" style="335"/>
    <col min="6141" max="6141" width="50.140625" style="335" customWidth="1"/>
    <col min="6142" max="6142" width="11.140625" style="335" customWidth="1"/>
    <col min="6143" max="6143" width="9.7109375" style="335" customWidth="1"/>
    <col min="6144" max="6144" width="11.42578125" style="335" customWidth="1"/>
    <col min="6145" max="6145" width="12.5703125" style="335" customWidth="1"/>
    <col min="6146" max="6146" width="11.42578125" style="335" customWidth="1"/>
    <col min="6147" max="6147" width="10.85546875" style="335" customWidth="1"/>
    <col min="6148" max="6148" width="11" style="335" customWidth="1"/>
    <col min="6149" max="6149" width="12.140625" style="335" customWidth="1"/>
    <col min="6150" max="6150" width="10.28515625" style="335" customWidth="1"/>
    <col min="6151" max="6396" width="9.140625" style="335"/>
    <col min="6397" max="6397" width="50.140625" style="335" customWidth="1"/>
    <col min="6398" max="6398" width="11.140625" style="335" customWidth="1"/>
    <col min="6399" max="6399" width="9.7109375" style="335" customWidth="1"/>
    <col min="6400" max="6400" width="11.42578125" style="335" customWidth="1"/>
    <col min="6401" max="6401" width="12.5703125" style="335" customWidth="1"/>
    <col min="6402" max="6402" width="11.42578125" style="335" customWidth="1"/>
    <col min="6403" max="6403" width="10.85546875" style="335" customWidth="1"/>
    <col min="6404" max="6404" width="11" style="335" customWidth="1"/>
    <col min="6405" max="6405" width="12.140625" style="335" customWidth="1"/>
    <col min="6406" max="6406" width="10.28515625" style="335" customWidth="1"/>
    <col min="6407" max="6652" width="9.140625" style="335"/>
    <col min="6653" max="6653" width="50.140625" style="335" customWidth="1"/>
    <col min="6654" max="6654" width="11.140625" style="335" customWidth="1"/>
    <col min="6655" max="6655" width="9.7109375" style="335" customWidth="1"/>
    <col min="6656" max="6656" width="11.42578125" style="335" customWidth="1"/>
    <col min="6657" max="6657" width="12.5703125" style="335" customWidth="1"/>
    <col min="6658" max="6658" width="11.42578125" style="335" customWidth="1"/>
    <col min="6659" max="6659" width="10.85546875" style="335" customWidth="1"/>
    <col min="6660" max="6660" width="11" style="335" customWidth="1"/>
    <col min="6661" max="6661" width="12.140625" style="335" customWidth="1"/>
    <col min="6662" max="6662" width="10.28515625" style="335" customWidth="1"/>
    <col min="6663" max="6908" width="9.140625" style="335"/>
    <col min="6909" max="6909" width="50.140625" style="335" customWidth="1"/>
    <col min="6910" max="6910" width="11.140625" style="335" customWidth="1"/>
    <col min="6911" max="6911" width="9.7109375" style="335" customWidth="1"/>
    <col min="6912" max="6912" width="11.42578125" style="335" customWidth="1"/>
    <col min="6913" max="6913" width="12.5703125" style="335" customWidth="1"/>
    <col min="6914" max="6914" width="11.42578125" style="335" customWidth="1"/>
    <col min="6915" max="6915" width="10.85546875" style="335" customWidth="1"/>
    <col min="6916" max="6916" width="11" style="335" customWidth="1"/>
    <col min="6917" max="6917" width="12.140625" style="335" customWidth="1"/>
    <col min="6918" max="6918" width="10.28515625" style="335" customWidth="1"/>
    <col min="6919" max="7164" width="9.140625" style="335"/>
    <col min="7165" max="7165" width="50.140625" style="335" customWidth="1"/>
    <col min="7166" max="7166" width="11.140625" style="335" customWidth="1"/>
    <col min="7167" max="7167" width="9.7109375" style="335" customWidth="1"/>
    <col min="7168" max="7168" width="11.42578125" style="335" customWidth="1"/>
    <col min="7169" max="7169" width="12.5703125" style="335" customWidth="1"/>
    <col min="7170" max="7170" width="11.42578125" style="335" customWidth="1"/>
    <col min="7171" max="7171" width="10.85546875" style="335" customWidth="1"/>
    <col min="7172" max="7172" width="11" style="335" customWidth="1"/>
    <col min="7173" max="7173" width="12.140625" style="335" customWidth="1"/>
    <col min="7174" max="7174" width="10.28515625" style="335" customWidth="1"/>
    <col min="7175" max="7420" width="9.140625" style="335"/>
    <col min="7421" max="7421" width="50.140625" style="335" customWidth="1"/>
    <col min="7422" max="7422" width="11.140625" style="335" customWidth="1"/>
    <col min="7423" max="7423" width="9.7109375" style="335" customWidth="1"/>
    <col min="7424" max="7424" width="11.42578125" style="335" customWidth="1"/>
    <col min="7425" max="7425" width="12.5703125" style="335" customWidth="1"/>
    <col min="7426" max="7426" width="11.42578125" style="335" customWidth="1"/>
    <col min="7427" max="7427" width="10.85546875" style="335" customWidth="1"/>
    <col min="7428" max="7428" width="11" style="335" customWidth="1"/>
    <col min="7429" max="7429" width="12.140625" style="335" customWidth="1"/>
    <col min="7430" max="7430" width="10.28515625" style="335" customWidth="1"/>
    <col min="7431" max="7676" width="9.140625" style="335"/>
    <col min="7677" max="7677" width="50.140625" style="335" customWidth="1"/>
    <col min="7678" max="7678" width="11.140625" style="335" customWidth="1"/>
    <col min="7679" max="7679" width="9.7109375" style="335" customWidth="1"/>
    <col min="7680" max="7680" width="11.42578125" style="335" customWidth="1"/>
    <col min="7681" max="7681" width="12.5703125" style="335" customWidth="1"/>
    <col min="7682" max="7682" width="11.42578125" style="335" customWidth="1"/>
    <col min="7683" max="7683" width="10.85546875" style="335" customWidth="1"/>
    <col min="7684" max="7684" width="11" style="335" customWidth="1"/>
    <col min="7685" max="7685" width="12.140625" style="335" customWidth="1"/>
    <col min="7686" max="7686" width="10.28515625" style="335" customWidth="1"/>
    <col min="7687" max="7932" width="9.140625" style="335"/>
    <col min="7933" max="7933" width="50.140625" style="335" customWidth="1"/>
    <col min="7934" max="7934" width="11.140625" style="335" customWidth="1"/>
    <col min="7935" max="7935" width="9.7109375" style="335" customWidth="1"/>
    <col min="7936" max="7936" width="11.42578125" style="335" customWidth="1"/>
    <col min="7937" max="7937" width="12.5703125" style="335" customWidth="1"/>
    <col min="7938" max="7938" width="11.42578125" style="335" customWidth="1"/>
    <col min="7939" max="7939" width="10.85546875" style="335" customWidth="1"/>
    <col min="7940" max="7940" width="11" style="335" customWidth="1"/>
    <col min="7941" max="7941" width="12.140625" style="335" customWidth="1"/>
    <col min="7942" max="7942" width="10.28515625" style="335" customWidth="1"/>
    <col min="7943" max="8188" width="9.140625" style="335"/>
    <col min="8189" max="8189" width="50.140625" style="335" customWidth="1"/>
    <col min="8190" max="8190" width="11.140625" style="335" customWidth="1"/>
    <col min="8191" max="8191" width="9.7109375" style="335" customWidth="1"/>
    <col min="8192" max="8192" width="11.42578125" style="335" customWidth="1"/>
    <col min="8193" max="8193" width="12.5703125" style="335" customWidth="1"/>
    <col min="8194" max="8194" width="11.42578125" style="335" customWidth="1"/>
    <col min="8195" max="8195" width="10.85546875" style="335" customWidth="1"/>
    <col min="8196" max="8196" width="11" style="335" customWidth="1"/>
    <col min="8197" max="8197" width="12.140625" style="335" customWidth="1"/>
    <col min="8198" max="8198" width="10.28515625" style="335" customWidth="1"/>
    <col min="8199" max="8444" width="9.140625" style="335"/>
    <col min="8445" max="8445" width="50.140625" style="335" customWidth="1"/>
    <col min="8446" max="8446" width="11.140625" style="335" customWidth="1"/>
    <col min="8447" max="8447" width="9.7109375" style="335" customWidth="1"/>
    <col min="8448" max="8448" width="11.42578125" style="335" customWidth="1"/>
    <col min="8449" max="8449" width="12.5703125" style="335" customWidth="1"/>
    <col min="8450" max="8450" width="11.42578125" style="335" customWidth="1"/>
    <col min="8451" max="8451" width="10.85546875" style="335" customWidth="1"/>
    <col min="8452" max="8452" width="11" style="335" customWidth="1"/>
    <col min="8453" max="8453" width="12.140625" style="335" customWidth="1"/>
    <col min="8454" max="8454" width="10.28515625" style="335" customWidth="1"/>
    <col min="8455" max="8700" width="9.140625" style="335"/>
    <col min="8701" max="8701" width="50.140625" style="335" customWidth="1"/>
    <col min="8702" max="8702" width="11.140625" style="335" customWidth="1"/>
    <col min="8703" max="8703" width="9.7109375" style="335" customWidth="1"/>
    <col min="8704" max="8704" width="11.42578125" style="335" customWidth="1"/>
    <col min="8705" max="8705" width="12.5703125" style="335" customWidth="1"/>
    <col min="8706" max="8706" width="11.42578125" style="335" customWidth="1"/>
    <col min="8707" max="8707" width="10.85546875" style="335" customWidth="1"/>
    <col min="8708" max="8708" width="11" style="335" customWidth="1"/>
    <col min="8709" max="8709" width="12.140625" style="335" customWidth="1"/>
    <col min="8710" max="8710" width="10.28515625" style="335" customWidth="1"/>
    <col min="8711" max="8956" width="9.140625" style="335"/>
    <col min="8957" max="8957" width="50.140625" style="335" customWidth="1"/>
    <col min="8958" max="8958" width="11.140625" style="335" customWidth="1"/>
    <col min="8959" max="8959" width="9.7109375" style="335" customWidth="1"/>
    <col min="8960" max="8960" width="11.42578125" style="335" customWidth="1"/>
    <col min="8961" max="8961" width="12.5703125" style="335" customWidth="1"/>
    <col min="8962" max="8962" width="11.42578125" style="335" customWidth="1"/>
    <col min="8963" max="8963" width="10.85546875" style="335" customWidth="1"/>
    <col min="8964" max="8964" width="11" style="335" customWidth="1"/>
    <col min="8965" max="8965" width="12.140625" style="335" customWidth="1"/>
    <col min="8966" max="8966" width="10.28515625" style="335" customWidth="1"/>
    <col min="8967" max="9212" width="9.140625" style="335"/>
    <col min="9213" max="9213" width="50.140625" style="335" customWidth="1"/>
    <col min="9214" max="9214" width="11.140625" style="335" customWidth="1"/>
    <col min="9215" max="9215" width="9.7109375" style="335" customWidth="1"/>
    <col min="9216" max="9216" width="11.42578125" style="335" customWidth="1"/>
    <col min="9217" max="9217" width="12.5703125" style="335" customWidth="1"/>
    <col min="9218" max="9218" width="11.42578125" style="335" customWidth="1"/>
    <col min="9219" max="9219" width="10.85546875" style="335" customWidth="1"/>
    <col min="9220" max="9220" width="11" style="335" customWidth="1"/>
    <col min="9221" max="9221" width="12.140625" style="335" customWidth="1"/>
    <col min="9222" max="9222" width="10.28515625" style="335" customWidth="1"/>
    <col min="9223" max="9468" width="9.140625" style="335"/>
    <col min="9469" max="9469" width="50.140625" style="335" customWidth="1"/>
    <col min="9470" max="9470" width="11.140625" style="335" customWidth="1"/>
    <col min="9471" max="9471" width="9.7109375" style="335" customWidth="1"/>
    <col min="9472" max="9472" width="11.42578125" style="335" customWidth="1"/>
    <col min="9473" max="9473" width="12.5703125" style="335" customWidth="1"/>
    <col min="9474" max="9474" width="11.42578125" style="335" customWidth="1"/>
    <col min="9475" max="9475" width="10.85546875" style="335" customWidth="1"/>
    <col min="9476" max="9476" width="11" style="335" customWidth="1"/>
    <col min="9477" max="9477" width="12.140625" style="335" customWidth="1"/>
    <col min="9478" max="9478" width="10.28515625" style="335" customWidth="1"/>
    <col min="9479" max="9724" width="9.140625" style="335"/>
    <col min="9725" max="9725" width="50.140625" style="335" customWidth="1"/>
    <col min="9726" max="9726" width="11.140625" style="335" customWidth="1"/>
    <col min="9727" max="9727" width="9.7109375" style="335" customWidth="1"/>
    <col min="9728" max="9728" width="11.42578125" style="335" customWidth="1"/>
    <col min="9729" max="9729" width="12.5703125" style="335" customWidth="1"/>
    <col min="9730" max="9730" width="11.42578125" style="335" customWidth="1"/>
    <col min="9731" max="9731" width="10.85546875" style="335" customWidth="1"/>
    <col min="9732" max="9732" width="11" style="335" customWidth="1"/>
    <col min="9733" max="9733" width="12.140625" style="335" customWidth="1"/>
    <col min="9734" max="9734" width="10.28515625" style="335" customWidth="1"/>
    <col min="9735" max="9980" width="9.140625" style="335"/>
    <col min="9981" max="9981" width="50.140625" style="335" customWidth="1"/>
    <col min="9982" max="9982" width="11.140625" style="335" customWidth="1"/>
    <col min="9983" max="9983" width="9.7109375" style="335" customWidth="1"/>
    <col min="9984" max="9984" width="11.42578125" style="335" customWidth="1"/>
    <col min="9985" max="9985" width="12.5703125" style="335" customWidth="1"/>
    <col min="9986" max="9986" width="11.42578125" style="335" customWidth="1"/>
    <col min="9987" max="9987" width="10.85546875" style="335" customWidth="1"/>
    <col min="9988" max="9988" width="11" style="335" customWidth="1"/>
    <col min="9989" max="9989" width="12.140625" style="335" customWidth="1"/>
    <col min="9990" max="9990" width="10.28515625" style="335" customWidth="1"/>
    <col min="9991" max="10236" width="9.140625" style="335"/>
    <col min="10237" max="10237" width="50.140625" style="335" customWidth="1"/>
    <col min="10238" max="10238" width="11.140625" style="335" customWidth="1"/>
    <col min="10239" max="10239" width="9.7109375" style="335" customWidth="1"/>
    <col min="10240" max="10240" width="11.42578125" style="335" customWidth="1"/>
    <col min="10241" max="10241" width="12.5703125" style="335" customWidth="1"/>
    <col min="10242" max="10242" width="11.42578125" style="335" customWidth="1"/>
    <col min="10243" max="10243" width="10.85546875" style="335" customWidth="1"/>
    <col min="10244" max="10244" width="11" style="335" customWidth="1"/>
    <col min="10245" max="10245" width="12.140625" style="335" customWidth="1"/>
    <col min="10246" max="10246" width="10.28515625" style="335" customWidth="1"/>
    <col min="10247" max="10492" width="9.140625" style="335"/>
    <col min="10493" max="10493" width="50.140625" style="335" customWidth="1"/>
    <col min="10494" max="10494" width="11.140625" style="335" customWidth="1"/>
    <col min="10495" max="10495" width="9.7109375" style="335" customWidth="1"/>
    <col min="10496" max="10496" width="11.42578125" style="335" customWidth="1"/>
    <col min="10497" max="10497" width="12.5703125" style="335" customWidth="1"/>
    <col min="10498" max="10498" width="11.42578125" style="335" customWidth="1"/>
    <col min="10499" max="10499" width="10.85546875" style="335" customWidth="1"/>
    <col min="10500" max="10500" width="11" style="335" customWidth="1"/>
    <col min="10501" max="10501" width="12.140625" style="335" customWidth="1"/>
    <col min="10502" max="10502" width="10.28515625" style="335" customWidth="1"/>
    <col min="10503" max="10748" width="9.140625" style="335"/>
    <col min="10749" max="10749" width="50.140625" style="335" customWidth="1"/>
    <col min="10750" max="10750" width="11.140625" style="335" customWidth="1"/>
    <col min="10751" max="10751" width="9.7109375" style="335" customWidth="1"/>
    <col min="10752" max="10752" width="11.42578125" style="335" customWidth="1"/>
    <col min="10753" max="10753" width="12.5703125" style="335" customWidth="1"/>
    <col min="10754" max="10754" width="11.42578125" style="335" customWidth="1"/>
    <col min="10755" max="10755" width="10.85546875" style="335" customWidth="1"/>
    <col min="10756" max="10756" width="11" style="335" customWidth="1"/>
    <col min="10757" max="10757" width="12.140625" style="335" customWidth="1"/>
    <col min="10758" max="10758" width="10.28515625" style="335" customWidth="1"/>
    <col min="10759" max="11004" width="9.140625" style="335"/>
    <col min="11005" max="11005" width="50.140625" style="335" customWidth="1"/>
    <col min="11006" max="11006" width="11.140625" style="335" customWidth="1"/>
    <col min="11007" max="11007" width="9.7109375" style="335" customWidth="1"/>
    <col min="11008" max="11008" width="11.42578125" style="335" customWidth="1"/>
    <col min="11009" max="11009" width="12.5703125" style="335" customWidth="1"/>
    <col min="11010" max="11010" width="11.42578125" style="335" customWidth="1"/>
    <col min="11011" max="11011" width="10.85546875" style="335" customWidth="1"/>
    <col min="11012" max="11012" width="11" style="335" customWidth="1"/>
    <col min="11013" max="11013" width="12.140625" style="335" customWidth="1"/>
    <col min="11014" max="11014" width="10.28515625" style="335" customWidth="1"/>
    <col min="11015" max="11260" width="9.140625" style="335"/>
    <col min="11261" max="11261" width="50.140625" style="335" customWidth="1"/>
    <col min="11262" max="11262" width="11.140625" style="335" customWidth="1"/>
    <col min="11263" max="11263" width="9.7109375" style="335" customWidth="1"/>
    <col min="11264" max="11264" width="11.42578125" style="335" customWidth="1"/>
    <col min="11265" max="11265" width="12.5703125" style="335" customWidth="1"/>
    <col min="11266" max="11266" width="11.42578125" style="335" customWidth="1"/>
    <col min="11267" max="11267" width="10.85546875" style="335" customWidth="1"/>
    <col min="11268" max="11268" width="11" style="335" customWidth="1"/>
    <col min="11269" max="11269" width="12.140625" style="335" customWidth="1"/>
    <col min="11270" max="11270" width="10.28515625" style="335" customWidth="1"/>
    <col min="11271" max="11516" width="9.140625" style="335"/>
    <col min="11517" max="11517" width="50.140625" style="335" customWidth="1"/>
    <col min="11518" max="11518" width="11.140625" style="335" customWidth="1"/>
    <col min="11519" max="11519" width="9.7109375" style="335" customWidth="1"/>
    <col min="11520" max="11520" width="11.42578125" style="335" customWidth="1"/>
    <col min="11521" max="11521" width="12.5703125" style="335" customWidth="1"/>
    <col min="11522" max="11522" width="11.42578125" style="335" customWidth="1"/>
    <col min="11523" max="11523" width="10.85546875" style="335" customWidth="1"/>
    <col min="11524" max="11524" width="11" style="335" customWidth="1"/>
    <col min="11525" max="11525" width="12.140625" style="335" customWidth="1"/>
    <col min="11526" max="11526" width="10.28515625" style="335" customWidth="1"/>
    <col min="11527" max="11772" width="9.140625" style="335"/>
    <col min="11773" max="11773" width="50.140625" style="335" customWidth="1"/>
    <col min="11774" max="11774" width="11.140625" style="335" customWidth="1"/>
    <col min="11775" max="11775" width="9.7109375" style="335" customWidth="1"/>
    <col min="11776" max="11776" width="11.42578125" style="335" customWidth="1"/>
    <col min="11777" max="11777" width="12.5703125" style="335" customWidth="1"/>
    <col min="11778" max="11778" width="11.42578125" style="335" customWidth="1"/>
    <col min="11779" max="11779" width="10.85546875" style="335" customWidth="1"/>
    <col min="11780" max="11780" width="11" style="335" customWidth="1"/>
    <col min="11781" max="11781" width="12.140625" style="335" customWidth="1"/>
    <col min="11782" max="11782" width="10.28515625" style="335" customWidth="1"/>
    <col min="11783" max="12028" width="9.140625" style="335"/>
    <col min="12029" max="12029" width="50.140625" style="335" customWidth="1"/>
    <col min="12030" max="12030" width="11.140625" style="335" customWidth="1"/>
    <col min="12031" max="12031" width="9.7109375" style="335" customWidth="1"/>
    <col min="12032" max="12032" width="11.42578125" style="335" customWidth="1"/>
    <col min="12033" max="12033" width="12.5703125" style="335" customWidth="1"/>
    <col min="12034" max="12034" width="11.42578125" style="335" customWidth="1"/>
    <col min="12035" max="12035" width="10.85546875" style="335" customWidth="1"/>
    <col min="12036" max="12036" width="11" style="335" customWidth="1"/>
    <col min="12037" max="12037" width="12.140625" style="335" customWidth="1"/>
    <col min="12038" max="12038" width="10.28515625" style="335" customWidth="1"/>
    <col min="12039" max="12284" width="9.140625" style="335"/>
    <col min="12285" max="12285" width="50.140625" style="335" customWidth="1"/>
    <col min="12286" max="12286" width="11.140625" style="335" customWidth="1"/>
    <col min="12287" max="12287" width="9.7109375" style="335" customWidth="1"/>
    <col min="12288" max="12288" width="11.42578125" style="335" customWidth="1"/>
    <col min="12289" max="12289" width="12.5703125" style="335" customWidth="1"/>
    <col min="12290" max="12290" width="11.42578125" style="335" customWidth="1"/>
    <col min="12291" max="12291" width="10.85546875" style="335" customWidth="1"/>
    <col min="12292" max="12292" width="11" style="335" customWidth="1"/>
    <col min="12293" max="12293" width="12.140625" style="335" customWidth="1"/>
    <col min="12294" max="12294" width="10.28515625" style="335" customWidth="1"/>
    <col min="12295" max="12540" width="9.140625" style="335"/>
    <col min="12541" max="12541" width="50.140625" style="335" customWidth="1"/>
    <col min="12542" max="12542" width="11.140625" style="335" customWidth="1"/>
    <col min="12543" max="12543" width="9.7109375" style="335" customWidth="1"/>
    <col min="12544" max="12544" width="11.42578125" style="335" customWidth="1"/>
    <col min="12545" max="12545" width="12.5703125" style="335" customWidth="1"/>
    <col min="12546" max="12546" width="11.42578125" style="335" customWidth="1"/>
    <col min="12547" max="12547" width="10.85546875" style="335" customWidth="1"/>
    <col min="12548" max="12548" width="11" style="335" customWidth="1"/>
    <col min="12549" max="12549" width="12.140625" style="335" customWidth="1"/>
    <col min="12550" max="12550" width="10.28515625" style="335" customWidth="1"/>
    <col min="12551" max="12796" width="9.140625" style="335"/>
    <col min="12797" max="12797" width="50.140625" style="335" customWidth="1"/>
    <col min="12798" max="12798" width="11.140625" style="335" customWidth="1"/>
    <col min="12799" max="12799" width="9.7109375" style="335" customWidth="1"/>
    <col min="12800" max="12800" width="11.42578125" style="335" customWidth="1"/>
    <col min="12801" max="12801" width="12.5703125" style="335" customWidth="1"/>
    <col min="12802" max="12802" width="11.42578125" style="335" customWidth="1"/>
    <col min="12803" max="12803" width="10.85546875" style="335" customWidth="1"/>
    <col min="12804" max="12804" width="11" style="335" customWidth="1"/>
    <col min="12805" max="12805" width="12.140625" style="335" customWidth="1"/>
    <col min="12806" max="12806" width="10.28515625" style="335" customWidth="1"/>
    <col min="12807" max="13052" width="9.140625" style="335"/>
    <col min="13053" max="13053" width="50.140625" style="335" customWidth="1"/>
    <col min="13054" max="13054" width="11.140625" style="335" customWidth="1"/>
    <col min="13055" max="13055" width="9.7109375" style="335" customWidth="1"/>
    <col min="13056" max="13056" width="11.42578125" style="335" customWidth="1"/>
    <col min="13057" max="13057" width="12.5703125" style="335" customWidth="1"/>
    <col min="13058" max="13058" width="11.42578125" style="335" customWidth="1"/>
    <col min="13059" max="13059" width="10.85546875" style="335" customWidth="1"/>
    <col min="13060" max="13060" width="11" style="335" customWidth="1"/>
    <col min="13061" max="13061" width="12.140625" style="335" customWidth="1"/>
    <col min="13062" max="13062" width="10.28515625" style="335" customWidth="1"/>
    <col min="13063" max="13308" width="9.140625" style="335"/>
    <col min="13309" max="13309" width="50.140625" style="335" customWidth="1"/>
    <col min="13310" max="13310" width="11.140625" style="335" customWidth="1"/>
    <col min="13311" max="13311" width="9.7109375" style="335" customWidth="1"/>
    <col min="13312" max="13312" width="11.42578125" style="335" customWidth="1"/>
    <col min="13313" max="13313" width="12.5703125" style="335" customWidth="1"/>
    <col min="13314" max="13314" width="11.42578125" style="335" customWidth="1"/>
    <col min="13315" max="13315" width="10.85546875" style="335" customWidth="1"/>
    <col min="13316" max="13316" width="11" style="335" customWidth="1"/>
    <col min="13317" max="13317" width="12.140625" style="335" customWidth="1"/>
    <col min="13318" max="13318" width="10.28515625" style="335" customWidth="1"/>
    <col min="13319" max="13564" width="9.140625" style="335"/>
    <col min="13565" max="13565" width="50.140625" style="335" customWidth="1"/>
    <col min="13566" max="13566" width="11.140625" style="335" customWidth="1"/>
    <col min="13567" max="13567" width="9.7109375" style="335" customWidth="1"/>
    <col min="13568" max="13568" width="11.42578125" style="335" customWidth="1"/>
    <col min="13569" max="13569" width="12.5703125" style="335" customWidth="1"/>
    <col min="13570" max="13570" width="11.42578125" style="335" customWidth="1"/>
    <col min="13571" max="13571" width="10.85546875" style="335" customWidth="1"/>
    <col min="13572" max="13572" width="11" style="335" customWidth="1"/>
    <col min="13573" max="13573" width="12.140625" style="335" customWidth="1"/>
    <col min="13574" max="13574" width="10.28515625" style="335" customWidth="1"/>
    <col min="13575" max="13820" width="9.140625" style="335"/>
    <col min="13821" max="13821" width="50.140625" style="335" customWidth="1"/>
    <col min="13822" max="13822" width="11.140625" style="335" customWidth="1"/>
    <col min="13823" max="13823" width="9.7109375" style="335" customWidth="1"/>
    <col min="13824" max="13824" width="11.42578125" style="335" customWidth="1"/>
    <col min="13825" max="13825" width="12.5703125" style="335" customWidth="1"/>
    <col min="13826" max="13826" width="11.42578125" style="335" customWidth="1"/>
    <col min="13827" max="13827" width="10.85546875" style="335" customWidth="1"/>
    <col min="13828" max="13828" width="11" style="335" customWidth="1"/>
    <col min="13829" max="13829" width="12.140625" style="335" customWidth="1"/>
    <col min="13830" max="13830" width="10.28515625" style="335" customWidth="1"/>
    <col min="13831" max="14076" width="9.140625" style="335"/>
    <col min="14077" max="14077" width="50.140625" style="335" customWidth="1"/>
    <col min="14078" max="14078" width="11.140625" style="335" customWidth="1"/>
    <col min="14079" max="14079" width="9.7109375" style="335" customWidth="1"/>
    <col min="14080" max="14080" width="11.42578125" style="335" customWidth="1"/>
    <col min="14081" max="14081" width="12.5703125" style="335" customWidth="1"/>
    <col min="14082" max="14082" width="11.42578125" style="335" customWidth="1"/>
    <col min="14083" max="14083" width="10.85546875" style="335" customWidth="1"/>
    <col min="14084" max="14084" width="11" style="335" customWidth="1"/>
    <col min="14085" max="14085" width="12.140625" style="335" customWidth="1"/>
    <col min="14086" max="14086" width="10.28515625" style="335" customWidth="1"/>
    <col min="14087" max="14332" width="9.140625" style="335"/>
    <col min="14333" max="14333" width="50.140625" style="335" customWidth="1"/>
    <col min="14334" max="14334" width="11.140625" style="335" customWidth="1"/>
    <col min="14335" max="14335" width="9.7109375" style="335" customWidth="1"/>
    <col min="14336" max="14336" width="11.42578125" style="335" customWidth="1"/>
    <col min="14337" max="14337" width="12.5703125" style="335" customWidth="1"/>
    <col min="14338" max="14338" width="11.42578125" style="335" customWidth="1"/>
    <col min="14339" max="14339" width="10.85546875" style="335" customWidth="1"/>
    <col min="14340" max="14340" width="11" style="335" customWidth="1"/>
    <col min="14341" max="14341" width="12.140625" style="335" customWidth="1"/>
    <col min="14342" max="14342" width="10.28515625" style="335" customWidth="1"/>
    <col min="14343" max="14588" width="9.140625" style="335"/>
    <col min="14589" max="14589" width="50.140625" style="335" customWidth="1"/>
    <col min="14590" max="14590" width="11.140625" style="335" customWidth="1"/>
    <col min="14591" max="14591" width="9.7109375" style="335" customWidth="1"/>
    <col min="14592" max="14592" width="11.42578125" style="335" customWidth="1"/>
    <col min="14593" max="14593" width="12.5703125" style="335" customWidth="1"/>
    <col min="14594" max="14594" width="11.42578125" style="335" customWidth="1"/>
    <col min="14595" max="14595" width="10.85546875" style="335" customWidth="1"/>
    <col min="14596" max="14596" width="11" style="335" customWidth="1"/>
    <col min="14597" max="14597" width="12.140625" style="335" customWidth="1"/>
    <col min="14598" max="14598" width="10.28515625" style="335" customWidth="1"/>
    <col min="14599" max="14844" width="9.140625" style="335"/>
    <col min="14845" max="14845" width="50.140625" style="335" customWidth="1"/>
    <col min="14846" max="14846" width="11.140625" style="335" customWidth="1"/>
    <col min="14847" max="14847" width="9.7109375" style="335" customWidth="1"/>
    <col min="14848" max="14848" width="11.42578125" style="335" customWidth="1"/>
    <col min="14849" max="14849" width="12.5703125" style="335" customWidth="1"/>
    <col min="14850" max="14850" width="11.42578125" style="335" customWidth="1"/>
    <col min="14851" max="14851" width="10.85546875" style="335" customWidth="1"/>
    <col min="14852" max="14852" width="11" style="335" customWidth="1"/>
    <col min="14853" max="14853" width="12.140625" style="335" customWidth="1"/>
    <col min="14854" max="14854" width="10.28515625" style="335" customWidth="1"/>
    <col min="14855" max="15100" width="9.140625" style="335"/>
    <col min="15101" max="15101" width="50.140625" style="335" customWidth="1"/>
    <col min="15102" max="15102" width="11.140625" style="335" customWidth="1"/>
    <col min="15103" max="15103" width="9.7109375" style="335" customWidth="1"/>
    <col min="15104" max="15104" width="11.42578125" style="335" customWidth="1"/>
    <col min="15105" max="15105" width="12.5703125" style="335" customWidth="1"/>
    <col min="15106" max="15106" width="11.42578125" style="335" customWidth="1"/>
    <col min="15107" max="15107" width="10.85546875" style="335" customWidth="1"/>
    <col min="15108" max="15108" width="11" style="335" customWidth="1"/>
    <col min="15109" max="15109" width="12.140625" style="335" customWidth="1"/>
    <col min="15110" max="15110" width="10.28515625" style="335" customWidth="1"/>
    <col min="15111" max="15356" width="9.140625" style="335"/>
    <col min="15357" max="15357" width="50.140625" style="335" customWidth="1"/>
    <col min="15358" max="15358" width="11.140625" style="335" customWidth="1"/>
    <col min="15359" max="15359" width="9.7109375" style="335" customWidth="1"/>
    <col min="15360" max="15360" width="11.42578125" style="335" customWidth="1"/>
    <col min="15361" max="15361" width="12.5703125" style="335" customWidth="1"/>
    <col min="15362" max="15362" width="11.42578125" style="335" customWidth="1"/>
    <col min="15363" max="15363" width="10.85546875" style="335" customWidth="1"/>
    <col min="15364" max="15364" width="11" style="335" customWidth="1"/>
    <col min="15365" max="15365" width="12.140625" style="335" customWidth="1"/>
    <col min="15366" max="15366" width="10.28515625" style="335" customWidth="1"/>
    <col min="15367" max="15612" width="9.140625" style="335"/>
    <col min="15613" max="15613" width="50.140625" style="335" customWidth="1"/>
    <col min="15614" max="15614" width="11.140625" style="335" customWidth="1"/>
    <col min="15615" max="15615" width="9.7109375" style="335" customWidth="1"/>
    <col min="15616" max="15616" width="11.42578125" style="335" customWidth="1"/>
    <col min="15617" max="15617" width="12.5703125" style="335" customWidth="1"/>
    <col min="15618" max="15618" width="11.42578125" style="335" customWidth="1"/>
    <col min="15619" max="15619" width="10.85546875" style="335" customWidth="1"/>
    <col min="15620" max="15620" width="11" style="335" customWidth="1"/>
    <col min="15621" max="15621" width="12.140625" style="335" customWidth="1"/>
    <col min="15622" max="15622" width="10.28515625" style="335" customWidth="1"/>
    <col min="15623" max="15868" width="9.140625" style="335"/>
    <col min="15869" max="15869" width="50.140625" style="335" customWidth="1"/>
    <col min="15870" max="15870" width="11.140625" style="335" customWidth="1"/>
    <col min="15871" max="15871" width="9.7109375" style="335" customWidth="1"/>
    <col min="15872" max="15872" width="11.42578125" style="335" customWidth="1"/>
    <col min="15873" max="15873" width="12.5703125" style="335" customWidth="1"/>
    <col min="15874" max="15874" width="11.42578125" style="335" customWidth="1"/>
    <col min="15875" max="15875" width="10.85546875" style="335" customWidth="1"/>
    <col min="15876" max="15876" width="11" style="335" customWidth="1"/>
    <col min="15877" max="15877" width="12.140625" style="335" customWidth="1"/>
    <col min="15878" max="15878" width="10.28515625" style="335" customWidth="1"/>
    <col min="15879" max="16124" width="9.140625" style="335"/>
    <col min="16125" max="16125" width="50.140625" style="335" customWidth="1"/>
    <col min="16126" max="16126" width="11.140625" style="335" customWidth="1"/>
    <col min="16127" max="16127" width="9.7109375" style="335" customWidth="1"/>
    <col min="16128" max="16128" width="11.42578125" style="335" customWidth="1"/>
    <col min="16129" max="16129" width="12.5703125" style="335" customWidth="1"/>
    <col min="16130" max="16130" width="11.42578125" style="335" customWidth="1"/>
    <col min="16131" max="16131" width="10.85546875" style="335" customWidth="1"/>
    <col min="16132" max="16132" width="11" style="335" customWidth="1"/>
    <col min="16133" max="16133" width="12.140625" style="335" customWidth="1"/>
    <col min="16134" max="16134" width="10.28515625" style="335" customWidth="1"/>
    <col min="16135" max="16384" width="9.140625" style="335"/>
  </cols>
  <sheetData>
    <row r="1" spans="1:10">
      <c r="F1" s="336" t="s">
        <v>1099</v>
      </c>
      <c r="G1" s="336"/>
      <c r="H1" s="336"/>
      <c r="I1" s="336"/>
    </row>
    <row r="2" spans="1:10">
      <c r="F2" s="336" t="s">
        <v>1100</v>
      </c>
      <c r="G2" s="336"/>
      <c r="H2" s="336"/>
      <c r="I2" s="336"/>
    </row>
    <row r="3" spans="1:10">
      <c r="A3" s="337"/>
      <c r="F3" s="338" t="s">
        <v>1101</v>
      </c>
      <c r="G3" s="338"/>
      <c r="H3" s="338"/>
      <c r="I3" s="338"/>
    </row>
    <row r="4" spans="1:10">
      <c r="G4" s="335" t="s">
        <v>1102</v>
      </c>
    </row>
    <row r="5" spans="1:10" ht="15.75">
      <c r="A5" s="339" t="s">
        <v>1103</v>
      </c>
      <c r="B5" s="339"/>
      <c r="C5" s="339"/>
      <c r="D5" s="339"/>
      <c r="E5" s="339"/>
      <c r="F5" s="339"/>
      <c r="G5" s="339"/>
      <c r="H5" s="339"/>
      <c r="I5" s="339"/>
    </row>
    <row r="6" spans="1:10">
      <c r="A6" s="340"/>
      <c r="B6" s="340"/>
      <c r="C6" s="340"/>
      <c r="D6" s="340"/>
      <c r="E6" s="340"/>
      <c r="F6" s="340"/>
      <c r="G6" s="340"/>
      <c r="H6" s="340"/>
      <c r="I6" s="340"/>
    </row>
    <row r="7" spans="1:10" ht="12.75">
      <c r="A7" s="341" t="s">
        <v>1104</v>
      </c>
      <c r="B7" s="341"/>
      <c r="C7" s="341"/>
      <c r="D7" s="341"/>
      <c r="E7" s="341"/>
      <c r="F7" s="341"/>
      <c r="G7" s="341"/>
      <c r="H7" s="341"/>
      <c r="I7" s="341"/>
    </row>
    <row r="8" spans="1:10" ht="49.5" customHeight="1">
      <c r="A8" s="342" t="s">
        <v>130</v>
      </c>
      <c r="B8" s="342" t="s">
        <v>242</v>
      </c>
      <c r="C8" s="342" t="s">
        <v>243</v>
      </c>
      <c r="D8" s="343" t="s">
        <v>1791</v>
      </c>
      <c r="E8" s="342" t="s">
        <v>244</v>
      </c>
      <c r="F8" s="343" t="s">
        <v>528</v>
      </c>
      <c r="G8" s="343" t="s">
        <v>246</v>
      </c>
      <c r="H8" s="343" t="s">
        <v>1790</v>
      </c>
      <c r="I8" s="344" t="s">
        <v>1107</v>
      </c>
      <c r="J8" s="342" t="s">
        <v>1108</v>
      </c>
    </row>
    <row r="9" spans="1:10">
      <c r="A9" s="345" t="s">
        <v>1109</v>
      </c>
      <c r="B9" s="346"/>
      <c r="C9" s="347">
        <f>C10+C11</f>
        <v>22.35</v>
      </c>
      <c r="D9" s="347">
        <f>C9*0.22</f>
        <v>4.9170000000000007</v>
      </c>
      <c r="E9" s="347"/>
      <c r="F9" s="347">
        <f>C9*0.9</f>
        <v>20.115000000000002</v>
      </c>
      <c r="G9" s="347">
        <f>C9+D9+E9+F9</f>
        <v>47.382000000000005</v>
      </c>
      <c r="H9" s="347">
        <f>G9*0.35</f>
        <v>16.5837</v>
      </c>
      <c r="I9" s="348">
        <f>G9+H9</f>
        <v>63.965700000000005</v>
      </c>
      <c r="J9" s="349">
        <f>I9+I12+I13</f>
        <v>74.784060000000011</v>
      </c>
    </row>
    <row r="10" spans="1:10">
      <c r="A10" s="350" t="s">
        <v>258</v>
      </c>
      <c r="B10" s="351">
        <v>15</v>
      </c>
      <c r="C10" s="352">
        <v>13.8</v>
      </c>
      <c r="D10" s="353"/>
      <c r="E10" s="353"/>
      <c r="F10" s="353"/>
      <c r="G10" s="353"/>
      <c r="H10" s="353"/>
      <c r="I10" s="354"/>
      <c r="J10" s="353"/>
    </row>
    <row r="11" spans="1:10">
      <c r="A11" s="350" t="s">
        <v>337</v>
      </c>
      <c r="B11" s="351">
        <v>15</v>
      </c>
      <c r="C11" s="352">
        <v>8.5500000000000007</v>
      </c>
      <c r="D11" s="353"/>
      <c r="E11" s="353"/>
      <c r="F11" s="353"/>
      <c r="G11" s="353"/>
      <c r="H11" s="353"/>
      <c r="I11" s="354"/>
      <c r="J11" s="353"/>
    </row>
    <row r="12" spans="1:10">
      <c r="A12" s="350" t="s">
        <v>385</v>
      </c>
      <c r="B12" s="351">
        <v>7</v>
      </c>
      <c r="C12" s="352">
        <v>3.78</v>
      </c>
      <c r="D12" s="353">
        <f>C12*0.22</f>
        <v>0.83160000000000001</v>
      </c>
      <c r="E12" s="353"/>
      <c r="F12" s="353">
        <f>C12*0.9</f>
        <v>3.4019999999999997</v>
      </c>
      <c r="G12" s="353">
        <f>C12+D12+E12+F12</f>
        <v>8.0136000000000003</v>
      </c>
      <c r="H12" s="353">
        <f>G12*0.35</f>
        <v>2.8047599999999999</v>
      </c>
      <c r="I12" s="354">
        <f>G12+H12</f>
        <v>10.81836</v>
      </c>
      <c r="J12" s="353"/>
    </row>
    <row r="13" spans="1:10">
      <c r="A13" s="350"/>
      <c r="B13" s="351"/>
      <c r="C13" s="352"/>
      <c r="D13" s="353"/>
      <c r="E13" s="353"/>
      <c r="F13" s="353"/>
      <c r="G13" s="353"/>
      <c r="H13" s="353"/>
      <c r="I13" s="354"/>
      <c r="J13" s="353"/>
    </row>
    <row r="14" spans="1:10">
      <c r="A14" s="345" t="s">
        <v>1110</v>
      </c>
      <c r="B14" s="346"/>
      <c r="C14" s="347">
        <f>C15+C16</f>
        <v>29.799999999999997</v>
      </c>
      <c r="D14" s="347">
        <f>C14*0.22</f>
        <v>6.5559999999999992</v>
      </c>
      <c r="E14" s="347"/>
      <c r="F14" s="347">
        <f>C14*0.9</f>
        <v>26.819999999999997</v>
      </c>
      <c r="G14" s="347">
        <f>C14+D14+E14+F14</f>
        <v>63.175999999999988</v>
      </c>
      <c r="H14" s="347">
        <f>G14*0.35</f>
        <v>22.111599999999996</v>
      </c>
      <c r="I14" s="348">
        <f>G14+H14</f>
        <v>85.287599999999983</v>
      </c>
      <c r="J14" s="349">
        <f>I14+I17+I18</f>
        <v>100.74239999999999</v>
      </c>
    </row>
    <row r="15" spans="1:10">
      <c r="A15" s="350" t="s">
        <v>258</v>
      </c>
      <c r="B15" s="351">
        <v>20</v>
      </c>
      <c r="C15" s="352">
        <v>18.399999999999999</v>
      </c>
      <c r="D15" s="353"/>
      <c r="E15" s="353"/>
      <c r="F15" s="353"/>
      <c r="G15" s="353"/>
      <c r="H15" s="353"/>
      <c r="I15" s="354"/>
      <c r="J15" s="355"/>
    </row>
    <row r="16" spans="1:10">
      <c r="A16" s="350" t="s">
        <v>337</v>
      </c>
      <c r="B16" s="351">
        <v>20</v>
      </c>
      <c r="C16" s="352">
        <v>11.4</v>
      </c>
      <c r="D16" s="353"/>
      <c r="E16" s="353"/>
      <c r="F16" s="353"/>
      <c r="G16" s="353"/>
      <c r="H16" s="353"/>
      <c r="I16" s="354"/>
      <c r="J16" s="355"/>
    </row>
    <row r="17" spans="1:10">
      <c r="A17" s="350" t="s">
        <v>385</v>
      </c>
      <c r="B17" s="351">
        <v>10</v>
      </c>
      <c r="C17" s="352">
        <v>5.4</v>
      </c>
      <c r="D17" s="353">
        <f>C17*0.22</f>
        <v>1.1880000000000002</v>
      </c>
      <c r="E17" s="353"/>
      <c r="F17" s="353">
        <f>C17*0.9</f>
        <v>4.8600000000000003</v>
      </c>
      <c r="G17" s="353">
        <f>C17+D17+E17+F17</f>
        <v>11.448</v>
      </c>
      <c r="H17" s="353">
        <f>G17*0.35</f>
        <v>4.0068000000000001</v>
      </c>
      <c r="I17" s="354">
        <f>G17+H17</f>
        <v>15.454800000000001</v>
      </c>
      <c r="J17" s="355"/>
    </row>
    <row r="18" spans="1:10">
      <c r="A18" s="350"/>
      <c r="B18" s="351"/>
      <c r="C18" s="352"/>
      <c r="D18" s="353"/>
      <c r="E18" s="353"/>
      <c r="F18" s="353"/>
      <c r="G18" s="353"/>
      <c r="H18" s="353"/>
      <c r="I18" s="354"/>
      <c r="J18" s="355"/>
    </row>
    <row r="19" spans="1:10" ht="21">
      <c r="A19" s="345" t="s">
        <v>1111</v>
      </c>
      <c r="B19" s="356"/>
      <c r="C19" s="347">
        <f>C20+C21</f>
        <v>27.299999999999997</v>
      </c>
      <c r="D19" s="347">
        <f>C19*0.22</f>
        <v>6.0059999999999993</v>
      </c>
      <c r="E19" s="347"/>
      <c r="F19" s="347">
        <f>C19*0.9</f>
        <v>24.569999999999997</v>
      </c>
      <c r="G19" s="347">
        <f>C19+D19+E19+F19</f>
        <v>57.875999999999991</v>
      </c>
      <c r="H19" s="347">
        <f>G19*0.35</f>
        <v>20.256599999999995</v>
      </c>
      <c r="I19" s="348">
        <f>G19+H19</f>
        <v>78.132599999999982</v>
      </c>
      <c r="J19" s="349">
        <f>I19+I22+I23</f>
        <v>88.950959999999981</v>
      </c>
    </row>
    <row r="20" spans="1:10">
      <c r="A20" s="350" t="s">
        <v>258</v>
      </c>
      <c r="B20" s="351">
        <v>15</v>
      </c>
      <c r="C20" s="352">
        <v>15.6</v>
      </c>
      <c r="D20" s="353"/>
      <c r="E20" s="353"/>
      <c r="F20" s="353"/>
      <c r="G20" s="353"/>
      <c r="H20" s="353"/>
      <c r="I20" s="354"/>
      <c r="J20" s="353"/>
    </row>
    <row r="21" spans="1:10">
      <c r="A21" s="350" t="s">
        <v>337</v>
      </c>
      <c r="B21" s="351">
        <v>15</v>
      </c>
      <c r="C21" s="352">
        <v>11.7</v>
      </c>
      <c r="D21" s="353"/>
      <c r="E21" s="353"/>
      <c r="F21" s="353"/>
      <c r="G21" s="353"/>
      <c r="H21" s="353"/>
      <c r="I21" s="354"/>
      <c r="J21" s="353"/>
    </row>
    <row r="22" spans="1:10">
      <c r="A22" s="350" t="s">
        <v>385</v>
      </c>
      <c r="B22" s="351">
        <v>7</v>
      </c>
      <c r="C22" s="352">
        <v>3.78</v>
      </c>
      <c r="D22" s="353">
        <f>C22*0.22</f>
        <v>0.83160000000000001</v>
      </c>
      <c r="E22" s="353"/>
      <c r="F22" s="357">
        <f>C22*0.9</f>
        <v>3.4019999999999997</v>
      </c>
      <c r="G22" s="353">
        <f>C22+D22+E22+F22</f>
        <v>8.0136000000000003</v>
      </c>
      <c r="H22" s="353">
        <f>G22*0.35</f>
        <v>2.8047599999999999</v>
      </c>
      <c r="I22" s="354">
        <f>G22+H22</f>
        <v>10.81836</v>
      </c>
      <c r="J22" s="353"/>
    </row>
    <row r="23" spans="1:10">
      <c r="A23" s="350"/>
      <c r="B23" s="351"/>
      <c r="C23" s="352"/>
      <c r="D23" s="353"/>
      <c r="E23" s="353"/>
      <c r="F23" s="353"/>
      <c r="G23" s="353"/>
      <c r="H23" s="353"/>
      <c r="I23" s="354"/>
      <c r="J23" s="353"/>
    </row>
    <row r="24" spans="1:10" ht="21">
      <c r="A24" s="345" t="s">
        <v>1112</v>
      </c>
      <c r="B24" s="356"/>
      <c r="C24" s="347">
        <f>C25+C26</f>
        <v>36.4</v>
      </c>
      <c r="D24" s="347">
        <f>C24*0.22</f>
        <v>8.0079999999999991</v>
      </c>
      <c r="E24" s="347"/>
      <c r="F24" s="347">
        <f>C24*0.9</f>
        <v>32.76</v>
      </c>
      <c r="G24" s="347">
        <f>C24+D24+E24+F24</f>
        <v>77.168000000000006</v>
      </c>
      <c r="H24" s="347">
        <f>G24*0.35</f>
        <v>27.008800000000001</v>
      </c>
      <c r="I24" s="348">
        <f>G24+H24</f>
        <v>104.17680000000001</v>
      </c>
      <c r="J24" s="349">
        <f>I24+I27+I28</f>
        <v>114.99516000000001</v>
      </c>
    </row>
    <row r="25" spans="1:10">
      <c r="A25" s="350" t="s">
        <v>258</v>
      </c>
      <c r="B25" s="351">
        <v>20</v>
      </c>
      <c r="C25" s="352">
        <v>20.8</v>
      </c>
      <c r="D25" s="353"/>
      <c r="E25" s="353"/>
      <c r="F25" s="353"/>
      <c r="G25" s="353"/>
      <c r="H25" s="353"/>
      <c r="I25" s="354"/>
      <c r="J25" s="353"/>
    </row>
    <row r="26" spans="1:10">
      <c r="A26" s="350" t="s">
        <v>337</v>
      </c>
      <c r="B26" s="351">
        <v>20</v>
      </c>
      <c r="C26" s="352">
        <v>15.6</v>
      </c>
      <c r="D26" s="353"/>
      <c r="E26" s="353"/>
      <c r="F26" s="353"/>
      <c r="G26" s="353"/>
      <c r="H26" s="353"/>
      <c r="I26" s="354"/>
      <c r="J26" s="353"/>
    </row>
    <row r="27" spans="1:10">
      <c r="A27" s="350" t="s">
        <v>385</v>
      </c>
      <c r="B27" s="351">
        <v>10</v>
      </c>
      <c r="C27" s="352">
        <v>3.78</v>
      </c>
      <c r="D27" s="353">
        <f>C27*0.22</f>
        <v>0.83160000000000001</v>
      </c>
      <c r="E27" s="353"/>
      <c r="F27" s="357">
        <f>C27*0.9</f>
        <v>3.4019999999999997</v>
      </c>
      <c r="G27" s="353">
        <f>C27+D27+E27+F27</f>
        <v>8.0136000000000003</v>
      </c>
      <c r="H27" s="353">
        <f>G27*0.35</f>
        <v>2.8047599999999999</v>
      </c>
      <c r="I27" s="354">
        <f>G27+H27</f>
        <v>10.81836</v>
      </c>
      <c r="J27" s="353"/>
    </row>
    <row r="28" spans="1:10">
      <c r="A28" s="350"/>
      <c r="B28" s="351"/>
      <c r="C28" s="352"/>
      <c r="D28" s="353"/>
      <c r="E28" s="353"/>
      <c r="F28" s="353"/>
      <c r="G28" s="353"/>
      <c r="H28" s="353"/>
      <c r="I28" s="354"/>
      <c r="J28" s="353"/>
    </row>
    <row r="29" spans="1:10">
      <c r="A29" s="358" t="s">
        <v>1113</v>
      </c>
      <c r="B29" s="359"/>
      <c r="C29" s="347">
        <f>C30+C31</f>
        <v>21.450000000000003</v>
      </c>
      <c r="D29" s="347">
        <f>C29*0.22</f>
        <v>4.7190000000000003</v>
      </c>
      <c r="E29" s="347"/>
      <c r="F29" s="347">
        <f>C29*0.9</f>
        <v>19.305000000000003</v>
      </c>
      <c r="G29" s="347">
        <f>C29+D29+E29+F29</f>
        <v>45.474000000000004</v>
      </c>
      <c r="H29" s="347">
        <f>G29*0.35</f>
        <v>15.915900000000001</v>
      </c>
      <c r="I29" s="348">
        <f>G29+H29</f>
        <v>61.389900000000004</v>
      </c>
      <c r="J29" s="349">
        <f>I29+I32+I33</f>
        <v>72.20826000000001</v>
      </c>
    </row>
    <row r="30" spans="1:10">
      <c r="A30" s="350" t="s">
        <v>258</v>
      </c>
      <c r="B30" s="360">
        <v>15</v>
      </c>
      <c r="C30" s="352">
        <v>12.9</v>
      </c>
      <c r="D30" s="353"/>
      <c r="E30" s="353"/>
      <c r="F30" s="353"/>
      <c r="G30" s="353"/>
      <c r="H30" s="353"/>
      <c r="I30" s="354"/>
      <c r="J30" s="355"/>
    </row>
    <row r="31" spans="1:10">
      <c r="A31" s="350" t="s">
        <v>337</v>
      </c>
      <c r="B31" s="360">
        <v>15</v>
      </c>
      <c r="C31" s="352">
        <v>8.5500000000000007</v>
      </c>
      <c r="D31" s="353"/>
      <c r="E31" s="353"/>
      <c r="F31" s="353"/>
      <c r="G31" s="353"/>
      <c r="H31" s="353"/>
      <c r="I31" s="354"/>
      <c r="J31" s="355"/>
    </row>
    <row r="32" spans="1:10">
      <c r="A32" s="350" t="s">
        <v>385</v>
      </c>
      <c r="B32" s="351">
        <v>10</v>
      </c>
      <c r="C32" s="352">
        <v>3.78</v>
      </c>
      <c r="D32" s="353">
        <f>C32*0.22</f>
        <v>0.83160000000000001</v>
      </c>
      <c r="E32" s="353"/>
      <c r="F32" s="357">
        <f>C32*0.9</f>
        <v>3.4019999999999997</v>
      </c>
      <c r="G32" s="353">
        <f>C32+D32+E32+F32</f>
        <v>8.0136000000000003</v>
      </c>
      <c r="H32" s="353">
        <f>G32*0.35</f>
        <v>2.8047599999999999</v>
      </c>
      <c r="I32" s="354">
        <f>G32+H32</f>
        <v>10.81836</v>
      </c>
      <c r="J32" s="355"/>
    </row>
    <row r="33" spans="1:10">
      <c r="A33" s="350"/>
      <c r="B33" s="351"/>
      <c r="C33" s="352"/>
      <c r="D33" s="353"/>
      <c r="E33" s="353"/>
      <c r="F33" s="353"/>
      <c r="G33" s="353"/>
      <c r="H33" s="353"/>
      <c r="I33" s="354"/>
      <c r="J33" s="355"/>
    </row>
    <row r="34" spans="1:10">
      <c r="A34" s="358" t="s">
        <v>1114</v>
      </c>
      <c r="B34" s="359"/>
      <c r="C34" s="347">
        <f>C35+C36</f>
        <v>28.6</v>
      </c>
      <c r="D34" s="347">
        <f>C34*0.22</f>
        <v>6.2920000000000007</v>
      </c>
      <c r="E34" s="347"/>
      <c r="F34" s="347">
        <f>C34*0.9</f>
        <v>25.740000000000002</v>
      </c>
      <c r="G34" s="347">
        <f>C34+D34+E34+F34</f>
        <v>60.632000000000005</v>
      </c>
      <c r="H34" s="347">
        <f>G34*0.35</f>
        <v>21.2212</v>
      </c>
      <c r="I34" s="348">
        <f>G34+H34</f>
        <v>81.853200000000001</v>
      </c>
      <c r="J34" s="349">
        <f>I34+I37+I38</f>
        <v>97.308000000000007</v>
      </c>
    </row>
    <row r="35" spans="1:10">
      <c r="A35" s="350" t="s">
        <v>258</v>
      </c>
      <c r="B35" s="360">
        <v>20</v>
      </c>
      <c r="C35" s="352">
        <v>17.2</v>
      </c>
      <c r="D35" s="353"/>
      <c r="E35" s="353"/>
      <c r="F35" s="353"/>
      <c r="G35" s="353"/>
      <c r="H35" s="353"/>
      <c r="I35" s="354"/>
      <c r="J35" s="353"/>
    </row>
    <row r="36" spans="1:10">
      <c r="A36" s="350" t="s">
        <v>337</v>
      </c>
      <c r="B36" s="360">
        <v>20</v>
      </c>
      <c r="C36" s="352">
        <v>11.4</v>
      </c>
      <c r="D36" s="353"/>
      <c r="E36" s="353"/>
      <c r="F36" s="353"/>
      <c r="G36" s="353"/>
      <c r="H36" s="353"/>
      <c r="I36" s="354"/>
      <c r="J36" s="353"/>
    </row>
    <row r="37" spans="1:10">
      <c r="A37" s="350" t="s">
        <v>385</v>
      </c>
      <c r="B37" s="351">
        <v>10</v>
      </c>
      <c r="C37" s="352">
        <v>5.4</v>
      </c>
      <c r="D37" s="353">
        <f>C37*0.22</f>
        <v>1.1880000000000002</v>
      </c>
      <c r="E37" s="353"/>
      <c r="F37" s="357">
        <f>C37*0.9</f>
        <v>4.8600000000000003</v>
      </c>
      <c r="G37" s="353">
        <f>C37+D37+E37+F37</f>
        <v>11.448</v>
      </c>
      <c r="H37" s="353">
        <f>G37*0.35</f>
        <v>4.0068000000000001</v>
      </c>
      <c r="I37" s="354">
        <f>G37+H37</f>
        <v>15.454800000000001</v>
      </c>
      <c r="J37" s="353"/>
    </row>
    <row r="38" spans="1:10">
      <c r="A38" s="350"/>
      <c r="B38" s="351"/>
      <c r="C38" s="352"/>
      <c r="D38" s="353"/>
      <c r="E38" s="353"/>
      <c r="F38" s="353"/>
      <c r="G38" s="353"/>
      <c r="H38" s="353"/>
      <c r="I38" s="354"/>
      <c r="J38" s="353"/>
    </row>
    <row r="39" spans="1:10">
      <c r="A39" s="345" t="s">
        <v>1115</v>
      </c>
      <c r="B39" s="346"/>
      <c r="C39" s="347">
        <f>C40+C41</f>
        <v>21.450000000000003</v>
      </c>
      <c r="D39" s="347">
        <f>C39*0.22</f>
        <v>4.7190000000000003</v>
      </c>
      <c r="E39" s="347"/>
      <c r="F39" s="347">
        <f>C39*0.9</f>
        <v>19.305000000000003</v>
      </c>
      <c r="G39" s="347">
        <f>C39+D39+E39+F39</f>
        <v>45.474000000000004</v>
      </c>
      <c r="H39" s="347">
        <f>G39*0.2</f>
        <v>9.0948000000000011</v>
      </c>
      <c r="I39" s="348">
        <f>G39+H39</f>
        <v>54.568800000000003</v>
      </c>
      <c r="J39" s="349">
        <f>I39+I42+I43</f>
        <v>65.387160000000009</v>
      </c>
    </row>
    <row r="40" spans="1:10">
      <c r="A40" s="350" t="s">
        <v>258</v>
      </c>
      <c r="B40" s="350">
        <v>15</v>
      </c>
      <c r="C40" s="352">
        <v>12.9</v>
      </c>
      <c r="D40" s="353"/>
      <c r="E40" s="353"/>
      <c r="F40" s="353"/>
      <c r="G40" s="353"/>
      <c r="H40" s="353"/>
      <c r="I40" s="354"/>
      <c r="J40" s="353"/>
    </row>
    <row r="41" spans="1:10">
      <c r="A41" s="350" t="s">
        <v>337</v>
      </c>
      <c r="B41" s="350">
        <v>15</v>
      </c>
      <c r="C41" s="352">
        <v>8.5500000000000007</v>
      </c>
      <c r="D41" s="353"/>
      <c r="E41" s="353"/>
      <c r="F41" s="353"/>
      <c r="G41" s="353"/>
      <c r="H41" s="353"/>
      <c r="I41" s="354"/>
      <c r="J41" s="353"/>
    </row>
    <row r="42" spans="1:10">
      <c r="A42" s="350" t="s">
        <v>385</v>
      </c>
      <c r="B42" s="351">
        <v>7</v>
      </c>
      <c r="C42" s="352">
        <v>3.78</v>
      </c>
      <c r="D42" s="353">
        <f>C42*0.22</f>
        <v>0.83160000000000001</v>
      </c>
      <c r="E42" s="353"/>
      <c r="F42" s="357">
        <f>C42*0.9</f>
        <v>3.4019999999999997</v>
      </c>
      <c r="G42" s="353">
        <f>C42+D42+E42+F42</f>
        <v>8.0136000000000003</v>
      </c>
      <c r="H42" s="353">
        <f>G42*0.35</f>
        <v>2.8047599999999999</v>
      </c>
      <c r="I42" s="354">
        <f>G42+H42</f>
        <v>10.81836</v>
      </c>
      <c r="J42" s="353"/>
    </row>
    <row r="43" spans="1:10">
      <c r="A43" s="350"/>
      <c r="B43" s="351"/>
      <c r="C43" s="352"/>
      <c r="D43" s="353"/>
      <c r="E43" s="353"/>
      <c r="F43" s="353"/>
      <c r="G43" s="353"/>
      <c r="H43" s="353"/>
      <c r="I43" s="354"/>
      <c r="J43" s="353"/>
    </row>
    <row r="44" spans="1:10" ht="21">
      <c r="A44" s="345" t="s">
        <v>1116</v>
      </c>
      <c r="B44" s="346"/>
      <c r="C44" s="347">
        <f>C45+C46</f>
        <v>28.6</v>
      </c>
      <c r="D44" s="347">
        <f>C44*0.22</f>
        <v>6.2920000000000007</v>
      </c>
      <c r="E44" s="347"/>
      <c r="F44" s="347">
        <f>C44*0.9</f>
        <v>25.740000000000002</v>
      </c>
      <c r="G44" s="347">
        <f>C44+D44+E44+F44</f>
        <v>60.632000000000005</v>
      </c>
      <c r="H44" s="347">
        <f>G44*0.2</f>
        <v>12.126400000000002</v>
      </c>
      <c r="I44" s="348">
        <f>G44+H44</f>
        <v>72.758400000000009</v>
      </c>
      <c r="J44" s="349">
        <f>I44+I47+I48</f>
        <v>88.213200000000015</v>
      </c>
    </row>
    <row r="45" spans="1:10">
      <c r="A45" s="350" t="s">
        <v>258</v>
      </c>
      <c r="B45" s="350">
        <v>20</v>
      </c>
      <c r="C45" s="352">
        <v>17.2</v>
      </c>
      <c r="D45" s="353"/>
      <c r="E45" s="353"/>
      <c r="F45" s="353"/>
      <c r="G45" s="353"/>
      <c r="H45" s="353"/>
      <c r="I45" s="354"/>
      <c r="J45" s="353"/>
    </row>
    <row r="46" spans="1:10">
      <c r="A46" s="350" t="s">
        <v>337</v>
      </c>
      <c r="B46" s="350">
        <v>20</v>
      </c>
      <c r="C46" s="352">
        <v>11.4</v>
      </c>
      <c r="D46" s="353"/>
      <c r="E46" s="353"/>
      <c r="F46" s="353"/>
      <c r="G46" s="353"/>
      <c r="H46" s="353"/>
      <c r="I46" s="354"/>
      <c r="J46" s="353"/>
    </row>
    <row r="47" spans="1:10">
      <c r="A47" s="350" t="s">
        <v>385</v>
      </c>
      <c r="B47" s="351">
        <v>10</v>
      </c>
      <c r="C47" s="352">
        <v>5.4</v>
      </c>
      <c r="D47" s="353">
        <f>C47*0.22</f>
        <v>1.1880000000000002</v>
      </c>
      <c r="E47" s="353"/>
      <c r="F47" s="357">
        <f>C47*0.9</f>
        <v>4.8600000000000003</v>
      </c>
      <c r="G47" s="353">
        <f>C47+D47+E47+F47</f>
        <v>11.448</v>
      </c>
      <c r="H47" s="353">
        <f>G47*0.35</f>
        <v>4.0068000000000001</v>
      </c>
      <c r="I47" s="354">
        <f>G47+H47</f>
        <v>15.454800000000001</v>
      </c>
      <c r="J47" s="353"/>
    </row>
    <row r="48" spans="1:10">
      <c r="A48" s="350"/>
      <c r="B48" s="351"/>
      <c r="C48" s="352"/>
      <c r="D48" s="353"/>
      <c r="E48" s="353"/>
      <c r="F48" s="353"/>
      <c r="G48" s="353"/>
      <c r="H48" s="353"/>
      <c r="I48" s="354"/>
      <c r="J48" s="353"/>
    </row>
    <row r="49" spans="1:10">
      <c r="A49" s="358" t="s">
        <v>1117</v>
      </c>
      <c r="B49" s="359"/>
      <c r="C49" s="347">
        <f>C50+C51</f>
        <v>19.8</v>
      </c>
      <c r="D49" s="347">
        <f>C49*0.22</f>
        <v>4.3559999999999999</v>
      </c>
      <c r="E49" s="347"/>
      <c r="F49" s="347">
        <f>C49*0.9</f>
        <v>17.82</v>
      </c>
      <c r="G49" s="347">
        <f>C49+D49+E49+F49</f>
        <v>41.975999999999999</v>
      </c>
      <c r="H49" s="347">
        <f>G49*0.35</f>
        <v>14.691599999999999</v>
      </c>
      <c r="I49" s="348">
        <f>G49+H49</f>
        <v>56.6676</v>
      </c>
      <c r="J49" s="349">
        <f>I49+I52+I53</f>
        <v>67.485960000000006</v>
      </c>
    </row>
    <row r="50" spans="1:10">
      <c r="A50" s="350" t="s">
        <v>258</v>
      </c>
      <c r="B50" s="360">
        <v>15</v>
      </c>
      <c r="C50" s="352">
        <v>11.25</v>
      </c>
      <c r="D50" s="353"/>
      <c r="E50" s="353"/>
      <c r="F50" s="353"/>
      <c r="G50" s="353"/>
      <c r="H50" s="353"/>
      <c r="I50" s="354"/>
      <c r="J50" s="353"/>
    </row>
    <row r="51" spans="1:10">
      <c r="A51" s="350" t="s">
        <v>337</v>
      </c>
      <c r="B51" s="360">
        <v>15</v>
      </c>
      <c r="C51" s="352">
        <v>8.5500000000000007</v>
      </c>
      <c r="D51" s="353"/>
      <c r="E51" s="353"/>
      <c r="F51" s="353"/>
      <c r="G51" s="353"/>
      <c r="H51" s="353"/>
      <c r="I51" s="354"/>
      <c r="J51" s="353"/>
    </row>
    <row r="52" spans="1:10">
      <c r="A52" s="350" t="s">
        <v>385</v>
      </c>
      <c r="B52" s="351">
        <v>7</v>
      </c>
      <c r="C52" s="352">
        <v>3.78</v>
      </c>
      <c r="D52" s="353">
        <f>C52*0.22</f>
        <v>0.83160000000000001</v>
      </c>
      <c r="E52" s="353"/>
      <c r="F52" s="357">
        <f>C52*0.9</f>
        <v>3.4019999999999997</v>
      </c>
      <c r="G52" s="353">
        <f>C52+D52+E52+F52</f>
        <v>8.0136000000000003</v>
      </c>
      <c r="H52" s="353">
        <f>G52*0.35</f>
        <v>2.8047599999999999</v>
      </c>
      <c r="I52" s="354">
        <f>G52+H52</f>
        <v>10.81836</v>
      </c>
      <c r="J52" s="353"/>
    </row>
    <row r="53" spans="1:10">
      <c r="A53" s="350"/>
      <c r="B53" s="351"/>
      <c r="C53" s="352"/>
      <c r="D53" s="353"/>
      <c r="E53" s="353"/>
      <c r="F53" s="353"/>
      <c r="G53" s="353"/>
      <c r="H53" s="353"/>
      <c r="I53" s="354"/>
      <c r="J53" s="353"/>
    </row>
    <row r="54" spans="1:10">
      <c r="A54" s="358" t="s">
        <v>1118</v>
      </c>
      <c r="B54" s="359"/>
      <c r="C54" s="347">
        <f>C55+C56</f>
        <v>26.4</v>
      </c>
      <c r="D54" s="347">
        <f>C54*0.22</f>
        <v>5.8079999999999998</v>
      </c>
      <c r="E54" s="347"/>
      <c r="F54" s="347">
        <f>C54*0.9</f>
        <v>23.759999999999998</v>
      </c>
      <c r="G54" s="347">
        <f>C54+D54+E54+F54</f>
        <v>55.967999999999996</v>
      </c>
      <c r="H54" s="347">
        <f>G54*0.35</f>
        <v>19.588799999999999</v>
      </c>
      <c r="I54" s="348">
        <f>G54+H54</f>
        <v>75.556799999999996</v>
      </c>
      <c r="J54" s="349">
        <f>I54+I57+I58</f>
        <v>91.011600000000001</v>
      </c>
    </row>
    <row r="55" spans="1:10">
      <c r="A55" s="350" t="s">
        <v>258</v>
      </c>
      <c r="B55" s="360">
        <v>20</v>
      </c>
      <c r="C55" s="352">
        <v>15</v>
      </c>
      <c r="D55" s="353"/>
      <c r="E55" s="353"/>
      <c r="F55" s="353"/>
      <c r="G55" s="353"/>
      <c r="H55" s="353"/>
      <c r="I55" s="354"/>
      <c r="J55" s="355"/>
    </row>
    <row r="56" spans="1:10">
      <c r="A56" s="350" t="s">
        <v>337</v>
      </c>
      <c r="B56" s="360">
        <v>20</v>
      </c>
      <c r="C56" s="352">
        <v>11.4</v>
      </c>
      <c r="D56" s="353"/>
      <c r="E56" s="353"/>
      <c r="F56" s="353"/>
      <c r="G56" s="353"/>
      <c r="H56" s="353"/>
      <c r="I56" s="354"/>
      <c r="J56" s="355"/>
    </row>
    <row r="57" spans="1:10">
      <c r="A57" s="350" t="s">
        <v>385</v>
      </c>
      <c r="B57" s="351">
        <v>10</v>
      </c>
      <c r="C57" s="352">
        <v>5.4</v>
      </c>
      <c r="D57" s="353">
        <f>C57*0.22</f>
        <v>1.1880000000000002</v>
      </c>
      <c r="E57" s="353"/>
      <c r="F57" s="357">
        <f>C57*0.9</f>
        <v>4.8600000000000003</v>
      </c>
      <c r="G57" s="353">
        <f>C57+D57+E57+F57</f>
        <v>11.448</v>
      </c>
      <c r="H57" s="353">
        <f>G57*0.35</f>
        <v>4.0068000000000001</v>
      </c>
      <c r="I57" s="354">
        <f>G57+H57</f>
        <v>15.454800000000001</v>
      </c>
      <c r="J57" s="355"/>
    </row>
    <row r="58" spans="1:10">
      <c r="A58" s="350"/>
      <c r="B58" s="351"/>
      <c r="C58" s="352"/>
      <c r="D58" s="353"/>
      <c r="E58" s="353"/>
      <c r="F58" s="353"/>
      <c r="G58" s="353"/>
      <c r="H58" s="353"/>
      <c r="I58" s="354"/>
      <c r="J58" s="355"/>
    </row>
    <row r="59" spans="1:10">
      <c r="A59" s="345" t="s">
        <v>1119</v>
      </c>
      <c r="B59" s="346"/>
      <c r="C59" s="347">
        <f>C60+C61</f>
        <v>22.35</v>
      </c>
      <c r="D59" s="347">
        <f>C59*0.22</f>
        <v>4.9170000000000007</v>
      </c>
      <c r="E59" s="347"/>
      <c r="F59" s="347">
        <f>C59*0.9</f>
        <v>20.115000000000002</v>
      </c>
      <c r="G59" s="347">
        <f>C59+D59+E59+F59</f>
        <v>47.382000000000005</v>
      </c>
      <c r="H59" s="347">
        <f>G59*0.35</f>
        <v>16.5837</v>
      </c>
      <c r="I59" s="348">
        <f>G59+H59</f>
        <v>63.965700000000005</v>
      </c>
      <c r="J59" s="349">
        <f>I59+I62+I63</f>
        <v>74.784060000000011</v>
      </c>
    </row>
    <row r="60" spans="1:10">
      <c r="A60" s="350" t="s">
        <v>258</v>
      </c>
      <c r="B60" s="350">
        <v>15</v>
      </c>
      <c r="C60" s="352">
        <v>13.8</v>
      </c>
      <c r="D60" s="353"/>
      <c r="E60" s="353"/>
      <c r="F60" s="353"/>
      <c r="G60" s="353"/>
      <c r="H60" s="353"/>
      <c r="I60" s="354"/>
      <c r="J60" s="353"/>
    </row>
    <row r="61" spans="1:10">
      <c r="A61" s="350" t="s">
        <v>337</v>
      </c>
      <c r="B61" s="350">
        <v>15</v>
      </c>
      <c r="C61" s="352">
        <v>8.5500000000000007</v>
      </c>
      <c r="D61" s="353"/>
      <c r="E61" s="353"/>
      <c r="F61" s="353"/>
      <c r="G61" s="353"/>
      <c r="H61" s="353"/>
      <c r="I61" s="354"/>
      <c r="J61" s="353"/>
    </row>
    <row r="62" spans="1:10">
      <c r="A62" s="350" t="s">
        <v>385</v>
      </c>
      <c r="B62" s="351">
        <v>7</v>
      </c>
      <c r="C62" s="352">
        <v>3.78</v>
      </c>
      <c r="D62" s="353">
        <f>C62*0.22</f>
        <v>0.83160000000000001</v>
      </c>
      <c r="E62" s="353"/>
      <c r="F62" s="357">
        <f>C62*0.9</f>
        <v>3.4019999999999997</v>
      </c>
      <c r="G62" s="353">
        <f>C62+D62+E62+F62</f>
        <v>8.0136000000000003</v>
      </c>
      <c r="H62" s="353">
        <f>G62*0.35</f>
        <v>2.8047599999999999</v>
      </c>
      <c r="I62" s="354">
        <f>G62+H62</f>
        <v>10.81836</v>
      </c>
      <c r="J62" s="353"/>
    </row>
    <row r="63" spans="1:10">
      <c r="A63" s="350"/>
      <c r="B63" s="351"/>
      <c r="C63" s="352"/>
      <c r="D63" s="353"/>
      <c r="E63" s="353"/>
      <c r="F63" s="353"/>
      <c r="G63" s="353"/>
      <c r="H63" s="353"/>
      <c r="I63" s="354"/>
      <c r="J63" s="353"/>
    </row>
    <row r="64" spans="1:10">
      <c r="A64" s="345" t="s">
        <v>1120</v>
      </c>
      <c r="B64" s="346"/>
      <c r="C64" s="347">
        <f>C65+C66</f>
        <v>29.799999999999997</v>
      </c>
      <c r="D64" s="347">
        <f>C64*0.22</f>
        <v>6.5559999999999992</v>
      </c>
      <c r="E64" s="347"/>
      <c r="F64" s="347">
        <f>C64*0.9</f>
        <v>26.819999999999997</v>
      </c>
      <c r="G64" s="347">
        <f>C64+D64+E64+F64</f>
        <v>63.175999999999988</v>
      </c>
      <c r="H64" s="347">
        <f>G64*0.35</f>
        <v>22.111599999999996</v>
      </c>
      <c r="I64" s="348">
        <f>G64+H64</f>
        <v>85.287599999999983</v>
      </c>
      <c r="J64" s="349">
        <f>I64+I67+I68</f>
        <v>100.74239999999999</v>
      </c>
    </row>
    <row r="65" spans="1:10">
      <c r="A65" s="350" t="s">
        <v>258</v>
      </c>
      <c r="B65" s="350">
        <v>20</v>
      </c>
      <c r="C65" s="352">
        <v>18.399999999999999</v>
      </c>
      <c r="D65" s="353"/>
      <c r="E65" s="353"/>
      <c r="F65" s="353"/>
      <c r="G65" s="353"/>
      <c r="H65" s="353"/>
      <c r="I65" s="354"/>
      <c r="J65" s="353"/>
    </row>
    <row r="66" spans="1:10">
      <c r="A66" s="350" t="s">
        <v>337</v>
      </c>
      <c r="B66" s="350">
        <v>20</v>
      </c>
      <c r="C66" s="352">
        <v>11.4</v>
      </c>
      <c r="D66" s="353"/>
      <c r="E66" s="353"/>
      <c r="F66" s="353"/>
      <c r="G66" s="353"/>
      <c r="H66" s="353"/>
      <c r="I66" s="354"/>
      <c r="J66" s="353"/>
    </row>
    <row r="67" spans="1:10">
      <c r="A67" s="350" t="s">
        <v>385</v>
      </c>
      <c r="B67" s="351">
        <v>10</v>
      </c>
      <c r="C67" s="352">
        <v>5.4</v>
      </c>
      <c r="D67" s="353">
        <f>C67*0.22</f>
        <v>1.1880000000000002</v>
      </c>
      <c r="E67" s="353"/>
      <c r="F67" s="357">
        <f>C67*0.9</f>
        <v>4.8600000000000003</v>
      </c>
      <c r="G67" s="353">
        <f>C67+D67+E67+F67</f>
        <v>11.448</v>
      </c>
      <c r="H67" s="353">
        <f>G67*0.35</f>
        <v>4.0068000000000001</v>
      </c>
      <c r="I67" s="354">
        <f>G67+H67</f>
        <v>15.454800000000001</v>
      </c>
      <c r="J67" s="353"/>
    </row>
    <row r="68" spans="1:10">
      <c r="A68" s="350"/>
      <c r="B68" s="351"/>
      <c r="C68" s="352"/>
      <c r="D68" s="353"/>
      <c r="E68" s="353"/>
      <c r="F68" s="353"/>
      <c r="G68" s="353"/>
      <c r="H68" s="353"/>
      <c r="I68" s="354"/>
      <c r="J68" s="353"/>
    </row>
    <row r="69" spans="1:10">
      <c r="A69" s="358" t="s">
        <v>1121</v>
      </c>
      <c r="B69" s="359"/>
      <c r="C69" s="347">
        <f>C70+C71</f>
        <v>22.35</v>
      </c>
      <c r="D69" s="347">
        <f>C69*0.22</f>
        <v>4.9170000000000007</v>
      </c>
      <c r="E69" s="347"/>
      <c r="F69" s="347">
        <f>C69*0.9</f>
        <v>20.115000000000002</v>
      </c>
      <c r="G69" s="347">
        <f>C69+D69+E69+F69</f>
        <v>47.382000000000005</v>
      </c>
      <c r="H69" s="347">
        <f>G69*0.35</f>
        <v>16.5837</v>
      </c>
      <c r="I69" s="348">
        <f>G69+H69</f>
        <v>63.965700000000005</v>
      </c>
      <c r="J69" s="349">
        <f>I69+I72+I73</f>
        <v>74.784060000000011</v>
      </c>
    </row>
    <row r="70" spans="1:10">
      <c r="A70" s="350" t="s">
        <v>258</v>
      </c>
      <c r="B70" s="360">
        <v>15</v>
      </c>
      <c r="C70" s="352">
        <v>13.8</v>
      </c>
      <c r="D70" s="353"/>
      <c r="E70" s="353"/>
      <c r="F70" s="353"/>
      <c r="G70" s="353"/>
      <c r="H70" s="353"/>
      <c r="I70" s="354"/>
      <c r="J70" s="353"/>
    </row>
    <row r="71" spans="1:10">
      <c r="A71" s="350" t="s">
        <v>337</v>
      </c>
      <c r="B71" s="360">
        <v>15</v>
      </c>
      <c r="C71" s="352">
        <v>8.5500000000000007</v>
      </c>
      <c r="D71" s="353"/>
      <c r="E71" s="353"/>
      <c r="F71" s="353"/>
      <c r="G71" s="353"/>
      <c r="H71" s="353"/>
      <c r="I71" s="354"/>
      <c r="J71" s="353"/>
    </row>
    <row r="72" spans="1:10">
      <c r="A72" s="350" t="s">
        <v>385</v>
      </c>
      <c r="B72" s="351">
        <v>7</v>
      </c>
      <c r="C72" s="352">
        <v>3.78</v>
      </c>
      <c r="D72" s="353">
        <f>C72*0.22</f>
        <v>0.83160000000000001</v>
      </c>
      <c r="E72" s="353"/>
      <c r="F72" s="357">
        <f>C72*0.9</f>
        <v>3.4019999999999997</v>
      </c>
      <c r="G72" s="353">
        <f>C72+D72+E72+F72</f>
        <v>8.0136000000000003</v>
      </c>
      <c r="H72" s="353">
        <f>G72*0.35</f>
        <v>2.8047599999999999</v>
      </c>
      <c r="I72" s="354">
        <f>G72+H72</f>
        <v>10.81836</v>
      </c>
      <c r="J72" s="353"/>
    </row>
    <row r="73" spans="1:10">
      <c r="A73" s="350"/>
      <c r="B73" s="351"/>
      <c r="C73" s="352"/>
      <c r="D73" s="353"/>
      <c r="E73" s="353"/>
      <c r="F73" s="353"/>
      <c r="G73" s="353"/>
      <c r="H73" s="353"/>
      <c r="I73" s="354"/>
      <c r="J73" s="353"/>
    </row>
    <row r="74" spans="1:10">
      <c r="A74" s="358" t="s">
        <v>1122</v>
      </c>
      <c r="B74" s="359"/>
      <c r="C74" s="347">
        <f>C75+C76</f>
        <v>29.799999999999997</v>
      </c>
      <c r="D74" s="347">
        <f>C74*0.22</f>
        <v>6.5559999999999992</v>
      </c>
      <c r="E74" s="347"/>
      <c r="F74" s="347">
        <f>C74*0.9</f>
        <v>26.819999999999997</v>
      </c>
      <c r="G74" s="347">
        <f>C74+D74+E74+F74</f>
        <v>63.175999999999988</v>
      </c>
      <c r="H74" s="347">
        <f>G74*0.35</f>
        <v>22.111599999999996</v>
      </c>
      <c r="I74" s="348">
        <f>G74+H74</f>
        <v>85.287599999999983</v>
      </c>
      <c r="J74" s="349">
        <f>I74+I77+I78</f>
        <v>100.74239999999999</v>
      </c>
    </row>
    <row r="75" spans="1:10">
      <c r="A75" s="350" t="s">
        <v>258</v>
      </c>
      <c r="B75" s="360">
        <v>20</v>
      </c>
      <c r="C75" s="352">
        <v>18.399999999999999</v>
      </c>
      <c r="D75" s="353"/>
      <c r="E75" s="353"/>
      <c r="F75" s="353"/>
      <c r="G75" s="353"/>
      <c r="H75" s="353"/>
      <c r="I75" s="354"/>
      <c r="J75" s="353"/>
    </row>
    <row r="76" spans="1:10">
      <c r="A76" s="350" t="s">
        <v>337</v>
      </c>
      <c r="B76" s="360">
        <v>20</v>
      </c>
      <c r="C76" s="352">
        <v>11.4</v>
      </c>
      <c r="D76" s="353"/>
      <c r="E76" s="353"/>
      <c r="F76" s="353"/>
      <c r="G76" s="353"/>
      <c r="H76" s="353"/>
      <c r="I76" s="354"/>
      <c r="J76" s="353"/>
    </row>
    <row r="77" spans="1:10">
      <c r="A77" s="350" t="s">
        <v>385</v>
      </c>
      <c r="B77" s="351">
        <v>10</v>
      </c>
      <c r="C77" s="352">
        <v>5.4</v>
      </c>
      <c r="D77" s="353">
        <f>C77*0.22</f>
        <v>1.1880000000000002</v>
      </c>
      <c r="E77" s="353"/>
      <c r="F77" s="357">
        <f>C77*0.9</f>
        <v>4.8600000000000003</v>
      </c>
      <c r="G77" s="353">
        <f>C77+D77+E77+F77</f>
        <v>11.448</v>
      </c>
      <c r="H77" s="353">
        <f>G77*0.35</f>
        <v>4.0068000000000001</v>
      </c>
      <c r="I77" s="354">
        <f>G77+H77</f>
        <v>15.454800000000001</v>
      </c>
      <c r="J77" s="353"/>
    </row>
    <row r="78" spans="1:10">
      <c r="A78" s="350"/>
      <c r="B78" s="351"/>
      <c r="C78" s="352"/>
      <c r="D78" s="353"/>
      <c r="E78" s="353"/>
      <c r="F78" s="353"/>
      <c r="G78" s="353"/>
      <c r="H78" s="353"/>
      <c r="I78" s="354"/>
      <c r="J78" s="353"/>
    </row>
    <row r="79" spans="1:10" ht="31.5">
      <c r="A79" s="345" t="s">
        <v>1123</v>
      </c>
      <c r="B79" s="346"/>
      <c r="C79" s="347">
        <f>C80+C81</f>
        <v>19.05</v>
      </c>
      <c r="D79" s="347">
        <f>C79*0.22</f>
        <v>4.1909999999999998</v>
      </c>
      <c r="E79" s="347">
        <v>25</v>
      </c>
      <c r="F79" s="347">
        <f>C79*0.9</f>
        <v>17.145</v>
      </c>
      <c r="G79" s="347">
        <f>C79+D79+E79+F79</f>
        <v>65.385999999999996</v>
      </c>
      <c r="H79" s="347">
        <f>G79*0.35</f>
        <v>22.885099999999998</v>
      </c>
      <c r="I79" s="348">
        <f>G79+H79</f>
        <v>88.27109999999999</v>
      </c>
      <c r="J79" s="349">
        <f>I79+I82+I83</f>
        <v>99.089459999999988</v>
      </c>
    </row>
    <row r="80" spans="1:10">
      <c r="A80" s="350" t="s">
        <v>258</v>
      </c>
      <c r="B80" s="350">
        <v>15</v>
      </c>
      <c r="C80" s="352">
        <v>10.5</v>
      </c>
      <c r="D80" s="353"/>
      <c r="E80" s="353"/>
      <c r="F80" s="353"/>
      <c r="G80" s="353"/>
      <c r="H80" s="353"/>
      <c r="I80" s="354"/>
      <c r="J80" s="355"/>
    </row>
    <row r="81" spans="1:10">
      <c r="A81" s="350" t="s">
        <v>337</v>
      </c>
      <c r="B81" s="350">
        <v>15</v>
      </c>
      <c r="C81" s="352">
        <v>8.5500000000000007</v>
      </c>
      <c r="D81" s="353"/>
      <c r="E81" s="353"/>
      <c r="F81" s="353"/>
      <c r="G81" s="353"/>
      <c r="H81" s="353"/>
      <c r="I81" s="354"/>
      <c r="J81" s="355"/>
    </row>
    <row r="82" spans="1:10">
      <c r="A82" s="350" t="s">
        <v>385</v>
      </c>
      <c r="B82" s="351">
        <v>7</v>
      </c>
      <c r="C82" s="352">
        <v>3.78</v>
      </c>
      <c r="D82" s="353">
        <f>C82*0.22</f>
        <v>0.83160000000000001</v>
      </c>
      <c r="E82" s="353"/>
      <c r="F82" s="357">
        <f>C82*0.9</f>
        <v>3.4019999999999997</v>
      </c>
      <c r="G82" s="353">
        <f>C82+D82+E82+F82</f>
        <v>8.0136000000000003</v>
      </c>
      <c r="H82" s="353">
        <f>G82*0.35</f>
        <v>2.8047599999999999</v>
      </c>
      <c r="I82" s="354">
        <f>G82+H82</f>
        <v>10.81836</v>
      </c>
      <c r="J82" s="355"/>
    </row>
    <row r="83" spans="1:10">
      <c r="A83" s="350"/>
      <c r="B83" s="351"/>
      <c r="C83" s="352"/>
      <c r="D83" s="353"/>
      <c r="E83" s="353"/>
      <c r="F83" s="353"/>
      <c r="G83" s="353"/>
      <c r="H83" s="353"/>
      <c r="I83" s="354"/>
      <c r="J83" s="355"/>
    </row>
    <row r="84" spans="1:10" ht="31.5">
      <c r="A84" s="345" t="s">
        <v>1124</v>
      </c>
      <c r="B84" s="346"/>
      <c r="C84" s="347">
        <f>C85+C86</f>
        <v>25.4</v>
      </c>
      <c r="D84" s="347">
        <f>C84*0.22</f>
        <v>5.5880000000000001</v>
      </c>
      <c r="E84" s="347">
        <v>25</v>
      </c>
      <c r="F84" s="347">
        <f>C84*0.9</f>
        <v>22.86</v>
      </c>
      <c r="G84" s="347">
        <f>C84+D84+E84+F84</f>
        <v>78.847999999999999</v>
      </c>
      <c r="H84" s="347">
        <f>G84*0.35</f>
        <v>27.596799999999998</v>
      </c>
      <c r="I84" s="348">
        <f>G84+H84</f>
        <v>106.4448</v>
      </c>
      <c r="J84" s="349">
        <f>I84+I87+I88</f>
        <v>121.89960000000001</v>
      </c>
    </row>
    <row r="85" spans="1:10">
      <c r="A85" s="350" t="s">
        <v>258</v>
      </c>
      <c r="B85" s="350">
        <v>20</v>
      </c>
      <c r="C85" s="352">
        <v>14</v>
      </c>
      <c r="D85" s="353"/>
      <c r="E85" s="353"/>
      <c r="F85" s="353"/>
      <c r="G85" s="353"/>
      <c r="H85" s="353"/>
      <c r="I85" s="354"/>
      <c r="J85" s="353"/>
    </row>
    <row r="86" spans="1:10">
      <c r="A86" s="350" t="s">
        <v>337</v>
      </c>
      <c r="B86" s="350">
        <v>20</v>
      </c>
      <c r="C86" s="352">
        <v>11.4</v>
      </c>
      <c r="D86" s="353"/>
      <c r="E86" s="353"/>
      <c r="F86" s="353"/>
      <c r="G86" s="353"/>
      <c r="H86" s="353"/>
      <c r="I86" s="354"/>
      <c r="J86" s="353"/>
    </row>
    <row r="87" spans="1:10">
      <c r="A87" s="350" t="s">
        <v>385</v>
      </c>
      <c r="B87" s="351">
        <v>10</v>
      </c>
      <c r="C87" s="352">
        <v>5.4</v>
      </c>
      <c r="D87" s="353">
        <f>C87*0.22</f>
        <v>1.1880000000000002</v>
      </c>
      <c r="E87" s="353"/>
      <c r="F87" s="357">
        <f>C87*0.9</f>
        <v>4.8600000000000003</v>
      </c>
      <c r="G87" s="353">
        <f>C87+D87+E87+F87</f>
        <v>11.448</v>
      </c>
      <c r="H87" s="353">
        <f>G87*0.35</f>
        <v>4.0068000000000001</v>
      </c>
      <c r="I87" s="354">
        <f>G87+H87</f>
        <v>15.454800000000001</v>
      </c>
      <c r="J87" s="353"/>
    </row>
    <row r="88" spans="1:10">
      <c r="A88" s="350"/>
      <c r="B88" s="351"/>
      <c r="C88" s="352"/>
      <c r="D88" s="353"/>
      <c r="E88" s="353"/>
      <c r="F88" s="353"/>
      <c r="G88" s="353"/>
      <c r="H88" s="353"/>
      <c r="I88" s="354"/>
      <c r="J88" s="353"/>
    </row>
    <row r="89" spans="1:10">
      <c r="A89" s="358" t="s">
        <v>1125</v>
      </c>
      <c r="B89" s="359"/>
      <c r="C89" s="347">
        <f>C90+C91</f>
        <v>19.05</v>
      </c>
      <c r="D89" s="347">
        <f>C89*0.22</f>
        <v>4.1909999999999998</v>
      </c>
      <c r="E89" s="347"/>
      <c r="F89" s="347">
        <f>C89*0.9</f>
        <v>17.145</v>
      </c>
      <c r="G89" s="347">
        <f>C89+D89+E89+F89</f>
        <v>40.385999999999996</v>
      </c>
      <c r="H89" s="347">
        <f>G89*0.35</f>
        <v>14.135099999999998</v>
      </c>
      <c r="I89" s="348">
        <f>G89+H89</f>
        <v>54.52109999999999</v>
      </c>
      <c r="J89" s="349">
        <f>I89+I92+I93</f>
        <v>65.339459999999988</v>
      </c>
    </row>
    <row r="90" spans="1:10">
      <c r="A90" s="360" t="s">
        <v>258</v>
      </c>
      <c r="B90" s="360">
        <v>15</v>
      </c>
      <c r="C90" s="352">
        <v>10.5</v>
      </c>
      <c r="D90" s="353"/>
      <c r="E90" s="352"/>
      <c r="F90" s="353"/>
      <c r="G90" s="353"/>
      <c r="H90" s="353"/>
      <c r="I90" s="354"/>
      <c r="J90" s="353"/>
    </row>
    <row r="91" spans="1:10">
      <c r="A91" s="360" t="s">
        <v>337</v>
      </c>
      <c r="B91" s="360">
        <v>15</v>
      </c>
      <c r="C91" s="352">
        <v>8.5500000000000007</v>
      </c>
      <c r="D91" s="353"/>
      <c r="E91" s="352"/>
      <c r="F91" s="353"/>
      <c r="G91" s="353"/>
      <c r="H91" s="353"/>
      <c r="I91" s="354"/>
      <c r="J91" s="353"/>
    </row>
    <row r="92" spans="1:10">
      <c r="A92" s="350" t="s">
        <v>385</v>
      </c>
      <c r="B92" s="360">
        <v>7</v>
      </c>
      <c r="C92" s="352">
        <v>3.78</v>
      </c>
      <c r="D92" s="353">
        <f>C92*0.22</f>
        <v>0.83160000000000001</v>
      </c>
      <c r="E92" s="353"/>
      <c r="F92" s="353">
        <f>C92*0.9</f>
        <v>3.4019999999999997</v>
      </c>
      <c r="G92" s="353">
        <f>C92+D92+E92+F92</f>
        <v>8.0136000000000003</v>
      </c>
      <c r="H92" s="353">
        <f>G92*0.35</f>
        <v>2.8047599999999999</v>
      </c>
      <c r="I92" s="354">
        <f>G92+H92</f>
        <v>10.81836</v>
      </c>
      <c r="J92" s="353"/>
    </row>
    <row r="93" spans="1:10">
      <c r="A93" s="350"/>
      <c r="B93" s="360"/>
      <c r="C93" s="352"/>
      <c r="D93" s="353"/>
      <c r="E93" s="353"/>
      <c r="F93" s="353"/>
      <c r="G93" s="353"/>
      <c r="H93" s="353"/>
      <c r="I93" s="354"/>
      <c r="J93" s="353"/>
    </row>
    <row r="94" spans="1:10">
      <c r="A94" s="358" t="s">
        <v>1126</v>
      </c>
      <c r="B94" s="359"/>
      <c r="C94" s="347">
        <f>C95+C96</f>
        <v>22.5</v>
      </c>
      <c r="D94" s="347">
        <f>C94*0.22</f>
        <v>4.95</v>
      </c>
      <c r="E94" s="347"/>
      <c r="F94" s="347">
        <f>C94*0.9</f>
        <v>20.25</v>
      </c>
      <c r="G94" s="347">
        <f>C94+D94+E94+F94</f>
        <v>47.7</v>
      </c>
      <c r="H94" s="347">
        <f>G94*0.35</f>
        <v>16.695</v>
      </c>
      <c r="I94" s="348">
        <f>G94+H94</f>
        <v>64.39500000000001</v>
      </c>
      <c r="J94" s="349">
        <f>I94+I97+I98</f>
        <v>75.213360000000009</v>
      </c>
    </row>
    <row r="95" spans="1:10">
      <c r="A95" s="360" t="s">
        <v>258</v>
      </c>
      <c r="B95" s="360">
        <v>15</v>
      </c>
      <c r="C95" s="352">
        <v>13.95</v>
      </c>
      <c r="D95" s="353"/>
      <c r="E95" s="352"/>
      <c r="F95" s="353"/>
      <c r="G95" s="353"/>
      <c r="H95" s="353"/>
      <c r="I95" s="354"/>
      <c r="J95" s="353"/>
    </row>
    <row r="96" spans="1:10">
      <c r="A96" s="360" t="s">
        <v>337</v>
      </c>
      <c r="B96" s="360">
        <v>15</v>
      </c>
      <c r="C96" s="352">
        <v>8.5500000000000007</v>
      </c>
      <c r="D96" s="353"/>
      <c r="E96" s="352"/>
      <c r="F96" s="353"/>
      <c r="G96" s="353"/>
      <c r="H96" s="353"/>
      <c r="I96" s="354"/>
      <c r="J96" s="353"/>
    </row>
    <row r="97" spans="1:10">
      <c r="A97" s="350" t="s">
        <v>385</v>
      </c>
      <c r="B97" s="351">
        <v>7</v>
      </c>
      <c r="C97" s="352">
        <v>3.78</v>
      </c>
      <c r="D97" s="353">
        <f>C97*0.22</f>
        <v>0.83160000000000001</v>
      </c>
      <c r="E97" s="353"/>
      <c r="F97" s="357">
        <f>C97*0.9</f>
        <v>3.4019999999999997</v>
      </c>
      <c r="G97" s="353">
        <f>C97+D97+E97+F97</f>
        <v>8.0136000000000003</v>
      </c>
      <c r="H97" s="353">
        <f>G97*0.35</f>
        <v>2.8047599999999999</v>
      </c>
      <c r="I97" s="354">
        <f>G97+H97</f>
        <v>10.81836</v>
      </c>
      <c r="J97" s="353"/>
    </row>
    <row r="98" spans="1:10">
      <c r="A98" s="350"/>
      <c r="B98" s="351"/>
      <c r="C98" s="352"/>
      <c r="D98" s="353"/>
      <c r="E98" s="353"/>
      <c r="F98" s="353"/>
      <c r="G98" s="353"/>
      <c r="H98" s="353"/>
      <c r="I98" s="354"/>
      <c r="J98" s="353"/>
    </row>
    <row r="99" spans="1:10">
      <c r="A99" s="358" t="s">
        <v>1127</v>
      </c>
      <c r="B99" s="359"/>
      <c r="C99" s="347">
        <f>C100+C101</f>
        <v>30</v>
      </c>
      <c r="D99" s="347">
        <f>C99*0.22</f>
        <v>6.6</v>
      </c>
      <c r="E99" s="347"/>
      <c r="F99" s="347">
        <f>C99*0.9</f>
        <v>27</v>
      </c>
      <c r="G99" s="347">
        <f>C99+D99+E99+F99</f>
        <v>63.6</v>
      </c>
      <c r="H99" s="347">
        <f>G99*0.35</f>
        <v>22.259999999999998</v>
      </c>
      <c r="I99" s="348">
        <f>G99+H99</f>
        <v>85.86</v>
      </c>
      <c r="J99" s="349">
        <f>I99+I102+I103</f>
        <v>101.31480000000001</v>
      </c>
    </row>
    <row r="100" spans="1:10">
      <c r="A100" s="360" t="s">
        <v>258</v>
      </c>
      <c r="B100" s="360">
        <v>20</v>
      </c>
      <c r="C100" s="352">
        <v>18.600000000000001</v>
      </c>
      <c r="D100" s="353"/>
      <c r="E100" s="352"/>
      <c r="F100" s="353"/>
      <c r="G100" s="353"/>
      <c r="H100" s="353"/>
      <c r="I100" s="354"/>
      <c r="J100" s="353"/>
    </row>
    <row r="101" spans="1:10">
      <c r="A101" s="360" t="s">
        <v>337</v>
      </c>
      <c r="B101" s="360">
        <v>20</v>
      </c>
      <c r="C101" s="352">
        <v>11.4</v>
      </c>
      <c r="D101" s="353"/>
      <c r="E101" s="352"/>
      <c r="F101" s="353"/>
      <c r="G101" s="353"/>
      <c r="H101" s="353"/>
      <c r="I101" s="354"/>
      <c r="J101" s="353"/>
    </row>
    <row r="102" spans="1:10">
      <c r="A102" s="350" t="s">
        <v>385</v>
      </c>
      <c r="B102" s="351">
        <v>10</v>
      </c>
      <c r="C102" s="352">
        <v>5.4</v>
      </c>
      <c r="D102" s="353">
        <f>C102*0.22</f>
        <v>1.1880000000000002</v>
      </c>
      <c r="E102" s="353"/>
      <c r="F102" s="357">
        <f>C102*0.9</f>
        <v>4.8600000000000003</v>
      </c>
      <c r="G102" s="353">
        <f>C102+D102+E102+F102</f>
        <v>11.448</v>
      </c>
      <c r="H102" s="353">
        <f>G102*0.35</f>
        <v>4.0068000000000001</v>
      </c>
      <c r="I102" s="354">
        <f>G102+H102</f>
        <v>15.454800000000001</v>
      </c>
      <c r="J102" s="353"/>
    </row>
    <row r="103" spans="1:10">
      <c r="A103" s="350"/>
      <c r="B103" s="351"/>
      <c r="C103" s="352"/>
      <c r="D103" s="353"/>
      <c r="E103" s="353"/>
      <c r="F103" s="353"/>
      <c r="G103" s="353"/>
      <c r="H103" s="353"/>
      <c r="I103" s="354"/>
      <c r="J103" s="353"/>
    </row>
    <row r="104" spans="1:10">
      <c r="A104" s="358" t="s">
        <v>1128</v>
      </c>
      <c r="B104" s="359"/>
      <c r="C104" s="347">
        <f>C105+C106</f>
        <v>18.899999999999999</v>
      </c>
      <c r="D104" s="347">
        <f>C104*0.22</f>
        <v>4.1579999999999995</v>
      </c>
      <c r="E104" s="347"/>
      <c r="F104" s="347">
        <f>C104*0.9</f>
        <v>17.009999999999998</v>
      </c>
      <c r="G104" s="347">
        <f>C104+D104+E104+F104</f>
        <v>40.067999999999998</v>
      </c>
      <c r="H104" s="347">
        <f>G104*0.35</f>
        <v>14.023799999999998</v>
      </c>
      <c r="I104" s="348">
        <f>G104+H104</f>
        <v>54.091799999999992</v>
      </c>
      <c r="J104" s="349">
        <f>I104+I107+I108</f>
        <v>64.910159999999991</v>
      </c>
    </row>
    <row r="105" spans="1:10">
      <c r="A105" s="360" t="s">
        <v>258</v>
      </c>
      <c r="B105" s="360">
        <v>15</v>
      </c>
      <c r="C105" s="352">
        <v>10.35</v>
      </c>
      <c r="D105" s="353"/>
      <c r="E105" s="352"/>
      <c r="F105" s="353"/>
      <c r="G105" s="353"/>
      <c r="H105" s="353"/>
      <c r="I105" s="354"/>
      <c r="J105" s="355"/>
    </row>
    <row r="106" spans="1:10">
      <c r="A106" s="360" t="s">
        <v>337</v>
      </c>
      <c r="B106" s="360">
        <v>15</v>
      </c>
      <c r="C106" s="352">
        <v>8.5500000000000007</v>
      </c>
      <c r="D106" s="353"/>
      <c r="E106" s="352"/>
      <c r="F106" s="353"/>
      <c r="G106" s="353"/>
      <c r="H106" s="353"/>
      <c r="I106" s="354"/>
      <c r="J106" s="355"/>
    </row>
    <row r="107" spans="1:10">
      <c r="A107" s="350" t="s">
        <v>385</v>
      </c>
      <c r="B107" s="351">
        <v>7</v>
      </c>
      <c r="C107" s="352">
        <v>3.78</v>
      </c>
      <c r="D107" s="353">
        <f>C107*0.22</f>
        <v>0.83160000000000001</v>
      </c>
      <c r="E107" s="353"/>
      <c r="F107" s="357">
        <f>C107*0.9</f>
        <v>3.4019999999999997</v>
      </c>
      <c r="G107" s="353">
        <f>C107+D107+E107+F107</f>
        <v>8.0136000000000003</v>
      </c>
      <c r="H107" s="353">
        <f>G107*0.35</f>
        <v>2.8047599999999999</v>
      </c>
      <c r="I107" s="354">
        <f>G107+H107</f>
        <v>10.81836</v>
      </c>
      <c r="J107" s="355"/>
    </row>
    <row r="108" spans="1:10">
      <c r="A108" s="350"/>
      <c r="B108" s="351"/>
      <c r="C108" s="352"/>
      <c r="D108" s="353"/>
      <c r="E108" s="353"/>
      <c r="F108" s="353"/>
      <c r="G108" s="353"/>
      <c r="H108" s="353"/>
      <c r="I108" s="354"/>
      <c r="J108" s="355"/>
    </row>
    <row r="109" spans="1:10">
      <c r="A109" s="358" t="s">
        <v>1129</v>
      </c>
      <c r="B109" s="359"/>
      <c r="C109" s="347">
        <f>C110+C111</f>
        <v>25.200000000000003</v>
      </c>
      <c r="D109" s="347">
        <f>C109*0.22</f>
        <v>5.5440000000000005</v>
      </c>
      <c r="E109" s="347"/>
      <c r="F109" s="347">
        <f>C109*0.9</f>
        <v>22.680000000000003</v>
      </c>
      <c r="G109" s="347">
        <f>C109+D109+E109+F109</f>
        <v>53.424000000000007</v>
      </c>
      <c r="H109" s="347">
        <f>G109*0.35</f>
        <v>18.698399999999999</v>
      </c>
      <c r="I109" s="348">
        <f>G109+H109</f>
        <v>72.122399999999999</v>
      </c>
      <c r="J109" s="349">
        <f>I109+I112+I113</f>
        <v>87.577200000000005</v>
      </c>
    </row>
    <row r="110" spans="1:10">
      <c r="A110" s="360" t="s">
        <v>258</v>
      </c>
      <c r="B110" s="360">
        <v>20</v>
      </c>
      <c r="C110" s="352">
        <v>13.8</v>
      </c>
      <c r="D110" s="353"/>
      <c r="E110" s="352"/>
      <c r="F110" s="353"/>
      <c r="G110" s="353"/>
      <c r="H110" s="353"/>
      <c r="I110" s="354"/>
      <c r="J110" s="353"/>
    </row>
    <row r="111" spans="1:10">
      <c r="A111" s="360" t="s">
        <v>337</v>
      </c>
      <c r="B111" s="360">
        <v>20</v>
      </c>
      <c r="C111" s="352">
        <v>11.4</v>
      </c>
      <c r="D111" s="353"/>
      <c r="E111" s="352"/>
      <c r="F111" s="353"/>
      <c r="G111" s="353"/>
      <c r="H111" s="353"/>
      <c r="I111" s="354"/>
      <c r="J111" s="353"/>
    </row>
    <row r="112" spans="1:10">
      <c r="A112" s="350" t="s">
        <v>385</v>
      </c>
      <c r="B112" s="351">
        <v>10</v>
      </c>
      <c r="C112" s="352">
        <v>5.4</v>
      </c>
      <c r="D112" s="353">
        <f>C112*0.22</f>
        <v>1.1880000000000002</v>
      </c>
      <c r="E112" s="353"/>
      <c r="F112" s="357">
        <f>C112*0.9</f>
        <v>4.8600000000000003</v>
      </c>
      <c r="G112" s="353">
        <f>C112+D112+E112+F112</f>
        <v>11.448</v>
      </c>
      <c r="H112" s="353">
        <f>G112*0.35</f>
        <v>4.0068000000000001</v>
      </c>
      <c r="I112" s="354">
        <f>G112+H112</f>
        <v>15.454800000000001</v>
      </c>
      <c r="J112" s="353"/>
    </row>
    <row r="113" spans="1:10">
      <c r="A113" s="350"/>
      <c r="B113" s="351"/>
      <c r="C113" s="352"/>
      <c r="D113" s="353"/>
      <c r="E113" s="353"/>
      <c r="F113" s="353"/>
      <c r="G113" s="353"/>
      <c r="H113" s="353"/>
      <c r="I113" s="354"/>
      <c r="J113" s="353"/>
    </row>
    <row r="114" spans="1:10">
      <c r="A114" s="358" t="s">
        <v>1130</v>
      </c>
      <c r="B114" s="359"/>
      <c r="C114" s="347">
        <f>C115+C116</f>
        <v>18.149999999999999</v>
      </c>
      <c r="D114" s="347">
        <f>C114*0.22</f>
        <v>3.9929999999999999</v>
      </c>
      <c r="E114" s="347"/>
      <c r="F114" s="347">
        <f>C114*0.9</f>
        <v>16.335000000000001</v>
      </c>
      <c r="G114" s="347">
        <f>C114+D114+E114+F114</f>
        <v>38.477999999999994</v>
      </c>
      <c r="H114" s="347">
        <f>G114*0.35</f>
        <v>13.467299999999998</v>
      </c>
      <c r="I114" s="348">
        <f>G114+H114</f>
        <v>51.945299999999989</v>
      </c>
      <c r="J114" s="349">
        <f>I114+I117+I118</f>
        <v>62.763659999999987</v>
      </c>
    </row>
    <row r="115" spans="1:10">
      <c r="A115" s="360" t="s">
        <v>258</v>
      </c>
      <c r="B115" s="360">
        <v>15</v>
      </c>
      <c r="C115" s="352">
        <v>9.6</v>
      </c>
      <c r="D115" s="353"/>
      <c r="E115" s="352"/>
      <c r="F115" s="353"/>
      <c r="G115" s="353"/>
      <c r="H115" s="353"/>
      <c r="I115" s="354"/>
      <c r="J115" s="353"/>
    </row>
    <row r="116" spans="1:10">
      <c r="A116" s="360" t="s">
        <v>337</v>
      </c>
      <c r="B116" s="360">
        <v>15</v>
      </c>
      <c r="C116" s="352">
        <v>8.5500000000000007</v>
      </c>
      <c r="D116" s="353"/>
      <c r="E116" s="352"/>
      <c r="F116" s="353"/>
      <c r="G116" s="353"/>
      <c r="H116" s="353"/>
      <c r="I116" s="354"/>
      <c r="J116" s="353"/>
    </row>
    <row r="117" spans="1:10">
      <c r="A117" s="350" t="s">
        <v>385</v>
      </c>
      <c r="B117" s="351">
        <v>7</v>
      </c>
      <c r="C117" s="352">
        <v>3.78</v>
      </c>
      <c r="D117" s="353">
        <f>C117*0.22</f>
        <v>0.83160000000000001</v>
      </c>
      <c r="E117" s="353"/>
      <c r="F117" s="357">
        <f>C117*0.9</f>
        <v>3.4019999999999997</v>
      </c>
      <c r="G117" s="353">
        <f>C117+D117+E117+F117</f>
        <v>8.0136000000000003</v>
      </c>
      <c r="H117" s="353">
        <f>G117*0.35</f>
        <v>2.8047599999999999</v>
      </c>
      <c r="I117" s="354">
        <f>G117+H117</f>
        <v>10.81836</v>
      </c>
      <c r="J117" s="353"/>
    </row>
    <row r="118" spans="1:10">
      <c r="A118" s="350"/>
      <c r="B118" s="351"/>
      <c r="C118" s="352"/>
      <c r="D118" s="353"/>
      <c r="E118" s="353"/>
      <c r="F118" s="353"/>
      <c r="G118" s="353"/>
      <c r="H118" s="353"/>
      <c r="I118" s="354"/>
      <c r="J118" s="353"/>
    </row>
    <row r="119" spans="1:10">
      <c r="A119" s="358" t="s">
        <v>1131</v>
      </c>
      <c r="B119" s="359"/>
      <c r="C119" s="347">
        <f>C120+C121</f>
        <v>24.200000000000003</v>
      </c>
      <c r="D119" s="347">
        <f>C119*0.22</f>
        <v>5.3240000000000007</v>
      </c>
      <c r="E119" s="347"/>
      <c r="F119" s="347">
        <f>C119*0.9</f>
        <v>21.780000000000005</v>
      </c>
      <c r="G119" s="347">
        <f>C119+D119+E119+F119</f>
        <v>51.304000000000009</v>
      </c>
      <c r="H119" s="347">
        <f>G119*0.35</f>
        <v>17.956400000000002</v>
      </c>
      <c r="I119" s="348">
        <f>G119+H119</f>
        <v>69.260400000000004</v>
      </c>
      <c r="J119" s="349">
        <f>I119+I122+I123</f>
        <v>84.71520000000001</v>
      </c>
    </row>
    <row r="120" spans="1:10">
      <c r="A120" s="360" t="s">
        <v>258</v>
      </c>
      <c r="B120" s="360">
        <v>20</v>
      </c>
      <c r="C120" s="352">
        <v>12.8</v>
      </c>
      <c r="D120" s="353"/>
      <c r="E120" s="352"/>
      <c r="F120" s="353"/>
      <c r="G120" s="353"/>
      <c r="H120" s="353"/>
      <c r="I120" s="354"/>
      <c r="J120" s="353"/>
    </row>
    <row r="121" spans="1:10">
      <c r="A121" s="360" t="s">
        <v>337</v>
      </c>
      <c r="B121" s="360">
        <v>20</v>
      </c>
      <c r="C121" s="352">
        <v>11.4</v>
      </c>
      <c r="D121" s="353"/>
      <c r="E121" s="352"/>
      <c r="F121" s="353"/>
      <c r="G121" s="353"/>
      <c r="H121" s="353"/>
      <c r="I121" s="354"/>
      <c r="J121" s="353"/>
    </row>
    <row r="122" spans="1:10">
      <c r="A122" s="350" t="s">
        <v>385</v>
      </c>
      <c r="B122" s="351">
        <v>10</v>
      </c>
      <c r="C122" s="352">
        <v>5.4</v>
      </c>
      <c r="D122" s="353">
        <f>C122*0.22</f>
        <v>1.1880000000000002</v>
      </c>
      <c r="E122" s="353"/>
      <c r="F122" s="357">
        <f>C122*0.9</f>
        <v>4.8600000000000003</v>
      </c>
      <c r="G122" s="353">
        <f>C122+D122+E122+F122</f>
        <v>11.448</v>
      </c>
      <c r="H122" s="353">
        <f>G122*0.35</f>
        <v>4.0068000000000001</v>
      </c>
      <c r="I122" s="354">
        <f>G122+H122</f>
        <v>15.454800000000001</v>
      </c>
      <c r="J122" s="353"/>
    </row>
    <row r="123" spans="1:10">
      <c r="A123" s="350"/>
      <c r="B123" s="351"/>
      <c r="C123" s="352"/>
      <c r="D123" s="353"/>
      <c r="E123" s="353"/>
      <c r="F123" s="353"/>
      <c r="G123" s="353"/>
      <c r="H123" s="353"/>
      <c r="I123" s="354"/>
      <c r="J123" s="353"/>
    </row>
    <row r="124" spans="1:10">
      <c r="A124" s="358" t="s">
        <v>1132</v>
      </c>
      <c r="B124" s="359"/>
      <c r="C124" s="347">
        <f>C125+C126</f>
        <v>19.66</v>
      </c>
      <c r="D124" s="347">
        <f>C124*0.22</f>
        <v>4.3251999999999997</v>
      </c>
      <c r="E124" s="347"/>
      <c r="F124" s="347">
        <f>C124*0.9</f>
        <v>17.693999999999999</v>
      </c>
      <c r="G124" s="347">
        <f>C124+D124+E124+F124</f>
        <v>41.679199999999994</v>
      </c>
      <c r="H124" s="347">
        <f>G124*0.35</f>
        <v>14.587719999999997</v>
      </c>
      <c r="I124" s="348">
        <f>G124+H124</f>
        <v>56.266919999999992</v>
      </c>
      <c r="J124" s="349">
        <f>I124+I127+I128</f>
        <v>67.085279999999997</v>
      </c>
    </row>
    <row r="125" spans="1:10">
      <c r="A125" s="360" t="s">
        <v>258</v>
      </c>
      <c r="B125" s="360">
        <v>15</v>
      </c>
      <c r="C125" s="352">
        <v>11.11</v>
      </c>
      <c r="D125" s="353"/>
      <c r="E125" s="352"/>
      <c r="F125" s="353"/>
      <c r="G125" s="353"/>
      <c r="H125" s="353"/>
      <c r="I125" s="354"/>
      <c r="J125" s="353"/>
    </row>
    <row r="126" spans="1:10">
      <c r="A126" s="360" t="s">
        <v>337</v>
      </c>
      <c r="B126" s="360">
        <v>15</v>
      </c>
      <c r="C126" s="352">
        <v>8.5500000000000007</v>
      </c>
      <c r="D126" s="353"/>
      <c r="E126" s="352"/>
      <c r="F126" s="353"/>
      <c r="G126" s="353"/>
      <c r="H126" s="353"/>
      <c r="I126" s="354"/>
      <c r="J126" s="353"/>
    </row>
    <row r="127" spans="1:10">
      <c r="A127" s="350" t="s">
        <v>385</v>
      </c>
      <c r="B127" s="351">
        <v>7</v>
      </c>
      <c r="C127" s="352">
        <v>3.78</v>
      </c>
      <c r="D127" s="353">
        <f>C127*0.22</f>
        <v>0.83160000000000001</v>
      </c>
      <c r="E127" s="353"/>
      <c r="F127" s="357">
        <f>C127*0.9</f>
        <v>3.4019999999999997</v>
      </c>
      <c r="G127" s="353">
        <f>C127+D127+E127+F127</f>
        <v>8.0136000000000003</v>
      </c>
      <c r="H127" s="353">
        <f>G127*0.35</f>
        <v>2.8047599999999999</v>
      </c>
      <c r="I127" s="354">
        <f>G127+H127</f>
        <v>10.81836</v>
      </c>
      <c r="J127" s="353"/>
    </row>
    <row r="128" spans="1:10">
      <c r="A128" s="350"/>
      <c r="B128" s="351"/>
      <c r="C128" s="352"/>
      <c r="D128" s="353"/>
      <c r="E128" s="353"/>
      <c r="F128" s="353"/>
      <c r="G128" s="353"/>
      <c r="H128" s="353"/>
      <c r="I128" s="354"/>
      <c r="J128" s="353"/>
    </row>
    <row r="129" spans="1:10">
      <c r="A129" s="358" t="s">
        <v>1133</v>
      </c>
      <c r="B129" s="359"/>
      <c r="C129" s="347">
        <f>C130+C131</f>
        <v>26.21</v>
      </c>
      <c r="D129" s="347">
        <f>C129*0.22</f>
        <v>5.7662000000000004</v>
      </c>
      <c r="E129" s="347"/>
      <c r="F129" s="347">
        <f>C129*0.9</f>
        <v>23.589000000000002</v>
      </c>
      <c r="G129" s="347">
        <f>C129+D129+E129+F129</f>
        <v>55.565200000000004</v>
      </c>
      <c r="H129" s="347">
        <f>G129*0.35</f>
        <v>19.44782</v>
      </c>
      <c r="I129" s="348">
        <f>G129+H129</f>
        <v>75.013020000000012</v>
      </c>
      <c r="J129" s="349">
        <f>I129+I132+I133</f>
        <v>90.467820000000017</v>
      </c>
    </row>
    <row r="130" spans="1:10">
      <c r="A130" s="360" t="s">
        <v>258</v>
      </c>
      <c r="B130" s="360">
        <v>20</v>
      </c>
      <c r="C130" s="352">
        <v>14.81</v>
      </c>
      <c r="D130" s="353"/>
      <c r="E130" s="352"/>
      <c r="F130" s="353"/>
      <c r="G130" s="353"/>
      <c r="H130" s="353"/>
      <c r="I130" s="354"/>
      <c r="J130" s="355"/>
    </row>
    <row r="131" spans="1:10">
      <c r="A131" s="360" t="s">
        <v>337</v>
      </c>
      <c r="B131" s="360">
        <v>20</v>
      </c>
      <c r="C131" s="352">
        <v>11.4</v>
      </c>
      <c r="D131" s="353"/>
      <c r="E131" s="352"/>
      <c r="F131" s="353"/>
      <c r="G131" s="353"/>
      <c r="H131" s="353"/>
      <c r="I131" s="354"/>
      <c r="J131" s="355"/>
    </row>
    <row r="132" spans="1:10">
      <c r="A132" s="350" t="s">
        <v>385</v>
      </c>
      <c r="B132" s="351">
        <v>10</v>
      </c>
      <c r="C132" s="352">
        <v>5.4</v>
      </c>
      <c r="D132" s="353">
        <f>C132*0.22</f>
        <v>1.1880000000000002</v>
      </c>
      <c r="E132" s="353"/>
      <c r="F132" s="357">
        <f>C132*0.9</f>
        <v>4.8600000000000003</v>
      </c>
      <c r="G132" s="353">
        <f>C132+D132+E132+F132</f>
        <v>11.448</v>
      </c>
      <c r="H132" s="353">
        <f>G132*0.35</f>
        <v>4.0068000000000001</v>
      </c>
      <c r="I132" s="354">
        <f>G132+H132</f>
        <v>15.454800000000001</v>
      </c>
      <c r="J132" s="355"/>
    </row>
    <row r="133" spans="1:10">
      <c r="A133" s="350"/>
      <c r="B133" s="351"/>
      <c r="C133" s="352"/>
      <c r="D133" s="353"/>
      <c r="E133" s="353"/>
      <c r="F133" s="353"/>
      <c r="G133" s="353"/>
      <c r="H133" s="353"/>
      <c r="I133" s="354"/>
      <c r="J133" s="355"/>
    </row>
    <row r="134" spans="1:10">
      <c r="A134" s="358" t="s">
        <v>1134</v>
      </c>
      <c r="B134" s="359"/>
      <c r="C134" s="347">
        <f>C135+C136</f>
        <v>19.8</v>
      </c>
      <c r="D134" s="347">
        <f>C134*0.22</f>
        <v>4.3559999999999999</v>
      </c>
      <c r="E134" s="347"/>
      <c r="F134" s="347">
        <f>C134*0.9</f>
        <v>17.82</v>
      </c>
      <c r="G134" s="347">
        <f>C134+D134+E134+F134</f>
        <v>41.975999999999999</v>
      </c>
      <c r="H134" s="347">
        <f>G134*0.35</f>
        <v>14.691599999999999</v>
      </c>
      <c r="I134" s="348">
        <f>G134+H134</f>
        <v>56.6676</v>
      </c>
      <c r="J134" s="349">
        <f>I134+I137+I138</f>
        <v>67.485960000000006</v>
      </c>
    </row>
    <row r="135" spans="1:10">
      <c r="A135" s="360" t="s">
        <v>258</v>
      </c>
      <c r="B135" s="360">
        <v>15</v>
      </c>
      <c r="C135" s="352">
        <v>11.25</v>
      </c>
      <c r="D135" s="353"/>
      <c r="E135" s="352"/>
      <c r="F135" s="353"/>
      <c r="G135" s="353"/>
      <c r="H135" s="353"/>
      <c r="I135" s="354"/>
      <c r="J135" s="353"/>
    </row>
    <row r="136" spans="1:10">
      <c r="A136" s="360" t="s">
        <v>337</v>
      </c>
      <c r="B136" s="360">
        <v>15</v>
      </c>
      <c r="C136" s="352">
        <v>8.5500000000000007</v>
      </c>
      <c r="D136" s="353"/>
      <c r="E136" s="352"/>
      <c r="F136" s="353"/>
      <c r="G136" s="353"/>
      <c r="H136" s="353"/>
      <c r="I136" s="354"/>
      <c r="J136" s="353"/>
    </row>
    <row r="137" spans="1:10">
      <c r="A137" s="350" t="s">
        <v>385</v>
      </c>
      <c r="B137" s="351">
        <v>7</v>
      </c>
      <c r="C137" s="352">
        <v>3.78</v>
      </c>
      <c r="D137" s="353">
        <f>C137*0.22</f>
        <v>0.83160000000000001</v>
      </c>
      <c r="E137" s="353"/>
      <c r="F137" s="357">
        <f>C137*0.9</f>
        <v>3.4019999999999997</v>
      </c>
      <c r="G137" s="353">
        <f>C137+D137+E137+F137</f>
        <v>8.0136000000000003</v>
      </c>
      <c r="H137" s="353">
        <f>G137*0.35</f>
        <v>2.8047599999999999</v>
      </c>
      <c r="I137" s="354">
        <f>G137+H137</f>
        <v>10.81836</v>
      </c>
      <c r="J137" s="353"/>
    </row>
    <row r="138" spans="1:10">
      <c r="A138" s="350"/>
      <c r="B138" s="351"/>
      <c r="C138" s="352"/>
      <c r="D138" s="353"/>
      <c r="E138" s="353"/>
      <c r="F138" s="353"/>
      <c r="G138" s="353"/>
      <c r="H138" s="353"/>
      <c r="I138" s="354"/>
      <c r="J138" s="353"/>
    </row>
    <row r="139" spans="1:10">
      <c r="A139" s="358" t="s">
        <v>1135</v>
      </c>
      <c r="B139" s="359"/>
      <c r="C139" s="347">
        <f>C140+C141</f>
        <v>26.4</v>
      </c>
      <c r="D139" s="347">
        <f>C139*0.22</f>
        <v>5.8079999999999998</v>
      </c>
      <c r="E139" s="347"/>
      <c r="F139" s="347">
        <f>C139*0.9</f>
        <v>23.759999999999998</v>
      </c>
      <c r="G139" s="347">
        <f>C139+D139+E139+F139</f>
        <v>55.967999999999996</v>
      </c>
      <c r="H139" s="347">
        <f>G139*0.35</f>
        <v>19.588799999999999</v>
      </c>
      <c r="I139" s="348">
        <f>G139+H139</f>
        <v>75.556799999999996</v>
      </c>
      <c r="J139" s="349">
        <f>I139+I142+I143</f>
        <v>86.375159999999994</v>
      </c>
    </row>
    <row r="140" spans="1:10">
      <c r="A140" s="360" t="s">
        <v>258</v>
      </c>
      <c r="B140" s="360">
        <v>20</v>
      </c>
      <c r="C140" s="352">
        <v>15</v>
      </c>
      <c r="D140" s="353"/>
      <c r="E140" s="352"/>
      <c r="F140" s="353"/>
      <c r="G140" s="353"/>
      <c r="H140" s="353"/>
      <c r="I140" s="354"/>
      <c r="J140" s="353"/>
    </row>
    <row r="141" spans="1:10">
      <c r="A141" s="360" t="s">
        <v>337</v>
      </c>
      <c r="B141" s="360">
        <v>20</v>
      </c>
      <c r="C141" s="352">
        <v>11.4</v>
      </c>
      <c r="D141" s="353"/>
      <c r="E141" s="352"/>
      <c r="F141" s="353"/>
      <c r="G141" s="353"/>
      <c r="H141" s="353"/>
      <c r="I141" s="354"/>
      <c r="J141" s="353"/>
    </row>
    <row r="142" spans="1:10">
      <c r="A142" s="350" t="s">
        <v>385</v>
      </c>
      <c r="B142" s="351">
        <v>7</v>
      </c>
      <c r="C142" s="352">
        <v>3.78</v>
      </c>
      <c r="D142" s="353">
        <f>C142*0.22</f>
        <v>0.83160000000000001</v>
      </c>
      <c r="E142" s="353"/>
      <c r="F142" s="357">
        <f>C142*0.9</f>
        <v>3.4019999999999997</v>
      </c>
      <c r="G142" s="353">
        <f>C142+D142+E142+F142</f>
        <v>8.0136000000000003</v>
      </c>
      <c r="H142" s="353">
        <f>G142*0.35</f>
        <v>2.8047599999999999</v>
      </c>
      <c r="I142" s="354">
        <f>G142+H142</f>
        <v>10.81836</v>
      </c>
      <c r="J142" s="353"/>
    </row>
    <row r="143" spans="1:10">
      <c r="A143" s="350"/>
      <c r="B143" s="351"/>
      <c r="C143" s="352"/>
      <c r="D143" s="353"/>
      <c r="E143" s="353"/>
      <c r="F143" s="353"/>
      <c r="G143" s="353"/>
      <c r="H143" s="353"/>
      <c r="I143" s="354"/>
      <c r="J143" s="353"/>
    </row>
    <row r="144" spans="1:10">
      <c r="A144" s="358" t="s">
        <v>1136</v>
      </c>
      <c r="B144" s="359"/>
      <c r="C144" s="347">
        <f>C145+C146</f>
        <v>18.899999999999999</v>
      </c>
      <c r="D144" s="347">
        <f>C144*0.22</f>
        <v>4.1579999999999995</v>
      </c>
      <c r="E144" s="347"/>
      <c r="F144" s="347">
        <f>C144*0.9</f>
        <v>17.009999999999998</v>
      </c>
      <c r="G144" s="347">
        <f>C144+D144+E144+F144</f>
        <v>40.067999999999998</v>
      </c>
      <c r="H144" s="347">
        <f>G144*0.35</f>
        <v>14.023799999999998</v>
      </c>
      <c r="I144" s="348">
        <f>G144+H144</f>
        <v>54.091799999999992</v>
      </c>
      <c r="J144" s="349">
        <f>I144+I147+I148</f>
        <v>64.910159999999991</v>
      </c>
    </row>
    <row r="145" spans="1:10">
      <c r="A145" s="360" t="s">
        <v>258</v>
      </c>
      <c r="B145" s="360">
        <v>15</v>
      </c>
      <c r="C145" s="352">
        <v>10.35</v>
      </c>
      <c r="D145" s="353"/>
      <c r="E145" s="352"/>
      <c r="F145" s="353"/>
      <c r="G145" s="353"/>
      <c r="H145" s="353"/>
      <c r="I145" s="354"/>
      <c r="J145" s="353"/>
    </row>
    <row r="146" spans="1:10">
      <c r="A146" s="360" t="s">
        <v>337</v>
      </c>
      <c r="B146" s="360">
        <v>15</v>
      </c>
      <c r="C146" s="352">
        <v>8.5500000000000007</v>
      </c>
      <c r="D146" s="353"/>
      <c r="E146" s="352"/>
      <c r="F146" s="353"/>
      <c r="G146" s="353"/>
      <c r="H146" s="353"/>
      <c r="I146" s="354"/>
      <c r="J146" s="353"/>
    </row>
    <row r="147" spans="1:10">
      <c r="A147" s="350" t="s">
        <v>385</v>
      </c>
      <c r="B147" s="351">
        <v>7</v>
      </c>
      <c r="C147" s="352">
        <v>3.78</v>
      </c>
      <c r="D147" s="353">
        <f>C147*0.22</f>
        <v>0.83160000000000001</v>
      </c>
      <c r="E147" s="353"/>
      <c r="F147" s="357">
        <f>C147*0.9</f>
        <v>3.4019999999999997</v>
      </c>
      <c r="G147" s="353">
        <f>C147+D147+E147+F147</f>
        <v>8.0136000000000003</v>
      </c>
      <c r="H147" s="353">
        <f>G147*0.35</f>
        <v>2.8047599999999999</v>
      </c>
      <c r="I147" s="354">
        <f>G147+H147</f>
        <v>10.81836</v>
      </c>
      <c r="J147" s="353"/>
    </row>
    <row r="148" spans="1:10">
      <c r="A148" s="350"/>
      <c r="B148" s="351"/>
      <c r="C148" s="352"/>
      <c r="D148" s="353"/>
      <c r="E148" s="353"/>
      <c r="F148" s="353"/>
      <c r="G148" s="353"/>
      <c r="H148" s="353"/>
      <c r="I148" s="354"/>
      <c r="J148" s="353"/>
    </row>
    <row r="149" spans="1:10">
      <c r="A149" s="358" t="s">
        <v>1137</v>
      </c>
      <c r="B149" s="359"/>
      <c r="C149" s="347">
        <f>C150+C151</f>
        <v>25.200000000000003</v>
      </c>
      <c r="D149" s="347">
        <f>C149*0.22</f>
        <v>5.5440000000000005</v>
      </c>
      <c r="E149" s="347"/>
      <c r="F149" s="347">
        <f>C149*0.9</f>
        <v>22.680000000000003</v>
      </c>
      <c r="G149" s="347">
        <f>C149+D149+E149+F149</f>
        <v>53.424000000000007</v>
      </c>
      <c r="H149" s="347">
        <f>G149*0.35</f>
        <v>18.698399999999999</v>
      </c>
      <c r="I149" s="348">
        <f>G149+H149</f>
        <v>72.122399999999999</v>
      </c>
      <c r="J149" s="349">
        <f>I149+I152+I153</f>
        <v>87.577200000000005</v>
      </c>
    </row>
    <row r="150" spans="1:10">
      <c r="A150" s="360" t="s">
        <v>258</v>
      </c>
      <c r="B150" s="360">
        <v>20</v>
      </c>
      <c r="C150" s="352">
        <v>13.8</v>
      </c>
      <c r="D150" s="353"/>
      <c r="E150" s="352"/>
      <c r="F150" s="353"/>
      <c r="G150" s="353"/>
      <c r="H150" s="353"/>
      <c r="I150" s="354"/>
      <c r="J150" s="355"/>
    </row>
    <row r="151" spans="1:10">
      <c r="A151" s="360" t="s">
        <v>337</v>
      </c>
      <c r="B151" s="360">
        <v>20</v>
      </c>
      <c r="C151" s="352">
        <v>11.4</v>
      </c>
      <c r="D151" s="353"/>
      <c r="E151" s="352"/>
      <c r="F151" s="353"/>
      <c r="G151" s="353"/>
      <c r="H151" s="353"/>
      <c r="I151" s="354"/>
      <c r="J151" s="355"/>
    </row>
    <row r="152" spans="1:10">
      <c r="A152" s="350" t="s">
        <v>385</v>
      </c>
      <c r="B152" s="351">
        <v>10</v>
      </c>
      <c r="C152" s="352">
        <v>5.4</v>
      </c>
      <c r="D152" s="353">
        <f>C152*0.22</f>
        <v>1.1880000000000002</v>
      </c>
      <c r="E152" s="353"/>
      <c r="F152" s="357">
        <f>C152*0.9</f>
        <v>4.8600000000000003</v>
      </c>
      <c r="G152" s="353">
        <f>C152+D152+E152+F152</f>
        <v>11.448</v>
      </c>
      <c r="H152" s="353">
        <f>G152*0.35</f>
        <v>4.0068000000000001</v>
      </c>
      <c r="I152" s="354">
        <f>G152+H152</f>
        <v>15.454800000000001</v>
      </c>
      <c r="J152" s="355"/>
    </row>
    <row r="153" spans="1:10">
      <c r="A153" s="350"/>
      <c r="B153" s="351"/>
      <c r="C153" s="352"/>
      <c r="D153" s="353"/>
      <c r="E153" s="353"/>
      <c r="F153" s="353"/>
      <c r="G153" s="353"/>
      <c r="H153" s="353"/>
      <c r="I153" s="354"/>
      <c r="J153" s="355"/>
    </row>
    <row r="154" spans="1:10">
      <c r="A154" s="358" t="s">
        <v>1138</v>
      </c>
      <c r="B154" s="359"/>
      <c r="C154" s="347">
        <f>C155+C156</f>
        <v>22.5</v>
      </c>
      <c r="D154" s="347">
        <f>C154*0.22</f>
        <v>4.95</v>
      </c>
      <c r="E154" s="347"/>
      <c r="F154" s="347">
        <f>C154*0.9</f>
        <v>20.25</v>
      </c>
      <c r="G154" s="347">
        <f>C154+D154+E154+F154</f>
        <v>47.7</v>
      </c>
      <c r="H154" s="347">
        <f>G154*0.35</f>
        <v>16.695</v>
      </c>
      <c r="I154" s="348">
        <f>G154+H154</f>
        <v>64.39500000000001</v>
      </c>
      <c r="J154" s="349">
        <f>I154+I157+I158</f>
        <v>75.213360000000009</v>
      </c>
    </row>
    <row r="155" spans="1:10">
      <c r="A155" s="360" t="s">
        <v>258</v>
      </c>
      <c r="B155" s="360">
        <v>15</v>
      </c>
      <c r="C155" s="352">
        <v>13.95</v>
      </c>
      <c r="D155" s="353"/>
      <c r="E155" s="352"/>
      <c r="F155" s="353"/>
      <c r="G155" s="353"/>
      <c r="H155" s="353"/>
      <c r="I155" s="354"/>
      <c r="J155" s="353"/>
    </row>
    <row r="156" spans="1:10">
      <c r="A156" s="360" t="s">
        <v>1139</v>
      </c>
      <c r="B156" s="360">
        <v>15</v>
      </c>
      <c r="C156" s="352">
        <v>8.5500000000000007</v>
      </c>
      <c r="D156" s="353"/>
      <c r="E156" s="352"/>
      <c r="F156" s="353"/>
      <c r="G156" s="353"/>
      <c r="H156" s="353"/>
      <c r="I156" s="354"/>
      <c r="J156" s="353"/>
    </row>
    <row r="157" spans="1:10">
      <c r="A157" s="350" t="s">
        <v>385</v>
      </c>
      <c r="B157" s="351">
        <v>7</v>
      </c>
      <c r="C157" s="352">
        <v>3.78</v>
      </c>
      <c r="D157" s="353">
        <f>C157*0.22</f>
        <v>0.83160000000000001</v>
      </c>
      <c r="E157" s="353"/>
      <c r="F157" s="357">
        <f>C157*0.9</f>
        <v>3.4019999999999997</v>
      </c>
      <c r="G157" s="353">
        <f>C157+D157+E157+F157</f>
        <v>8.0136000000000003</v>
      </c>
      <c r="H157" s="353">
        <f>G157*0.35</f>
        <v>2.8047599999999999</v>
      </c>
      <c r="I157" s="354">
        <f>G157+H157</f>
        <v>10.81836</v>
      </c>
      <c r="J157" s="353"/>
    </row>
    <row r="158" spans="1:10">
      <c r="A158" s="350"/>
      <c r="B158" s="351"/>
      <c r="C158" s="352"/>
      <c r="D158" s="353"/>
      <c r="E158" s="353"/>
      <c r="F158" s="353"/>
      <c r="G158" s="353"/>
      <c r="H158" s="353"/>
      <c r="I158" s="354"/>
      <c r="J158" s="353"/>
    </row>
    <row r="159" spans="1:10">
      <c r="A159" s="358" t="s">
        <v>1140</v>
      </c>
      <c r="B159" s="359"/>
      <c r="C159" s="347">
        <f>C160+C161</f>
        <v>21.450000000000003</v>
      </c>
      <c r="D159" s="347">
        <f>C159*0.22</f>
        <v>4.7190000000000003</v>
      </c>
      <c r="E159" s="347"/>
      <c r="F159" s="347">
        <f>C159*0.9</f>
        <v>19.305000000000003</v>
      </c>
      <c r="G159" s="347">
        <f>C159+D159+E159+F159</f>
        <v>45.474000000000004</v>
      </c>
      <c r="H159" s="347">
        <f>G159*0.35</f>
        <v>15.915900000000001</v>
      </c>
      <c r="I159" s="348">
        <f>G159+H159</f>
        <v>61.389900000000004</v>
      </c>
      <c r="J159" s="349">
        <f>I159+I162+I163</f>
        <v>72.20826000000001</v>
      </c>
    </row>
    <row r="160" spans="1:10">
      <c r="A160" s="360" t="s">
        <v>258</v>
      </c>
      <c r="B160" s="360">
        <v>15</v>
      </c>
      <c r="C160" s="352">
        <v>12.9</v>
      </c>
      <c r="D160" s="353"/>
      <c r="E160" s="352"/>
      <c r="F160" s="353"/>
      <c r="G160" s="353"/>
      <c r="H160" s="353"/>
      <c r="I160" s="354"/>
      <c r="J160" s="355"/>
    </row>
    <row r="161" spans="1:10">
      <c r="A161" s="360" t="s">
        <v>337</v>
      </c>
      <c r="B161" s="360">
        <v>15</v>
      </c>
      <c r="C161" s="352">
        <v>8.5500000000000007</v>
      </c>
      <c r="D161" s="353"/>
      <c r="E161" s="352"/>
      <c r="F161" s="353"/>
      <c r="G161" s="353"/>
      <c r="H161" s="353"/>
      <c r="I161" s="354"/>
      <c r="J161" s="355"/>
    </row>
    <row r="162" spans="1:10">
      <c r="A162" s="350" t="s">
        <v>385</v>
      </c>
      <c r="B162" s="351">
        <v>7</v>
      </c>
      <c r="C162" s="352">
        <v>3.78</v>
      </c>
      <c r="D162" s="353">
        <f>C162*0.22</f>
        <v>0.83160000000000001</v>
      </c>
      <c r="E162" s="353"/>
      <c r="F162" s="357">
        <f>C162*0.9</f>
        <v>3.4019999999999997</v>
      </c>
      <c r="G162" s="353">
        <f>C162+D162+E162+F162</f>
        <v>8.0136000000000003</v>
      </c>
      <c r="H162" s="353">
        <f>G162*0.35</f>
        <v>2.8047599999999999</v>
      </c>
      <c r="I162" s="354">
        <f>G162+H162</f>
        <v>10.81836</v>
      </c>
      <c r="J162" s="355"/>
    </row>
    <row r="163" spans="1:10">
      <c r="A163" s="350"/>
      <c r="B163" s="351"/>
      <c r="C163" s="352"/>
      <c r="D163" s="353"/>
      <c r="E163" s="353"/>
      <c r="F163" s="353"/>
      <c r="G163" s="353"/>
      <c r="H163" s="353"/>
      <c r="I163" s="354"/>
      <c r="J163" s="355"/>
    </row>
    <row r="164" spans="1:10">
      <c r="A164" s="358" t="s">
        <v>1141</v>
      </c>
      <c r="B164" s="359"/>
      <c r="C164" s="347">
        <f>C165+C166</f>
        <v>28.6</v>
      </c>
      <c r="D164" s="347">
        <f>C164*0.22</f>
        <v>6.2920000000000007</v>
      </c>
      <c r="E164" s="347"/>
      <c r="F164" s="347">
        <f>C164*0.9</f>
        <v>25.740000000000002</v>
      </c>
      <c r="G164" s="347">
        <f>C164+D164+E164+F164</f>
        <v>60.632000000000005</v>
      </c>
      <c r="H164" s="347">
        <f>G164*0.35</f>
        <v>21.2212</v>
      </c>
      <c r="I164" s="348">
        <f>G164+H164</f>
        <v>81.853200000000001</v>
      </c>
      <c r="J164" s="349">
        <f>I164+I167+I168</f>
        <v>97.308000000000007</v>
      </c>
    </row>
    <row r="165" spans="1:10">
      <c r="A165" s="360" t="s">
        <v>258</v>
      </c>
      <c r="B165" s="360">
        <v>20</v>
      </c>
      <c r="C165" s="352">
        <v>17.2</v>
      </c>
      <c r="D165" s="353"/>
      <c r="E165" s="352"/>
      <c r="F165" s="353"/>
      <c r="G165" s="353"/>
      <c r="H165" s="353"/>
      <c r="I165" s="354"/>
      <c r="J165" s="353"/>
    </row>
    <row r="166" spans="1:10">
      <c r="A166" s="360" t="s">
        <v>337</v>
      </c>
      <c r="B166" s="360">
        <v>20</v>
      </c>
      <c r="C166" s="352">
        <v>11.4</v>
      </c>
      <c r="D166" s="353"/>
      <c r="E166" s="352"/>
      <c r="F166" s="353"/>
      <c r="G166" s="353"/>
      <c r="H166" s="353"/>
      <c r="I166" s="354"/>
      <c r="J166" s="353"/>
    </row>
    <row r="167" spans="1:10">
      <c r="A167" s="350" t="s">
        <v>385</v>
      </c>
      <c r="B167" s="351">
        <v>10</v>
      </c>
      <c r="C167" s="352">
        <v>5.4</v>
      </c>
      <c r="D167" s="353">
        <f>C167*0.22</f>
        <v>1.1880000000000002</v>
      </c>
      <c r="E167" s="353"/>
      <c r="F167" s="357">
        <f>C167*0.9</f>
        <v>4.8600000000000003</v>
      </c>
      <c r="G167" s="353">
        <f>C167+D167+E167+F167</f>
        <v>11.448</v>
      </c>
      <c r="H167" s="353">
        <f>G167*0.35</f>
        <v>4.0068000000000001</v>
      </c>
      <c r="I167" s="354">
        <f>G167+H167</f>
        <v>15.454800000000001</v>
      </c>
      <c r="J167" s="353"/>
    </row>
    <row r="168" spans="1:10">
      <c r="A168" s="350"/>
      <c r="B168" s="351"/>
      <c r="C168" s="352"/>
      <c r="D168" s="353"/>
      <c r="E168" s="353"/>
      <c r="F168" s="353"/>
      <c r="G168" s="353"/>
      <c r="H168" s="353"/>
      <c r="I168" s="354"/>
      <c r="J168" s="353"/>
    </row>
    <row r="169" spans="1:10">
      <c r="A169" s="358" t="s">
        <v>1142</v>
      </c>
      <c r="B169" s="359"/>
      <c r="C169" s="347">
        <f>C170+C171</f>
        <v>33.75</v>
      </c>
      <c r="D169" s="347">
        <f>C169*0.22</f>
        <v>7.4249999999999998</v>
      </c>
      <c r="E169" s="347"/>
      <c r="F169" s="347">
        <f>C169*0.9</f>
        <v>30.375</v>
      </c>
      <c r="G169" s="347">
        <f>C169+D169+E169+F169</f>
        <v>71.55</v>
      </c>
      <c r="H169" s="347">
        <f>G169*0.35</f>
        <v>25.042499999999997</v>
      </c>
      <c r="I169" s="348">
        <f>G169+H169</f>
        <v>96.592500000000001</v>
      </c>
      <c r="J169" s="349">
        <f>I169+I172+I173</f>
        <v>130.59306000000001</v>
      </c>
    </row>
    <row r="170" spans="1:10">
      <c r="A170" s="360" t="s">
        <v>258</v>
      </c>
      <c r="B170" s="360">
        <v>30</v>
      </c>
      <c r="C170" s="352">
        <v>25.2</v>
      </c>
      <c r="D170" s="353"/>
      <c r="E170" s="353"/>
      <c r="F170" s="353"/>
      <c r="G170" s="353"/>
      <c r="H170" s="353"/>
      <c r="I170" s="354"/>
      <c r="J170" s="353"/>
    </row>
    <row r="171" spans="1:10">
      <c r="A171" s="360" t="s">
        <v>337</v>
      </c>
      <c r="B171" s="360">
        <v>15</v>
      </c>
      <c r="C171" s="352">
        <v>8.5500000000000007</v>
      </c>
      <c r="D171" s="353"/>
      <c r="E171" s="353"/>
      <c r="F171" s="353"/>
      <c r="G171" s="353"/>
      <c r="H171" s="353"/>
      <c r="I171" s="354"/>
      <c r="J171" s="353"/>
    </row>
    <row r="172" spans="1:10">
      <c r="A172" s="350" t="s">
        <v>385</v>
      </c>
      <c r="B172" s="351">
        <v>22</v>
      </c>
      <c r="C172" s="352">
        <v>11.88</v>
      </c>
      <c r="D172" s="353">
        <f>C172*0.22</f>
        <v>2.6136000000000004</v>
      </c>
      <c r="E172" s="353"/>
      <c r="F172" s="357">
        <f>C172*0.9</f>
        <v>10.692</v>
      </c>
      <c r="G172" s="353">
        <f>C172+D172+E172+F172</f>
        <v>25.185600000000001</v>
      </c>
      <c r="H172" s="353">
        <f>G172*0.35</f>
        <v>8.8149599999999992</v>
      </c>
      <c r="I172" s="354">
        <f>G172+H172</f>
        <v>34.00056</v>
      </c>
      <c r="J172" s="353"/>
    </row>
    <row r="173" spans="1:10">
      <c r="A173" s="350"/>
      <c r="B173" s="351"/>
      <c r="C173" s="352"/>
      <c r="D173" s="353"/>
      <c r="E173" s="353"/>
      <c r="F173" s="353"/>
      <c r="G173" s="353"/>
      <c r="H173" s="353"/>
      <c r="I173" s="354"/>
      <c r="J173" s="353"/>
    </row>
    <row r="174" spans="1:10">
      <c r="A174" s="358" t="s">
        <v>1143</v>
      </c>
      <c r="B174" s="359"/>
      <c r="C174" s="347">
        <f>C175+C176</f>
        <v>16.5</v>
      </c>
      <c r="D174" s="347">
        <f>C174*0.22</f>
        <v>3.63</v>
      </c>
      <c r="E174" s="347"/>
      <c r="F174" s="347">
        <f>C174*0.9</f>
        <v>14.85</v>
      </c>
      <c r="G174" s="347">
        <f>C174+D174+E174+F174</f>
        <v>34.979999999999997</v>
      </c>
      <c r="H174" s="347">
        <f>G174*0.35</f>
        <v>12.242999999999999</v>
      </c>
      <c r="I174" s="348">
        <f>G174+H174</f>
        <v>47.222999999999999</v>
      </c>
      <c r="J174" s="349">
        <f>I174+I177+I178</f>
        <v>58.041359999999997</v>
      </c>
    </row>
    <row r="175" spans="1:10">
      <c r="A175" s="360" t="s">
        <v>258</v>
      </c>
      <c r="B175" s="360">
        <v>15</v>
      </c>
      <c r="C175" s="352">
        <v>7.95</v>
      </c>
      <c r="D175" s="353"/>
      <c r="E175" s="353"/>
      <c r="F175" s="353"/>
      <c r="G175" s="353"/>
      <c r="H175" s="353"/>
      <c r="I175" s="354"/>
      <c r="J175" s="355"/>
    </row>
    <row r="176" spans="1:10">
      <c r="A176" s="360" t="s">
        <v>337</v>
      </c>
      <c r="B176" s="360">
        <v>15</v>
      </c>
      <c r="C176" s="352">
        <v>8.5500000000000007</v>
      </c>
      <c r="D176" s="353"/>
      <c r="E176" s="353"/>
      <c r="F176" s="353"/>
      <c r="G176" s="353"/>
      <c r="H176" s="353"/>
      <c r="I176" s="354"/>
      <c r="J176" s="355"/>
    </row>
    <row r="177" spans="1:10">
      <c r="A177" s="350" t="s">
        <v>385</v>
      </c>
      <c r="B177" s="351">
        <v>7</v>
      </c>
      <c r="C177" s="352">
        <v>3.78</v>
      </c>
      <c r="D177" s="353">
        <f>C177*0.22</f>
        <v>0.83160000000000001</v>
      </c>
      <c r="E177" s="353"/>
      <c r="F177" s="357">
        <f>C177*0.9</f>
        <v>3.4019999999999997</v>
      </c>
      <c r="G177" s="353">
        <f>C177+D177+E177+F177</f>
        <v>8.0136000000000003</v>
      </c>
      <c r="H177" s="353">
        <f>G177*0.35</f>
        <v>2.8047599999999999</v>
      </c>
      <c r="I177" s="354">
        <f>G177+H177</f>
        <v>10.81836</v>
      </c>
      <c r="J177" s="355"/>
    </row>
    <row r="178" spans="1:10">
      <c r="A178" s="350"/>
      <c r="B178" s="351"/>
      <c r="C178" s="352"/>
      <c r="D178" s="353"/>
      <c r="E178" s="353"/>
      <c r="F178" s="353"/>
      <c r="G178" s="353"/>
      <c r="H178" s="353"/>
      <c r="I178" s="354"/>
      <c r="J178" s="355"/>
    </row>
    <row r="179" spans="1:10">
      <c r="A179" s="358" t="s">
        <v>1144</v>
      </c>
      <c r="B179" s="359"/>
      <c r="C179" s="347">
        <f>C180+C181</f>
        <v>16.649999999999999</v>
      </c>
      <c r="D179" s="347">
        <f>C179*0.22</f>
        <v>3.6629999999999998</v>
      </c>
      <c r="E179" s="347"/>
      <c r="F179" s="347">
        <f>C179*0.9</f>
        <v>14.984999999999999</v>
      </c>
      <c r="G179" s="347">
        <f>C179+D179+E179+F179</f>
        <v>35.298000000000002</v>
      </c>
      <c r="H179" s="347">
        <f>G179*0.35</f>
        <v>12.3543</v>
      </c>
      <c r="I179" s="348">
        <f>G179+H179</f>
        <v>47.652300000000004</v>
      </c>
      <c r="J179" s="349">
        <f>I179+I182+I183</f>
        <v>58.470660000000002</v>
      </c>
    </row>
    <row r="180" spans="1:10">
      <c r="A180" s="360" t="s">
        <v>258</v>
      </c>
      <c r="B180" s="360">
        <v>15</v>
      </c>
      <c r="C180" s="352">
        <v>8.1</v>
      </c>
      <c r="D180" s="353"/>
      <c r="E180" s="353"/>
      <c r="F180" s="353"/>
      <c r="G180" s="353"/>
      <c r="H180" s="353"/>
      <c r="I180" s="354"/>
      <c r="J180" s="353"/>
    </row>
    <row r="181" spans="1:10">
      <c r="A181" s="360" t="s">
        <v>337</v>
      </c>
      <c r="B181" s="360">
        <v>15</v>
      </c>
      <c r="C181" s="352">
        <v>8.5500000000000007</v>
      </c>
      <c r="D181" s="353"/>
      <c r="E181" s="353"/>
      <c r="F181" s="353"/>
      <c r="G181" s="353"/>
      <c r="H181" s="353"/>
      <c r="I181" s="354"/>
      <c r="J181" s="353"/>
    </row>
    <row r="182" spans="1:10">
      <c r="A182" s="350" t="s">
        <v>385</v>
      </c>
      <c r="B182" s="351">
        <v>7</v>
      </c>
      <c r="C182" s="352">
        <v>3.78</v>
      </c>
      <c r="D182" s="353">
        <f>C182*0.22</f>
        <v>0.83160000000000001</v>
      </c>
      <c r="E182" s="353"/>
      <c r="F182" s="357">
        <f>C182*0.9</f>
        <v>3.4019999999999997</v>
      </c>
      <c r="G182" s="353">
        <f>C182+D182+E182+F182</f>
        <v>8.0136000000000003</v>
      </c>
      <c r="H182" s="353">
        <f>G182*0.35</f>
        <v>2.8047599999999999</v>
      </c>
      <c r="I182" s="354">
        <f>G182+H182</f>
        <v>10.81836</v>
      </c>
      <c r="J182" s="353"/>
    </row>
    <row r="183" spans="1:10">
      <c r="A183" s="350"/>
      <c r="B183" s="351"/>
      <c r="C183" s="352"/>
      <c r="D183" s="353"/>
      <c r="E183" s="353"/>
      <c r="F183" s="353"/>
      <c r="G183" s="353"/>
      <c r="H183" s="353"/>
      <c r="I183" s="354"/>
      <c r="J183" s="353"/>
    </row>
    <row r="184" spans="1:10">
      <c r="A184" s="358" t="s">
        <v>1145</v>
      </c>
      <c r="B184" s="359"/>
      <c r="C184" s="347">
        <f>C185+C186</f>
        <v>19.8</v>
      </c>
      <c r="D184" s="347">
        <f>C184*0.22</f>
        <v>4.3559999999999999</v>
      </c>
      <c r="E184" s="347"/>
      <c r="F184" s="347">
        <f>C184*0.9</f>
        <v>17.82</v>
      </c>
      <c r="G184" s="347">
        <f>C184+D184+E184+F184</f>
        <v>41.975999999999999</v>
      </c>
      <c r="H184" s="347">
        <f>G184*0.35</f>
        <v>14.691599999999999</v>
      </c>
      <c r="I184" s="348">
        <f>G184+H184</f>
        <v>56.6676</v>
      </c>
      <c r="J184" s="349">
        <f>I184+I187+I188</f>
        <v>67.485960000000006</v>
      </c>
    </row>
    <row r="185" spans="1:10">
      <c r="A185" s="360" t="s">
        <v>258</v>
      </c>
      <c r="B185" s="360">
        <v>15</v>
      </c>
      <c r="C185" s="352">
        <v>11.25</v>
      </c>
      <c r="D185" s="353"/>
      <c r="E185" s="353"/>
      <c r="F185" s="353"/>
      <c r="G185" s="353"/>
      <c r="H185" s="353"/>
      <c r="I185" s="354"/>
      <c r="J185" s="355"/>
    </row>
    <row r="186" spans="1:10">
      <c r="A186" s="360" t="s">
        <v>337</v>
      </c>
      <c r="B186" s="360">
        <v>15</v>
      </c>
      <c r="C186" s="352">
        <v>8.5500000000000007</v>
      </c>
      <c r="D186" s="353"/>
      <c r="E186" s="353"/>
      <c r="F186" s="353"/>
      <c r="G186" s="353"/>
      <c r="H186" s="353"/>
      <c r="I186" s="354"/>
      <c r="J186" s="355"/>
    </row>
    <row r="187" spans="1:10">
      <c r="A187" s="350" t="s">
        <v>385</v>
      </c>
      <c r="B187" s="351">
        <v>7</v>
      </c>
      <c r="C187" s="352">
        <v>3.78</v>
      </c>
      <c r="D187" s="353">
        <f>C187*0.22</f>
        <v>0.83160000000000001</v>
      </c>
      <c r="E187" s="353"/>
      <c r="F187" s="357">
        <f>C187*0.9</f>
        <v>3.4019999999999997</v>
      </c>
      <c r="G187" s="353">
        <f>C187+D187+E187+F187</f>
        <v>8.0136000000000003</v>
      </c>
      <c r="H187" s="353">
        <f>G187*0.35</f>
        <v>2.8047599999999999</v>
      </c>
      <c r="I187" s="354">
        <f>G187+H187</f>
        <v>10.81836</v>
      </c>
      <c r="J187" s="355"/>
    </row>
    <row r="188" spans="1:10">
      <c r="A188" s="350"/>
      <c r="B188" s="351"/>
      <c r="C188" s="352"/>
      <c r="D188" s="353"/>
      <c r="E188" s="353"/>
      <c r="F188" s="353"/>
      <c r="G188" s="353"/>
      <c r="H188" s="353"/>
      <c r="I188" s="354"/>
      <c r="J188" s="355"/>
    </row>
    <row r="189" spans="1:10">
      <c r="A189" s="358" t="s">
        <v>1146</v>
      </c>
      <c r="B189" s="359"/>
      <c r="C189" s="347">
        <f>C190+C191</f>
        <v>18</v>
      </c>
      <c r="D189" s="347">
        <f>C189*0.22</f>
        <v>3.96</v>
      </c>
      <c r="E189" s="347"/>
      <c r="F189" s="347">
        <f>C189*0.9</f>
        <v>16.2</v>
      </c>
      <c r="G189" s="347">
        <f>C189+D189+E189+F189</f>
        <v>38.159999999999997</v>
      </c>
      <c r="H189" s="347">
        <f>G189*0.35</f>
        <v>13.355999999999998</v>
      </c>
      <c r="I189" s="348">
        <f>G189+H189</f>
        <v>51.515999999999991</v>
      </c>
      <c r="J189" s="349">
        <f>I189+I192+I193</f>
        <v>60.33095999999999</v>
      </c>
    </row>
    <row r="190" spans="1:10">
      <c r="A190" s="360" t="s">
        <v>258</v>
      </c>
      <c r="B190" s="360">
        <v>15</v>
      </c>
      <c r="C190" s="352">
        <v>9.4499999999999993</v>
      </c>
      <c r="D190" s="353"/>
      <c r="E190" s="353"/>
      <c r="F190" s="353"/>
      <c r="G190" s="353"/>
      <c r="H190" s="353"/>
      <c r="I190" s="354"/>
      <c r="J190" s="355"/>
    </row>
    <row r="191" spans="1:10">
      <c r="A191" s="360" t="s">
        <v>337</v>
      </c>
      <c r="B191" s="360">
        <v>15</v>
      </c>
      <c r="C191" s="352">
        <v>8.5500000000000007</v>
      </c>
      <c r="D191" s="353"/>
      <c r="E191" s="353"/>
      <c r="F191" s="353"/>
      <c r="G191" s="353"/>
      <c r="H191" s="353"/>
      <c r="I191" s="354"/>
      <c r="J191" s="355"/>
    </row>
    <row r="192" spans="1:10">
      <c r="A192" s="350" t="s">
        <v>385</v>
      </c>
      <c r="B192" s="351">
        <v>7</v>
      </c>
      <c r="C192" s="352">
        <v>3.08</v>
      </c>
      <c r="D192" s="353">
        <f>C192*0.22</f>
        <v>0.67759999999999998</v>
      </c>
      <c r="E192" s="353"/>
      <c r="F192" s="357">
        <f>C192*0.9</f>
        <v>2.7720000000000002</v>
      </c>
      <c r="G192" s="353">
        <f>C192+D192+E192+F192</f>
        <v>6.5296000000000003</v>
      </c>
      <c r="H192" s="353">
        <f>G192*0.35</f>
        <v>2.2853599999999998</v>
      </c>
      <c r="I192" s="354">
        <f>G192+H192</f>
        <v>8.8149599999999992</v>
      </c>
      <c r="J192" s="355"/>
    </row>
    <row r="193" spans="1:10">
      <c r="A193" s="350"/>
      <c r="B193" s="351"/>
      <c r="C193" s="352"/>
      <c r="D193" s="353"/>
      <c r="E193" s="353"/>
      <c r="F193" s="353"/>
      <c r="G193" s="353"/>
      <c r="H193" s="353"/>
      <c r="I193" s="354"/>
      <c r="J193" s="355"/>
    </row>
    <row r="194" spans="1:10">
      <c r="A194" s="358" t="s">
        <v>1147</v>
      </c>
      <c r="B194" s="359"/>
      <c r="C194" s="347">
        <f>C195+C196</f>
        <v>16.350000000000001</v>
      </c>
      <c r="D194" s="347">
        <f>C194*0.22</f>
        <v>3.5970000000000004</v>
      </c>
      <c r="E194" s="347"/>
      <c r="F194" s="347">
        <f>C194*0.9</f>
        <v>14.715000000000002</v>
      </c>
      <c r="G194" s="347">
        <f>C194+D194+E194+F194</f>
        <v>34.662000000000006</v>
      </c>
      <c r="H194" s="347">
        <f>G194*0.35</f>
        <v>12.131700000000002</v>
      </c>
      <c r="I194" s="348">
        <f>G194+H194</f>
        <v>46.793700000000008</v>
      </c>
      <c r="J194" s="349">
        <f>I194+I197+I198</f>
        <v>55.608660000000008</v>
      </c>
    </row>
    <row r="195" spans="1:10">
      <c r="A195" s="360" t="s">
        <v>258</v>
      </c>
      <c r="B195" s="360">
        <v>15</v>
      </c>
      <c r="C195" s="352">
        <v>7.8</v>
      </c>
      <c r="D195" s="353"/>
      <c r="E195" s="353"/>
      <c r="F195" s="353"/>
      <c r="G195" s="353"/>
      <c r="H195" s="353"/>
      <c r="I195" s="354"/>
      <c r="J195" s="355"/>
    </row>
    <row r="196" spans="1:10">
      <c r="A196" s="360" t="s">
        <v>337</v>
      </c>
      <c r="B196" s="360">
        <v>15</v>
      </c>
      <c r="C196" s="352">
        <v>8.5500000000000007</v>
      </c>
      <c r="D196" s="353"/>
      <c r="E196" s="353"/>
      <c r="F196" s="353"/>
      <c r="G196" s="353"/>
      <c r="H196" s="353"/>
      <c r="I196" s="354"/>
      <c r="J196" s="355"/>
    </row>
    <row r="197" spans="1:10">
      <c r="A197" s="350" t="s">
        <v>385</v>
      </c>
      <c r="B197" s="351">
        <v>7</v>
      </c>
      <c r="C197" s="352">
        <v>3.08</v>
      </c>
      <c r="D197" s="353">
        <f>C197*0.22</f>
        <v>0.67759999999999998</v>
      </c>
      <c r="E197" s="353"/>
      <c r="F197" s="357">
        <f>C197*0.9</f>
        <v>2.7720000000000002</v>
      </c>
      <c r="G197" s="353">
        <f>C197+D197+E197+F197</f>
        <v>6.5296000000000003</v>
      </c>
      <c r="H197" s="353">
        <f>G197*0.35</f>
        <v>2.2853599999999998</v>
      </c>
      <c r="I197" s="354">
        <f>G197+H197</f>
        <v>8.8149599999999992</v>
      </c>
      <c r="J197" s="355"/>
    </row>
    <row r="198" spans="1:10">
      <c r="A198" s="350"/>
      <c r="B198" s="351"/>
      <c r="C198" s="352"/>
      <c r="D198" s="353"/>
      <c r="E198" s="353"/>
      <c r="F198" s="353"/>
      <c r="G198" s="353"/>
      <c r="H198" s="353"/>
      <c r="I198" s="354"/>
      <c r="J198" s="355"/>
    </row>
    <row r="199" spans="1:10">
      <c r="A199" s="358" t="s">
        <v>1148</v>
      </c>
      <c r="B199" s="359"/>
      <c r="C199" s="347">
        <f>C200+C201</f>
        <v>22.5</v>
      </c>
      <c r="D199" s="347">
        <f>C199*0.22</f>
        <v>4.95</v>
      </c>
      <c r="E199" s="347"/>
      <c r="F199" s="347">
        <f>C199*0.9</f>
        <v>20.25</v>
      </c>
      <c r="G199" s="347">
        <f>C199+D199+E199+F199</f>
        <v>47.7</v>
      </c>
      <c r="H199" s="347">
        <f>G199*0.35</f>
        <v>16.695</v>
      </c>
      <c r="I199" s="348">
        <f>G199+H199</f>
        <v>64.39500000000001</v>
      </c>
      <c r="J199" s="349">
        <f>I199+I202+I203</f>
        <v>75.213360000000009</v>
      </c>
    </row>
    <row r="200" spans="1:10">
      <c r="A200" s="360" t="s">
        <v>258</v>
      </c>
      <c r="B200" s="360">
        <v>15</v>
      </c>
      <c r="C200" s="352">
        <v>13.95</v>
      </c>
      <c r="D200" s="353"/>
      <c r="E200" s="353"/>
      <c r="F200" s="353"/>
      <c r="G200" s="353"/>
      <c r="H200" s="353"/>
      <c r="I200" s="354"/>
      <c r="J200" s="355"/>
    </row>
    <row r="201" spans="1:10">
      <c r="A201" s="360" t="s">
        <v>337</v>
      </c>
      <c r="B201" s="360">
        <v>15</v>
      </c>
      <c r="C201" s="352">
        <v>8.5500000000000007</v>
      </c>
      <c r="D201" s="353"/>
      <c r="E201" s="353"/>
      <c r="F201" s="353"/>
      <c r="G201" s="353"/>
      <c r="H201" s="353"/>
      <c r="I201" s="354"/>
      <c r="J201" s="355"/>
    </row>
    <row r="202" spans="1:10">
      <c r="A202" s="350" t="s">
        <v>385</v>
      </c>
      <c r="B202" s="351">
        <v>7</v>
      </c>
      <c r="C202" s="352">
        <v>3.78</v>
      </c>
      <c r="D202" s="353">
        <f>C202*0.22</f>
        <v>0.83160000000000001</v>
      </c>
      <c r="E202" s="353"/>
      <c r="F202" s="357">
        <f>C202*0.9</f>
        <v>3.4019999999999997</v>
      </c>
      <c r="G202" s="353">
        <f>C202+D202+E202+F202</f>
        <v>8.0136000000000003</v>
      </c>
      <c r="H202" s="353">
        <f>G202*0.35</f>
        <v>2.8047599999999999</v>
      </c>
      <c r="I202" s="354">
        <f>G202+H202</f>
        <v>10.81836</v>
      </c>
      <c r="J202" s="355"/>
    </row>
    <row r="203" spans="1:10">
      <c r="A203" s="350"/>
      <c r="B203" s="351"/>
      <c r="C203" s="352"/>
      <c r="D203" s="353"/>
      <c r="E203" s="353"/>
      <c r="F203" s="353"/>
      <c r="G203" s="353"/>
      <c r="H203" s="353"/>
      <c r="I203" s="354"/>
      <c r="J203" s="355"/>
    </row>
    <row r="204" spans="1:10">
      <c r="A204" s="358" t="s">
        <v>1149</v>
      </c>
      <c r="B204" s="359"/>
      <c r="C204" s="347">
        <f>C205+C206</f>
        <v>20.55</v>
      </c>
      <c r="D204" s="347">
        <f>C204*0.22</f>
        <v>4.5209999999999999</v>
      </c>
      <c r="E204" s="347"/>
      <c r="F204" s="347">
        <f>C204*0.9</f>
        <v>18.495000000000001</v>
      </c>
      <c r="G204" s="347">
        <f>C204+D204+E204+F204</f>
        <v>43.566000000000003</v>
      </c>
      <c r="H204" s="347">
        <f>G204*0.35</f>
        <v>15.248099999999999</v>
      </c>
      <c r="I204" s="348">
        <f>G204+H204</f>
        <v>58.814100000000003</v>
      </c>
      <c r="J204" s="349">
        <f>I204+I207+I208</f>
        <v>69.632460000000009</v>
      </c>
    </row>
    <row r="205" spans="1:10">
      <c r="A205" s="360" t="s">
        <v>258</v>
      </c>
      <c r="B205" s="360">
        <v>15</v>
      </c>
      <c r="C205" s="352">
        <v>12</v>
      </c>
      <c r="D205" s="353"/>
      <c r="E205" s="353"/>
      <c r="F205" s="353"/>
      <c r="G205" s="353"/>
      <c r="H205" s="353"/>
      <c r="I205" s="354"/>
      <c r="J205" s="355"/>
    </row>
    <row r="206" spans="1:10">
      <c r="A206" s="360" t="s">
        <v>337</v>
      </c>
      <c r="B206" s="360">
        <v>15</v>
      </c>
      <c r="C206" s="352">
        <v>8.5500000000000007</v>
      </c>
      <c r="D206" s="353"/>
      <c r="E206" s="353"/>
      <c r="F206" s="353"/>
      <c r="G206" s="353"/>
      <c r="H206" s="353"/>
      <c r="I206" s="354"/>
      <c r="J206" s="355"/>
    </row>
    <row r="207" spans="1:10">
      <c r="A207" s="350" t="s">
        <v>385</v>
      </c>
      <c r="B207" s="351">
        <v>7</v>
      </c>
      <c r="C207" s="352">
        <v>3.78</v>
      </c>
      <c r="D207" s="353">
        <f>C207*0.22</f>
        <v>0.83160000000000001</v>
      </c>
      <c r="E207" s="353"/>
      <c r="F207" s="357">
        <f>C207*0.9</f>
        <v>3.4019999999999997</v>
      </c>
      <c r="G207" s="353">
        <f>C207+D207+E207+F207</f>
        <v>8.0136000000000003</v>
      </c>
      <c r="H207" s="353">
        <f>G207*0.35</f>
        <v>2.8047599999999999</v>
      </c>
      <c r="I207" s="354">
        <f>G207+H207</f>
        <v>10.81836</v>
      </c>
      <c r="J207" s="355"/>
    </row>
    <row r="208" spans="1:10">
      <c r="A208" s="350"/>
      <c r="B208" s="351"/>
      <c r="C208" s="352"/>
      <c r="D208" s="353"/>
      <c r="E208" s="353"/>
      <c r="F208" s="353"/>
      <c r="G208" s="353"/>
      <c r="H208" s="353"/>
      <c r="I208" s="354"/>
      <c r="J208" s="355"/>
    </row>
    <row r="209" spans="1:12">
      <c r="A209" s="358" t="s">
        <v>1150</v>
      </c>
      <c r="B209" s="359"/>
      <c r="C209" s="347">
        <f>C210+C211</f>
        <v>27.4</v>
      </c>
      <c r="D209" s="347">
        <f>C209*0.22</f>
        <v>6.0279999999999996</v>
      </c>
      <c r="E209" s="347"/>
      <c r="F209" s="347">
        <f>C209*0.9</f>
        <v>24.66</v>
      </c>
      <c r="G209" s="347">
        <f>C209+D209+E209+F209</f>
        <v>58.087999999999994</v>
      </c>
      <c r="H209" s="347">
        <f>G209*0.35</f>
        <v>20.330799999999996</v>
      </c>
      <c r="I209" s="348">
        <f>G209+H209</f>
        <v>78.41879999999999</v>
      </c>
      <c r="J209" s="349">
        <f>I209+I212+I213</f>
        <v>93.873599999999996</v>
      </c>
    </row>
    <row r="210" spans="1:12">
      <c r="A210" s="360" t="s">
        <v>258</v>
      </c>
      <c r="B210" s="360">
        <v>20</v>
      </c>
      <c r="C210" s="352">
        <v>16</v>
      </c>
      <c r="D210" s="353"/>
      <c r="E210" s="353"/>
      <c r="F210" s="353"/>
      <c r="G210" s="353"/>
      <c r="H210" s="353"/>
      <c r="I210" s="354"/>
      <c r="J210" s="355"/>
    </row>
    <row r="211" spans="1:12">
      <c r="A211" s="360" t="s">
        <v>337</v>
      </c>
      <c r="B211" s="360">
        <v>20</v>
      </c>
      <c r="C211" s="352">
        <v>11.4</v>
      </c>
      <c r="D211" s="353"/>
      <c r="E211" s="353"/>
      <c r="F211" s="353"/>
      <c r="G211" s="353"/>
      <c r="H211" s="353"/>
      <c r="I211" s="354"/>
      <c r="J211" s="355"/>
    </row>
    <row r="212" spans="1:12">
      <c r="A212" s="350" t="s">
        <v>385</v>
      </c>
      <c r="B212" s="351">
        <v>10</v>
      </c>
      <c r="C212" s="352">
        <v>5.4</v>
      </c>
      <c r="D212" s="353">
        <f>C212*0.22</f>
        <v>1.1880000000000002</v>
      </c>
      <c r="E212" s="353"/>
      <c r="F212" s="357">
        <f>C212*0.9</f>
        <v>4.8600000000000003</v>
      </c>
      <c r="G212" s="353">
        <f>C212+D212+E212+F212</f>
        <v>11.448</v>
      </c>
      <c r="H212" s="353">
        <f>G212*0.35</f>
        <v>4.0068000000000001</v>
      </c>
      <c r="I212" s="354">
        <f>G212+H212</f>
        <v>15.454800000000001</v>
      </c>
      <c r="J212" s="355"/>
    </row>
    <row r="213" spans="1:12">
      <c r="A213" s="350"/>
      <c r="B213" s="351"/>
      <c r="C213" s="352"/>
      <c r="D213" s="353"/>
      <c r="E213" s="353"/>
      <c r="F213" s="353"/>
      <c r="G213" s="353"/>
      <c r="H213" s="353"/>
      <c r="I213" s="354"/>
      <c r="J213" s="353"/>
    </row>
    <row r="214" spans="1:12">
      <c r="A214" s="358" t="s">
        <v>1151</v>
      </c>
      <c r="B214" s="359"/>
      <c r="C214" s="347">
        <f>C215+C216</f>
        <v>21.3</v>
      </c>
      <c r="D214" s="347">
        <f>C214*0.22</f>
        <v>4.6859999999999999</v>
      </c>
      <c r="E214" s="347"/>
      <c r="F214" s="347">
        <f>C214*0.9</f>
        <v>19.170000000000002</v>
      </c>
      <c r="G214" s="347">
        <f>C214+D214+E214+F214</f>
        <v>45.156000000000006</v>
      </c>
      <c r="H214" s="347">
        <f>G214*0.35</f>
        <v>15.804600000000001</v>
      </c>
      <c r="I214" s="348">
        <f>G214+H214</f>
        <v>60.960600000000007</v>
      </c>
      <c r="J214" s="349">
        <f>I214+I217</f>
        <v>71.778960000000012</v>
      </c>
    </row>
    <row r="215" spans="1:12">
      <c r="A215" s="360" t="s">
        <v>258</v>
      </c>
      <c r="B215" s="360">
        <v>15</v>
      </c>
      <c r="C215" s="352">
        <v>12.75</v>
      </c>
      <c r="D215" s="353"/>
      <c r="E215" s="353"/>
      <c r="F215" s="353"/>
      <c r="G215" s="353"/>
      <c r="H215" s="353"/>
      <c r="I215" s="354"/>
      <c r="J215" s="355"/>
    </row>
    <row r="216" spans="1:12">
      <c r="A216" s="360" t="s">
        <v>337</v>
      </c>
      <c r="B216" s="360">
        <v>15</v>
      </c>
      <c r="C216" s="352">
        <v>8.5500000000000007</v>
      </c>
      <c r="D216" s="353"/>
      <c r="E216" s="353"/>
      <c r="F216" s="353"/>
      <c r="G216" s="353"/>
      <c r="H216" s="353"/>
      <c r="I216" s="354"/>
      <c r="J216" s="355"/>
    </row>
    <row r="217" spans="1:12">
      <c r="A217" s="350" t="s">
        <v>385</v>
      </c>
      <c r="B217" s="351">
        <v>7</v>
      </c>
      <c r="C217" s="352">
        <v>3.78</v>
      </c>
      <c r="D217" s="353">
        <f>C217*0.22</f>
        <v>0.83160000000000001</v>
      </c>
      <c r="E217" s="353"/>
      <c r="F217" s="357">
        <f>C217*0.9</f>
        <v>3.4019999999999997</v>
      </c>
      <c r="G217" s="353">
        <f>C217+D217+E217+F217</f>
        <v>8.0136000000000003</v>
      </c>
      <c r="H217" s="353">
        <f>G217*0.35</f>
        <v>2.8047599999999999</v>
      </c>
      <c r="I217" s="354">
        <f>G217+H217</f>
        <v>10.81836</v>
      </c>
      <c r="J217" s="355"/>
    </row>
    <row r="218" spans="1:12">
      <c r="A218" s="361"/>
      <c r="B218" s="362"/>
      <c r="C218" s="363"/>
      <c r="D218" s="364"/>
      <c r="E218" s="365"/>
      <c r="F218" s="364"/>
      <c r="G218" s="364"/>
      <c r="H218" s="364"/>
      <c r="I218" s="366"/>
      <c r="J218" s="367"/>
    </row>
    <row r="219" spans="1:12" ht="12.75">
      <c r="A219" s="368" t="s">
        <v>1152</v>
      </c>
      <c r="B219" s="369"/>
      <c r="C219" s="369"/>
      <c r="D219" s="369"/>
      <c r="E219" s="369"/>
      <c r="F219" s="369"/>
      <c r="G219" s="369"/>
      <c r="H219" s="369"/>
      <c r="I219" s="369"/>
      <c r="J219" s="370"/>
      <c r="K219" s="371"/>
    </row>
    <row r="220" spans="1:12" ht="32.25">
      <c r="A220" s="372" t="s">
        <v>1153</v>
      </c>
      <c r="B220" s="359"/>
      <c r="C220" s="347">
        <f>C221+C222</f>
        <v>25.35</v>
      </c>
      <c r="D220" s="347">
        <f>C220*0.22</f>
        <v>5.577</v>
      </c>
      <c r="E220" s="347">
        <f>'[1]матеріали для МО'!F28</f>
        <v>6.34</v>
      </c>
      <c r="F220" s="347">
        <f>C220*0.9</f>
        <v>22.815000000000001</v>
      </c>
      <c r="G220" s="347">
        <f>C220+D220+E220+F220</f>
        <v>60.081999999999994</v>
      </c>
      <c r="H220" s="347">
        <f>G220*0.35</f>
        <v>21.028699999999997</v>
      </c>
      <c r="I220" s="348">
        <f>G220+H220</f>
        <v>81.110699999999994</v>
      </c>
      <c r="J220" s="349">
        <f>I220+I223+I224</f>
        <v>91.929059999999993</v>
      </c>
      <c r="K220" s="371"/>
      <c r="L220" s="371"/>
    </row>
    <row r="221" spans="1:12">
      <c r="A221" s="355" t="s">
        <v>258</v>
      </c>
      <c r="B221" s="355">
        <v>10</v>
      </c>
      <c r="C221" s="353">
        <v>11.1</v>
      </c>
      <c r="D221" s="353"/>
      <c r="E221" s="353"/>
      <c r="F221" s="353"/>
      <c r="G221" s="353"/>
      <c r="H221" s="353"/>
      <c r="I221" s="354"/>
      <c r="J221" s="353"/>
      <c r="K221" s="371"/>
      <c r="L221" s="371"/>
    </row>
    <row r="222" spans="1:12">
      <c r="A222" s="355" t="s">
        <v>250</v>
      </c>
      <c r="B222" s="355">
        <v>15</v>
      </c>
      <c r="C222" s="353">
        <v>14.25</v>
      </c>
      <c r="D222" s="353"/>
      <c r="E222" s="353"/>
      <c r="F222" s="353"/>
      <c r="G222" s="353"/>
      <c r="H222" s="353"/>
      <c r="I222" s="354"/>
      <c r="J222" s="353"/>
      <c r="K222" s="371"/>
      <c r="L222" s="371"/>
    </row>
    <row r="223" spans="1:12">
      <c r="A223" s="350" t="s">
        <v>385</v>
      </c>
      <c r="B223" s="351">
        <v>7</v>
      </c>
      <c r="C223" s="352">
        <v>3.78</v>
      </c>
      <c r="D223" s="353">
        <f>C223*0.22</f>
        <v>0.83160000000000001</v>
      </c>
      <c r="E223" s="353"/>
      <c r="F223" s="353">
        <f>C223*0.9</f>
        <v>3.4019999999999997</v>
      </c>
      <c r="G223" s="353">
        <f>C223+D223+E223+F223</f>
        <v>8.0136000000000003</v>
      </c>
      <c r="H223" s="353">
        <f>G223*0.35</f>
        <v>2.8047599999999999</v>
      </c>
      <c r="I223" s="354">
        <f>G223+H223</f>
        <v>10.81836</v>
      </c>
      <c r="J223" s="353"/>
      <c r="K223" s="371"/>
      <c r="L223" s="371"/>
    </row>
    <row r="224" spans="1:12">
      <c r="A224" s="350"/>
      <c r="B224" s="351"/>
      <c r="C224" s="352"/>
      <c r="D224" s="353"/>
      <c r="E224" s="353"/>
      <c r="F224" s="353"/>
      <c r="G224" s="353"/>
      <c r="H224" s="353"/>
      <c r="I224" s="354"/>
      <c r="J224" s="353"/>
      <c r="K224" s="371"/>
      <c r="L224" s="371"/>
    </row>
    <row r="225" spans="1:12" ht="21.75">
      <c r="A225" s="373" t="s">
        <v>1154</v>
      </c>
      <c r="B225" s="359"/>
      <c r="C225" s="347">
        <v>14.25</v>
      </c>
      <c r="D225" s="347">
        <f>C225*0.22</f>
        <v>3.1350000000000002</v>
      </c>
      <c r="E225" s="347">
        <v>3.14</v>
      </c>
      <c r="F225" s="347">
        <f>C225*0.9</f>
        <v>12.825000000000001</v>
      </c>
      <c r="G225" s="347">
        <f>C225+D225+E225+F225</f>
        <v>33.35</v>
      </c>
      <c r="H225" s="347">
        <f>G225*0.35</f>
        <v>11.672499999999999</v>
      </c>
      <c r="I225" s="348">
        <f>G225+H225</f>
        <v>45.022500000000001</v>
      </c>
      <c r="J225" s="349">
        <f>I225+I227+I228</f>
        <v>55.840859999999999</v>
      </c>
      <c r="K225" s="371"/>
      <c r="L225" s="371"/>
    </row>
    <row r="226" spans="1:12">
      <c r="A226" s="355" t="s">
        <v>250</v>
      </c>
      <c r="B226" s="355">
        <v>15</v>
      </c>
      <c r="C226" s="353">
        <v>14.25</v>
      </c>
      <c r="D226" s="353"/>
      <c r="E226" s="353"/>
      <c r="F226" s="353"/>
      <c r="G226" s="353"/>
      <c r="H226" s="353"/>
      <c r="I226" s="354"/>
      <c r="J226" s="353"/>
      <c r="K226" s="371"/>
      <c r="L226" s="371"/>
    </row>
    <row r="227" spans="1:12">
      <c r="A227" s="350" t="s">
        <v>385</v>
      </c>
      <c r="B227" s="351">
        <v>7</v>
      </c>
      <c r="C227" s="352">
        <v>3.78</v>
      </c>
      <c r="D227" s="353">
        <f>C227*0.22</f>
        <v>0.83160000000000001</v>
      </c>
      <c r="E227" s="353"/>
      <c r="F227" s="353">
        <f>C227*0.9</f>
        <v>3.4019999999999997</v>
      </c>
      <c r="G227" s="353">
        <f>C227+D227+E227+F227</f>
        <v>8.0136000000000003</v>
      </c>
      <c r="H227" s="353">
        <f>G227*0.35</f>
        <v>2.8047599999999999</v>
      </c>
      <c r="I227" s="354">
        <f>G227+H227</f>
        <v>10.81836</v>
      </c>
      <c r="J227" s="353"/>
      <c r="K227" s="371"/>
      <c r="L227" s="371"/>
    </row>
    <row r="228" spans="1:12">
      <c r="A228" s="350"/>
      <c r="B228" s="351"/>
      <c r="C228" s="352"/>
      <c r="D228" s="353"/>
      <c r="E228" s="353"/>
      <c r="F228" s="353"/>
      <c r="G228" s="353"/>
      <c r="H228" s="353"/>
      <c r="I228" s="354"/>
      <c r="J228" s="353"/>
      <c r="K228" s="371"/>
      <c r="L228" s="371"/>
    </row>
    <row r="229" spans="1:12" ht="21.75">
      <c r="A229" s="373" t="s">
        <v>1155</v>
      </c>
      <c r="B229" s="359"/>
      <c r="C229" s="347">
        <f>C230+C231</f>
        <v>78.45</v>
      </c>
      <c r="D229" s="347">
        <f>C229*0.22</f>
        <v>17.259</v>
      </c>
      <c r="E229" s="347">
        <v>34.64</v>
      </c>
      <c r="F229" s="347">
        <f>C229*0.9</f>
        <v>70.605000000000004</v>
      </c>
      <c r="G229" s="347">
        <f>C229+D229+E229+F229</f>
        <v>200.95400000000001</v>
      </c>
      <c r="H229" s="347">
        <f>G229*0.35</f>
        <v>70.3339</v>
      </c>
      <c r="I229" s="348">
        <f>G229+H229</f>
        <v>271.28790000000004</v>
      </c>
      <c r="J229" s="349">
        <f>I229+I232</f>
        <v>294.47010000000006</v>
      </c>
      <c r="K229" s="371"/>
      <c r="L229" s="371"/>
    </row>
    <row r="230" spans="1:12">
      <c r="A230" s="355" t="s">
        <v>258</v>
      </c>
      <c r="B230" s="355">
        <v>45</v>
      </c>
      <c r="C230" s="353">
        <v>49.95</v>
      </c>
      <c r="D230" s="353"/>
      <c r="E230" s="353"/>
      <c r="F230" s="353"/>
      <c r="G230" s="353"/>
      <c r="H230" s="353"/>
      <c r="I230" s="354"/>
      <c r="J230" s="353"/>
      <c r="K230" s="371"/>
      <c r="L230" s="371"/>
    </row>
    <row r="231" spans="1:12">
      <c r="A231" s="355" t="s">
        <v>250</v>
      </c>
      <c r="B231" s="355">
        <v>30</v>
      </c>
      <c r="C231" s="353">
        <v>28.5</v>
      </c>
      <c r="D231" s="353"/>
      <c r="E231" s="353"/>
      <c r="F231" s="353"/>
      <c r="G231" s="353"/>
      <c r="H231" s="353"/>
      <c r="I231" s="354"/>
      <c r="J231" s="353"/>
      <c r="K231" s="371"/>
      <c r="L231" s="371"/>
    </row>
    <row r="232" spans="1:12">
      <c r="A232" s="350" t="s">
        <v>385</v>
      </c>
      <c r="B232" s="351">
        <v>15</v>
      </c>
      <c r="C232" s="352">
        <v>8.1</v>
      </c>
      <c r="D232" s="353">
        <f>C232*0.22</f>
        <v>1.782</v>
      </c>
      <c r="E232" s="353"/>
      <c r="F232" s="353">
        <f>C232*0.9</f>
        <v>7.29</v>
      </c>
      <c r="G232" s="353">
        <f>C232+D232+E232+F232</f>
        <v>17.172000000000001</v>
      </c>
      <c r="H232" s="353">
        <f>G232*0.35</f>
        <v>6.0102000000000002</v>
      </c>
      <c r="I232" s="354">
        <f>G232+H232</f>
        <v>23.182200000000002</v>
      </c>
      <c r="J232" s="353"/>
      <c r="K232" s="371"/>
      <c r="L232" s="371"/>
    </row>
    <row r="233" spans="1:12">
      <c r="A233" s="350"/>
      <c r="B233" s="351"/>
      <c r="C233" s="352"/>
      <c r="D233" s="353"/>
      <c r="E233" s="353"/>
      <c r="F233" s="353"/>
      <c r="G233" s="353"/>
      <c r="H233" s="353"/>
      <c r="I233" s="354"/>
      <c r="J233" s="353"/>
      <c r="K233" s="371"/>
      <c r="L233" s="371"/>
    </row>
    <row r="234" spans="1:12" ht="32.25">
      <c r="A234" s="373" t="s">
        <v>1156</v>
      </c>
      <c r="B234" s="359"/>
      <c r="C234" s="347">
        <f>C235+C236</f>
        <v>95.1</v>
      </c>
      <c r="D234" s="347">
        <f>C234*0.22</f>
        <v>20.922000000000001</v>
      </c>
      <c r="E234" s="347">
        <v>44.1</v>
      </c>
      <c r="F234" s="347">
        <f>C234*0.9</f>
        <v>85.59</v>
      </c>
      <c r="G234" s="347">
        <f>C234+D234+E234+F234</f>
        <v>245.71199999999999</v>
      </c>
      <c r="H234" s="347">
        <f>G234*0.35</f>
        <v>85.999199999999988</v>
      </c>
      <c r="I234" s="348">
        <f>G234+H234</f>
        <v>331.71119999999996</v>
      </c>
      <c r="J234" s="349">
        <f>I234+I237+I248</f>
        <v>354.89339999999999</v>
      </c>
      <c r="K234" s="371"/>
      <c r="L234" s="371"/>
    </row>
    <row r="235" spans="1:12">
      <c r="A235" s="355" t="s">
        <v>258</v>
      </c>
      <c r="B235" s="355">
        <v>60</v>
      </c>
      <c r="C235" s="353">
        <v>66.599999999999994</v>
      </c>
      <c r="D235" s="353"/>
      <c r="E235" s="353"/>
      <c r="F235" s="353"/>
      <c r="G235" s="353"/>
      <c r="H235" s="353"/>
      <c r="I235" s="354"/>
      <c r="J235" s="355"/>
      <c r="K235" s="371"/>
      <c r="L235" s="371"/>
    </row>
    <row r="236" spans="1:12">
      <c r="A236" s="355" t="s">
        <v>250</v>
      </c>
      <c r="B236" s="355">
        <v>30</v>
      </c>
      <c r="C236" s="353">
        <v>28.5</v>
      </c>
      <c r="D236" s="353"/>
      <c r="E236" s="353"/>
      <c r="F236" s="353"/>
      <c r="G236" s="353"/>
      <c r="H236" s="353"/>
      <c r="I236" s="354"/>
      <c r="J236" s="355"/>
      <c r="K236" s="371"/>
      <c r="L236" s="371"/>
    </row>
    <row r="237" spans="1:12">
      <c r="A237" s="350" t="s">
        <v>385</v>
      </c>
      <c r="B237" s="351">
        <v>15</v>
      </c>
      <c r="C237" s="352">
        <v>8.1</v>
      </c>
      <c r="D237" s="353">
        <f>C237*0.22</f>
        <v>1.782</v>
      </c>
      <c r="E237" s="353"/>
      <c r="F237" s="353">
        <f>C237*0.9</f>
        <v>7.29</v>
      </c>
      <c r="G237" s="353">
        <f>C237+D237+E237+F237</f>
        <v>17.172000000000001</v>
      </c>
      <c r="H237" s="353">
        <f>G237*0.35</f>
        <v>6.0102000000000002</v>
      </c>
      <c r="I237" s="354">
        <f>G237+H237</f>
        <v>23.182200000000002</v>
      </c>
      <c r="J237" s="355"/>
      <c r="K237" s="371"/>
      <c r="L237" s="371"/>
    </row>
    <row r="238" spans="1:12">
      <c r="A238" s="350"/>
      <c r="B238" s="351"/>
      <c r="C238" s="352"/>
      <c r="D238" s="353"/>
      <c r="E238" s="353"/>
      <c r="F238" s="353"/>
      <c r="G238" s="353"/>
      <c r="H238" s="353"/>
      <c r="I238" s="354"/>
      <c r="J238" s="355"/>
      <c r="K238" s="371"/>
      <c r="L238" s="371"/>
    </row>
    <row r="239" spans="1:12">
      <c r="A239" s="358" t="s">
        <v>1157</v>
      </c>
      <c r="B239" s="359"/>
      <c r="C239" s="347">
        <f>C240+C241</f>
        <v>25.35</v>
      </c>
      <c r="D239" s="347">
        <f>C239*0.22</f>
        <v>5.577</v>
      </c>
      <c r="E239" s="347">
        <v>7.8</v>
      </c>
      <c r="F239" s="347">
        <f>C239*0.9</f>
        <v>22.815000000000001</v>
      </c>
      <c r="G239" s="347">
        <f>C239+D239+E239+F239</f>
        <v>61.542000000000002</v>
      </c>
      <c r="H239" s="347">
        <f>G239*0.35</f>
        <v>21.5397</v>
      </c>
      <c r="I239" s="348">
        <f>G239+H239</f>
        <v>83.081699999999998</v>
      </c>
      <c r="J239" s="349">
        <f>I239+I242+I253</f>
        <v>106.26390000000001</v>
      </c>
      <c r="K239" s="371"/>
      <c r="L239" s="371"/>
    </row>
    <row r="240" spans="1:12">
      <c r="A240" s="355" t="s">
        <v>258</v>
      </c>
      <c r="B240" s="355">
        <v>10</v>
      </c>
      <c r="C240" s="353">
        <v>11.1</v>
      </c>
      <c r="D240" s="353"/>
      <c r="E240" s="353"/>
      <c r="F240" s="353"/>
      <c r="G240" s="353"/>
      <c r="H240" s="353"/>
      <c r="I240" s="354"/>
      <c r="J240" s="353"/>
      <c r="K240" s="371"/>
      <c r="L240" s="371"/>
    </row>
    <row r="241" spans="1:12">
      <c r="A241" s="355" t="s">
        <v>250</v>
      </c>
      <c r="B241" s="355">
        <v>15</v>
      </c>
      <c r="C241" s="353">
        <v>14.25</v>
      </c>
      <c r="D241" s="353"/>
      <c r="E241" s="353"/>
      <c r="F241" s="353"/>
      <c r="G241" s="353"/>
      <c r="H241" s="353"/>
      <c r="I241" s="354"/>
      <c r="J241" s="353"/>
      <c r="K241" s="371"/>
      <c r="L241" s="371"/>
    </row>
    <row r="242" spans="1:12">
      <c r="A242" s="350" t="s">
        <v>385</v>
      </c>
      <c r="B242" s="351">
        <v>12</v>
      </c>
      <c r="C242" s="352">
        <v>8.1</v>
      </c>
      <c r="D242" s="353">
        <f>C242*0.22</f>
        <v>1.782</v>
      </c>
      <c r="E242" s="353"/>
      <c r="F242" s="353">
        <f>C242*0.9</f>
        <v>7.29</v>
      </c>
      <c r="G242" s="353">
        <f>C242+D242+E242+F242</f>
        <v>17.172000000000001</v>
      </c>
      <c r="H242" s="353">
        <f>G242*0.35</f>
        <v>6.0102000000000002</v>
      </c>
      <c r="I242" s="354">
        <f>G242+H242</f>
        <v>23.182200000000002</v>
      </c>
      <c r="J242" s="353"/>
      <c r="K242" s="371"/>
      <c r="L242" s="371"/>
    </row>
    <row r="243" spans="1:12">
      <c r="A243" s="350"/>
      <c r="B243" s="351"/>
      <c r="C243" s="352"/>
      <c r="D243" s="353"/>
      <c r="E243" s="353"/>
      <c r="F243" s="353"/>
      <c r="G243" s="353"/>
      <c r="H243" s="353"/>
      <c r="I243" s="354"/>
      <c r="J243" s="353"/>
      <c r="K243" s="371"/>
      <c r="L243" s="371"/>
    </row>
    <row r="244" spans="1:12" ht="21.75">
      <c r="A244" s="373" t="s">
        <v>1158</v>
      </c>
      <c r="B244" s="359"/>
      <c r="C244" s="347">
        <f>C245+C246</f>
        <v>50.7</v>
      </c>
      <c r="D244" s="347">
        <f>C244*0.22</f>
        <v>11.154</v>
      </c>
      <c r="E244" s="347">
        <v>21.48</v>
      </c>
      <c r="F244" s="347">
        <f>C244*0.9</f>
        <v>45.63</v>
      </c>
      <c r="G244" s="347">
        <f>C244+D244+E244+F244</f>
        <v>128.964</v>
      </c>
      <c r="H244" s="347">
        <f>G244*0.35</f>
        <v>45.1374</v>
      </c>
      <c r="I244" s="348">
        <f>G244+H244</f>
        <v>174.10140000000001</v>
      </c>
      <c r="J244" s="349">
        <f>I244+I247</f>
        <v>189.55620000000002</v>
      </c>
      <c r="K244" s="371"/>
      <c r="L244" s="371"/>
    </row>
    <row r="245" spans="1:12">
      <c r="A245" s="355" t="s">
        <v>258</v>
      </c>
      <c r="B245" s="355">
        <v>20</v>
      </c>
      <c r="C245" s="353">
        <v>22.2</v>
      </c>
      <c r="D245" s="353"/>
      <c r="E245" s="353"/>
      <c r="F245" s="353"/>
      <c r="G245" s="353"/>
      <c r="H245" s="353"/>
      <c r="I245" s="354"/>
      <c r="J245" s="353"/>
      <c r="K245" s="371"/>
      <c r="L245" s="371"/>
    </row>
    <row r="246" spans="1:12">
      <c r="A246" s="355" t="s">
        <v>250</v>
      </c>
      <c r="B246" s="355">
        <v>30</v>
      </c>
      <c r="C246" s="353">
        <v>28.5</v>
      </c>
      <c r="D246" s="353"/>
      <c r="E246" s="353"/>
      <c r="F246" s="353"/>
      <c r="G246" s="353"/>
      <c r="H246" s="353"/>
      <c r="I246" s="354"/>
      <c r="J246" s="353"/>
      <c r="K246" s="371"/>
      <c r="L246" s="371"/>
    </row>
    <row r="247" spans="1:12">
      <c r="A247" s="350" t="s">
        <v>385</v>
      </c>
      <c r="B247" s="351">
        <v>10</v>
      </c>
      <c r="C247" s="352">
        <v>5.4</v>
      </c>
      <c r="D247" s="353">
        <f>C247*0.22</f>
        <v>1.1880000000000002</v>
      </c>
      <c r="E247" s="353"/>
      <c r="F247" s="353">
        <f>C247*0.9</f>
        <v>4.8600000000000003</v>
      </c>
      <c r="G247" s="353">
        <f>C247+D247+E247+F247</f>
        <v>11.448</v>
      </c>
      <c r="H247" s="353">
        <f>G247*0.35</f>
        <v>4.0068000000000001</v>
      </c>
      <c r="I247" s="354">
        <f>G247+H247</f>
        <v>15.454800000000001</v>
      </c>
      <c r="J247" s="353"/>
      <c r="K247" s="371"/>
      <c r="L247" s="371"/>
    </row>
    <row r="248" spans="1:12">
      <c r="A248" s="350"/>
      <c r="B248" s="351"/>
      <c r="C248" s="352"/>
      <c r="D248" s="353"/>
      <c r="E248" s="353"/>
      <c r="F248" s="353"/>
      <c r="G248" s="353"/>
      <c r="H248" s="353"/>
      <c r="I248" s="354"/>
      <c r="J248" s="353"/>
      <c r="K248" s="371"/>
      <c r="L248" s="371"/>
    </row>
    <row r="249" spans="1:12">
      <c r="A249" s="345" t="s">
        <v>1159</v>
      </c>
      <c r="B249" s="359"/>
      <c r="C249" s="347">
        <f>C250+C251</f>
        <v>10.62</v>
      </c>
      <c r="D249" s="347">
        <f>C249*0.22</f>
        <v>2.3363999999999998</v>
      </c>
      <c r="E249" s="347">
        <f>'[1]матеріали для МО'!F36</f>
        <v>3.52</v>
      </c>
      <c r="F249" s="347">
        <f>C249*0.9</f>
        <v>9.5579999999999998</v>
      </c>
      <c r="G249" s="347">
        <f>C249+D249+E249+F249</f>
        <v>26.034399999999998</v>
      </c>
      <c r="H249" s="347">
        <f>G249*0.35</f>
        <v>9.1120399999999986</v>
      </c>
      <c r="I249" s="348">
        <f>G249+H249</f>
        <v>35.146439999999998</v>
      </c>
      <c r="J249" s="349">
        <f>I249+I252+I253</f>
        <v>40.040459999999996</v>
      </c>
      <c r="K249" s="371"/>
      <c r="L249" s="371"/>
    </row>
    <row r="250" spans="1:12">
      <c r="A250" s="355" t="s">
        <v>258</v>
      </c>
      <c r="B250" s="355">
        <v>7</v>
      </c>
      <c r="C250" s="353">
        <v>7.77</v>
      </c>
      <c r="D250" s="353"/>
      <c r="E250" s="353"/>
      <c r="F250" s="353"/>
      <c r="G250" s="353"/>
      <c r="H250" s="353"/>
      <c r="I250" s="354"/>
      <c r="J250" s="353"/>
      <c r="K250" s="371"/>
      <c r="L250" s="371"/>
    </row>
    <row r="251" spans="1:12">
      <c r="A251" s="355" t="s">
        <v>250</v>
      </c>
      <c r="B251" s="355">
        <v>3</v>
      </c>
      <c r="C251" s="353">
        <v>2.85</v>
      </c>
      <c r="D251" s="353"/>
      <c r="E251" s="353"/>
      <c r="F251" s="353"/>
      <c r="G251" s="353"/>
      <c r="H251" s="353"/>
      <c r="I251" s="354"/>
      <c r="J251" s="353"/>
      <c r="K251" s="371"/>
      <c r="L251" s="371"/>
    </row>
    <row r="252" spans="1:12">
      <c r="A252" s="350" t="s">
        <v>385</v>
      </c>
      <c r="B252" s="374">
        <v>3</v>
      </c>
      <c r="C252" s="352">
        <v>1.71</v>
      </c>
      <c r="D252" s="353">
        <f>C252*0.22</f>
        <v>0.37619999999999998</v>
      </c>
      <c r="E252" s="353"/>
      <c r="F252" s="353">
        <f>C252*0.9</f>
        <v>1.5389999999999999</v>
      </c>
      <c r="G252" s="353">
        <f>C252+D252+E252+F252</f>
        <v>3.6251999999999995</v>
      </c>
      <c r="H252" s="353">
        <f>G252*0.35</f>
        <v>1.2688199999999998</v>
      </c>
      <c r="I252" s="354">
        <f>G252+H252</f>
        <v>4.8940199999999994</v>
      </c>
      <c r="J252" s="353"/>
      <c r="K252" s="371"/>
      <c r="L252" s="371"/>
    </row>
    <row r="253" spans="1:12">
      <c r="A253" s="350"/>
      <c r="B253" s="374"/>
      <c r="C253" s="352"/>
      <c r="D253" s="353"/>
      <c r="E253" s="353"/>
      <c r="F253" s="353"/>
      <c r="G253" s="353"/>
      <c r="H253" s="353"/>
      <c r="I253" s="354"/>
      <c r="J253" s="353"/>
      <c r="K253" s="371"/>
      <c r="L253" s="371"/>
    </row>
    <row r="254" spans="1:12" ht="21">
      <c r="A254" s="345" t="s">
        <v>1160</v>
      </c>
      <c r="B254" s="359"/>
      <c r="C254" s="347">
        <f>C255+C256</f>
        <v>20.6</v>
      </c>
      <c r="D254" s="347">
        <f>C254*0.22</f>
        <v>4.532</v>
      </c>
      <c r="E254" s="347">
        <f>'[1]матеріали для МО'!F64</f>
        <v>8.9499999999999993</v>
      </c>
      <c r="F254" s="347">
        <f>C254*0.9</f>
        <v>18.540000000000003</v>
      </c>
      <c r="G254" s="347">
        <f>C254+D254+E254+F254</f>
        <v>52.622</v>
      </c>
      <c r="H254" s="347">
        <f>G254*0.35</f>
        <v>18.4177</v>
      </c>
      <c r="I254" s="348">
        <f>G254+H254</f>
        <v>71.039699999999996</v>
      </c>
      <c r="J254" s="349">
        <f>I254+I257+I258</f>
        <v>78.767099999999999</v>
      </c>
      <c r="K254" s="371"/>
      <c r="L254" s="371"/>
    </row>
    <row r="255" spans="1:12">
      <c r="A255" s="355" t="s">
        <v>258</v>
      </c>
      <c r="B255" s="355">
        <v>10</v>
      </c>
      <c r="C255" s="353">
        <v>11.1</v>
      </c>
      <c r="D255" s="353"/>
      <c r="E255" s="353"/>
      <c r="F255" s="353"/>
      <c r="G255" s="353"/>
      <c r="H255" s="353"/>
      <c r="I255" s="354"/>
      <c r="J255" s="353"/>
      <c r="K255" s="371"/>
      <c r="L255" s="371"/>
    </row>
    <row r="256" spans="1:12">
      <c r="A256" s="355" t="s">
        <v>250</v>
      </c>
      <c r="B256" s="355">
        <v>10</v>
      </c>
      <c r="C256" s="353">
        <v>9.5</v>
      </c>
      <c r="D256" s="353"/>
      <c r="E256" s="353"/>
      <c r="F256" s="353"/>
      <c r="G256" s="353"/>
      <c r="H256" s="353"/>
      <c r="I256" s="354"/>
      <c r="J256" s="353"/>
      <c r="K256" s="371"/>
      <c r="L256" s="371"/>
    </row>
    <row r="257" spans="1:12">
      <c r="A257" s="350" t="s">
        <v>385</v>
      </c>
      <c r="B257" s="351">
        <v>5</v>
      </c>
      <c r="C257" s="352">
        <v>2.7</v>
      </c>
      <c r="D257" s="353">
        <f>C257*0.22</f>
        <v>0.59400000000000008</v>
      </c>
      <c r="E257" s="353"/>
      <c r="F257" s="353">
        <f>C257*0.9</f>
        <v>2.4300000000000002</v>
      </c>
      <c r="G257" s="353">
        <f>C257+D257+E257+F257</f>
        <v>5.7240000000000002</v>
      </c>
      <c r="H257" s="353">
        <f>G257*0.35</f>
        <v>2.0034000000000001</v>
      </c>
      <c r="I257" s="354">
        <f>G257+H257</f>
        <v>7.7274000000000003</v>
      </c>
      <c r="J257" s="353"/>
      <c r="K257" s="371"/>
      <c r="L257" s="371"/>
    </row>
    <row r="258" spans="1:12">
      <c r="A258" s="350"/>
      <c r="B258" s="351"/>
      <c r="C258" s="352"/>
      <c r="D258" s="353"/>
      <c r="E258" s="353"/>
      <c r="F258" s="353"/>
      <c r="G258" s="353"/>
      <c r="H258" s="353"/>
      <c r="I258" s="354"/>
      <c r="J258" s="353"/>
      <c r="K258" s="371"/>
      <c r="L258" s="371"/>
    </row>
    <row r="259" spans="1:12">
      <c r="A259" s="358" t="s">
        <v>1161</v>
      </c>
      <c r="B259" s="359"/>
      <c r="C259" s="347">
        <f>C260+C261</f>
        <v>12.36</v>
      </c>
      <c r="D259" s="347">
        <f t="shared" ref="D259:D277" si="0">C259*0.22</f>
        <v>2.7191999999999998</v>
      </c>
      <c r="E259" s="347">
        <f>'[1]матеріали для МО'!F87</f>
        <v>3.46</v>
      </c>
      <c r="F259" s="347">
        <f t="shared" ref="F259:F266" si="1">C259*0.9</f>
        <v>11.124000000000001</v>
      </c>
      <c r="G259" s="347">
        <f>C259+D259+E259+F259</f>
        <v>29.663200000000003</v>
      </c>
      <c r="H259" s="347">
        <f>G259*0.35</f>
        <v>10.38212</v>
      </c>
      <c r="I259" s="348">
        <f>G259+H259</f>
        <v>40.045320000000004</v>
      </c>
      <c r="J259" s="349">
        <f>I259+I262+I263</f>
        <v>44.939340000000001</v>
      </c>
      <c r="K259" s="371"/>
      <c r="L259" s="371"/>
    </row>
    <row r="260" spans="1:12">
      <c r="A260" s="355" t="s">
        <v>258</v>
      </c>
      <c r="B260" s="355">
        <v>6</v>
      </c>
      <c r="C260" s="353">
        <v>6.66</v>
      </c>
      <c r="D260" s="353">
        <f t="shared" si="0"/>
        <v>1.4652000000000001</v>
      </c>
      <c r="E260" s="353"/>
      <c r="F260" s="353">
        <f t="shared" si="1"/>
        <v>5.9940000000000007</v>
      </c>
      <c r="G260" s="353"/>
      <c r="H260" s="353"/>
      <c r="I260" s="354"/>
      <c r="J260" s="353"/>
      <c r="K260" s="371"/>
      <c r="L260" s="371"/>
    </row>
    <row r="261" spans="1:12">
      <c r="A261" s="355" t="s">
        <v>250</v>
      </c>
      <c r="B261" s="355">
        <v>6</v>
      </c>
      <c r="C261" s="353">
        <v>5.7</v>
      </c>
      <c r="D261" s="353">
        <f t="shared" si="0"/>
        <v>1.254</v>
      </c>
      <c r="E261" s="353"/>
      <c r="F261" s="353">
        <f t="shared" si="1"/>
        <v>5.13</v>
      </c>
      <c r="G261" s="353"/>
      <c r="H261" s="353"/>
      <c r="I261" s="354"/>
      <c r="J261" s="353"/>
      <c r="K261" s="371"/>
      <c r="L261" s="371"/>
    </row>
    <row r="262" spans="1:12">
      <c r="A262" s="350" t="s">
        <v>385</v>
      </c>
      <c r="B262" s="351">
        <v>3</v>
      </c>
      <c r="C262" s="352">
        <v>1.71</v>
      </c>
      <c r="D262" s="353">
        <f t="shared" si="0"/>
        <v>0.37619999999999998</v>
      </c>
      <c r="E262" s="353"/>
      <c r="F262" s="353">
        <f t="shared" si="1"/>
        <v>1.5389999999999999</v>
      </c>
      <c r="G262" s="353">
        <f>C262+D262+E262+F262</f>
        <v>3.6251999999999995</v>
      </c>
      <c r="H262" s="353">
        <f>G262*0.35</f>
        <v>1.2688199999999998</v>
      </c>
      <c r="I262" s="354">
        <f>G262+H262</f>
        <v>4.8940199999999994</v>
      </c>
      <c r="J262" s="353"/>
      <c r="K262" s="371"/>
      <c r="L262" s="371"/>
    </row>
    <row r="263" spans="1:12">
      <c r="A263" s="350"/>
      <c r="B263" s="351"/>
      <c r="C263" s="352"/>
      <c r="D263" s="353"/>
      <c r="E263" s="353"/>
      <c r="F263" s="353"/>
      <c r="G263" s="353"/>
      <c r="H263" s="353"/>
      <c r="I263" s="354"/>
      <c r="J263" s="353"/>
      <c r="K263" s="371"/>
      <c r="L263" s="371"/>
    </row>
    <row r="264" spans="1:12">
      <c r="A264" s="358" t="s">
        <v>1162</v>
      </c>
      <c r="B264" s="359"/>
      <c r="C264" s="347">
        <v>1.9</v>
      </c>
      <c r="D264" s="347">
        <f t="shared" si="0"/>
        <v>0.41799999999999998</v>
      </c>
      <c r="E264" s="347">
        <f>'[1]матеріали для МО'!F92</f>
        <v>1.03</v>
      </c>
      <c r="F264" s="347">
        <f t="shared" si="1"/>
        <v>1.71</v>
      </c>
      <c r="G264" s="347">
        <f>C264+D264+E264+F264</f>
        <v>5.0579999999999998</v>
      </c>
      <c r="H264" s="347">
        <f>G264*0.35</f>
        <v>1.7702999999999998</v>
      </c>
      <c r="I264" s="348">
        <f>G264+H264</f>
        <v>6.8282999999999996</v>
      </c>
      <c r="J264" s="349">
        <f>I264+I267+I266</f>
        <v>8.37378</v>
      </c>
      <c r="K264" s="371"/>
      <c r="L264" s="371"/>
    </row>
    <row r="265" spans="1:12">
      <c r="A265" s="355" t="s">
        <v>250</v>
      </c>
      <c r="B265" s="355">
        <v>2</v>
      </c>
      <c r="C265" s="353">
        <v>1.9</v>
      </c>
      <c r="D265" s="353">
        <f t="shared" si="0"/>
        <v>0.41799999999999998</v>
      </c>
      <c r="E265" s="353"/>
      <c r="F265" s="353">
        <f t="shared" si="1"/>
        <v>1.71</v>
      </c>
      <c r="G265" s="353"/>
      <c r="H265" s="353"/>
      <c r="I265" s="354"/>
      <c r="J265" s="355"/>
      <c r="K265" s="371"/>
      <c r="L265" s="371"/>
    </row>
    <row r="266" spans="1:12">
      <c r="A266" s="350" t="s">
        <v>385</v>
      </c>
      <c r="B266" s="351">
        <v>1</v>
      </c>
      <c r="C266" s="352">
        <v>0.54</v>
      </c>
      <c r="D266" s="353">
        <f t="shared" si="0"/>
        <v>0.1188</v>
      </c>
      <c r="E266" s="353"/>
      <c r="F266" s="353">
        <f t="shared" si="1"/>
        <v>0.48600000000000004</v>
      </c>
      <c r="G266" s="353">
        <f>C266+D266+E266+F266</f>
        <v>1.1448</v>
      </c>
      <c r="H266" s="353">
        <f>G266*0.35</f>
        <v>0.40067999999999998</v>
      </c>
      <c r="I266" s="354">
        <f>G266+H266</f>
        <v>1.54548</v>
      </c>
      <c r="J266" s="355"/>
      <c r="K266" s="371"/>
      <c r="L266" s="371"/>
    </row>
    <row r="267" spans="1:12">
      <c r="A267" s="350"/>
      <c r="B267" s="351"/>
      <c r="C267" s="352"/>
      <c r="D267" s="353"/>
      <c r="E267" s="353"/>
      <c r="F267" s="353"/>
      <c r="G267" s="353"/>
      <c r="H267" s="353"/>
      <c r="I267" s="354"/>
      <c r="J267" s="355"/>
      <c r="K267" s="371"/>
      <c r="L267" s="371"/>
    </row>
    <row r="268" spans="1:12">
      <c r="A268" s="358" t="s">
        <v>1163</v>
      </c>
      <c r="B268" s="359"/>
      <c r="C268" s="347">
        <f>C269+C270</f>
        <v>18.7</v>
      </c>
      <c r="D268" s="347">
        <f t="shared" si="0"/>
        <v>4.1139999999999999</v>
      </c>
      <c r="E268" s="347"/>
      <c r="F268" s="347">
        <f>C268*0.9</f>
        <v>16.829999999999998</v>
      </c>
      <c r="G268" s="347">
        <f>C268+D268+E268+F268</f>
        <v>39.643999999999998</v>
      </c>
      <c r="H268" s="347">
        <f>G268*0.35</f>
        <v>13.875399999999999</v>
      </c>
      <c r="I268" s="348">
        <f>G268+H268</f>
        <v>53.519399999999997</v>
      </c>
      <c r="J268" s="349">
        <f>I268+I271+I272</f>
        <v>61.2468</v>
      </c>
      <c r="K268" s="371"/>
      <c r="L268" s="371"/>
    </row>
    <row r="269" spans="1:12">
      <c r="A269" s="355" t="s">
        <v>258</v>
      </c>
      <c r="B269" s="355">
        <v>10</v>
      </c>
      <c r="C269" s="353">
        <v>11.1</v>
      </c>
      <c r="D269" s="353">
        <f t="shared" si="0"/>
        <v>2.4419999999999997</v>
      </c>
      <c r="E269" s="353"/>
      <c r="F269" s="353"/>
      <c r="G269" s="353"/>
      <c r="H269" s="353"/>
      <c r="I269" s="354"/>
      <c r="J269" s="353"/>
      <c r="K269" s="371"/>
      <c r="L269" s="371"/>
    </row>
    <row r="270" spans="1:12">
      <c r="A270" s="355" t="s">
        <v>250</v>
      </c>
      <c r="B270" s="355">
        <v>8</v>
      </c>
      <c r="C270" s="353">
        <v>7.6</v>
      </c>
      <c r="D270" s="353">
        <f t="shared" si="0"/>
        <v>1.6719999999999999</v>
      </c>
      <c r="E270" s="353"/>
      <c r="F270" s="353"/>
      <c r="G270" s="353"/>
      <c r="H270" s="353"/>
      <c r="I270" s="354"/>
      <c r="J270" s="353"/>
      <c r="K270" s="371"/>
      <c r="L270" s="371"/>
    </row>
    <row r="271" spans="1:12">
      <c r="A271" s="350" t="s">
        <v>385</v>
      </c>
      <c r="B271" s="351">
        <v>5</v>
      </c>
      <c r="C271" s="352">
        <v>2.7</v>
      </c>
      <c r="D271" s="353">
        <f t="shared" si="0"/>
        <v>0.59400000000000008</v>
      </c>
      <c r="E271" s="353"/>
      <c r="F271" s="353">
        <f>C271*0.9</f>
        <v>2.4300000000000002</v>
      </c>
      <c r="G271" s="353">
        <f>C271+D271+E271+F271</f>
        <v>5.7240000000000002</v>
      </c>
      <c r="H271" s="353">
        <f>G271*0.35</f>
        <v>2.0034000000000001</v>
      </c>
      <c r="I271" s="354">
        <f>G271+H271</f>
        <v>7.7274000000000003</v>
      </c>
      <c r="J271" s="353"/>
      <c r="K271" s="371"/>
      <c r="L271" s="371"/>
    </row>
    <row r="272" spans="1:12">
      <c r="A272" s="350"/>
      <c r="B272" s="351"/>
      <c r="C272" s="352"/>
      <c r="D272" s="353"/>
      <c r="E272" s="353"/>
      <c r="F272" s="353"/>
      <c r="G272" s="353"/>
      <c r="H272" s="353"/>
      <c r="I272" s="354"/>
      <c r="J272" s="353"/>
      <c r="K272" s="371"/>
      <c r="L272" s="371"/>
    </row>
    <row r="273" spans="1:12">
      <c r="A273" s="358" t="s">
        <v>1164</v>
      </c>
      <c r="B273" s="359"/>
      <c r="C273" s="347">
        <v>4.75</v>
      </c>
      <c r="D273" s="347">
        <f t="shared" si="0"/>
        <v>1.0449999999999999</v>
      </c>
      <c r="E273" s="347">
        <v>1.2</v>
      </c>
      <c r="F273" s="347">
        <f>C273*0.9</f>
        <v>4.2750000000000004</v>
      </c>
      <c r="G273" s="347">
        <f>C273+D273+E273+F273</f>
        <v>11.27</v>
      </c>
      <c r="H273" s="347">
        <f>G273*0.35</f>
        <v>3.9444999999999997</v>
      </c>
      <c r="I273" s="348">
        <f>G273+H273</f>
        <v>15.214499999999999</v>
      </c>
      <c r="J273" s="349">
        <f>I273+I276+I275</f>
        <v>18.30546</v>
      </c>
      <c r="K273" s="371"/>
      <c r="L273" s="371"/>
    </row>
    <row r="274" spans="1:12">
      <c r="A274" s="355" t="s">
        <v>250</v>
      </c>
      <c r="B274" s="355">
        <v>5</v>
      </c>
      <c r="C274" s="353">
        <v>4.75</v>
      </c>
      <c r="D274" s="353">
        <f t="shared" si="0"/>
        <v>1.0449999999999999</v>
      </c>
      <c r="E274" s="353"/>
      <c r="F274" s="353"/>
      <c r="G274" s="353"/>
      <c r="H274" s="353"/>
      <c r="I274" s="354"/>
      <c r="J274" s="353"/>
      <c r="K274" s="371"/>
      <c r="L274" s="371"/>
    </row>
    <row r="275" spans="1:12">
      <c r="A275" s="350" t="s">
        <v>385</v>
      </c>
      <c r="B275" s="351">
        <v>2</v>
      </c>
      <c r="C275" s="352">
        <v>1.08</v>
      </c>
      <c r="D275" s="353">
        <f t="shared" si="0"/>
        <v>0.23760000000000001</v>
      </c>
      <c r="E275" s="353"/>
      <c r="F275" s="353">
        <f>C275*0.9</f>
        <v>0.97200000000000009</v>
      </c>
      <c r="G275" s="353">
        <f>C275+D275+E275+F275</f>
        <v>2.2896000000000001</v>
      </c>
      <c r="H275" s="353">
        <f>G275*0.35</f>
        <v>0.80135999999999996</v>
      </c>
      <c r="I275" s="354">
        <f>G275+H275</f>
        <v>3.0909599999999999</v>
      </c>
      <c r="J275" s="353"/>
      <c r="K275" s="371"/>
      <c r="L275" s="371"/>
    </row>
    <row r="276" spans="1:12">
      <c r="A276" s="350"/>
      <c r="B276" s="351"/>
      <c r="C276" s="352"/>
      <c r="D276" s="353"/>
      <c r="E276" s="353"/>
      <c r="F276" s="353"/>
      <c r="G276" s="353"/>
      <c r="H276" s="353"/>
      <c r="I276" s="354"/>
      <c r="J276" s="353"/>
      <c r="K276" s="371"/>
      <c r="L276" s="371"/>
    </row>
    <row r="277" spans="1:12">
      <c r="A277" s="358" t="s">
        <v>1165</v>
      </c>
      <c r="B277" s="359"/>
      <c r="C277" s="347">
        <v>4.75</v>
      </c>
      <c r="D277" s="347">
        <f t="shared" si="0"/>
        <v>1.0449999999999999</v>
      </c>
      <c r="E277" s="347">
        <v>0.5</v>
      </c>
      <c r="F277" s="347">
        <f>C277*0.9</f>
        <v>4.2750000000000004</v>
      </c>
      <c r="G277" s="347">
        <f>C277+D277+E277+F277</f>
        <v>10.57</v>
      </c>
      <c r="H277" s="347">
        <f>G277*0.35</f>
        <v>3.6995</v>
      </c>
      <c r="I277" s="348">
        <f>G277+H277</f>
        <v>14.269500000000001</v>
      </c>
      <c r="J277" s="349">
        <f>I277+I279+I280</f>
        <v>17.36046</v>
      </c>
      <c r="K277" s="371"/>
      <c r="L277" s="371"/>
    </row>
    <row r="278" spans="1:12">
      <c r="A278" s="355" t="s">
        <v>250</v>
      </c>
      <c r="B278" s="355">
        <v>5</v>
      </c>
      <c r="C278" s="352">
        <v>4.75</v>
      </c>
      <c r="D278" s="353"/>
      <c r="E278" s="353"/>
      <c r="F278" s="353"/>
      <c r="G278" s="353"/>
      <c r="H278" s="353"/>
      <c r="I278" s="354"/>
      <c r="J278" s="353"/>
      <c r="K278" s="371"/>
      <c r="L278" s="371"/>
    </row>
    <row r="279" spans="1:12">
      <c r="A279" s="350" t="s">
        <v>385</v>
      </c>
      <c r="B279" s="351">
        <v>2</v>
      </c>
      <c r="C279" s="352">
        <v>1.08</v>
      </c>
      <c r="D279" s="353">
        <f>C279*0.22</f>
        <v>0.23760000000000001</v>
      </c>
      <c r="E279" s="353"/>
      <c r="F279" s="353">
        <f>C279*0.9</f>
        <v>0.97200000000000009</v>
      </c>
      <c r="G279" s="353">
        <f>C279+D279+E279+F279</f>
        <v>2.2896000000000001</v>
      </c>
      <c r="H279" s="353">
        <f>G279*0.35</f>
        <v>0.80135999999999996</v>
      </c>
      <c r="I279" s="354">
        <f>G279+H279</f>
        <v>3.0909599999999999</v>
      </c>
      <c r="J279" s="353"/>
      <c r="K279" s="371"/>
      <c r="L279" s="371"/>
    </row>
    <row r="280" spans="1:12">
      <c r="A280" s="350"/>
      <c r="B280" s="351"/>
      <c r="C280" s="352"/>
      <c r="D280" s="353"/>
      <c r="E280" s="353"/>
      <c r="F280" s="353"/>
      <c r="G280" s="353"/>
      <c r="H280" s="353"/>
      <c r="I280" s="354"/>
      <c r="J280" s="353"/>
      <c r="K280" s="371"/>
      <c r="L280" s="371"/>
    </row>
    <row r="281" spans="1:12">
      <c r="A281" s="358" t="s">
        <v>1166</v>
      </c>
      <c r="B281" s="359"/>
      <c r="C281" s="347">
        <f>C282+C283</f>
        <v>10.3</v>
      </c>
      <c r="D281" s="347">
        <f>C281*0.22</f>
        <v>2.266</v>
      </c>
      <c r="E281" s="347">
        <v>0.5</v>
      </c>
      <c r="F281" s="347">
        <f>C281*0.9</f>
        <v>9.2700000000000014</v>
      </c>
      <c r="G281" s="347">
        <f>C281+D281+E281+F281</f>
        <v>22.336000000000002</v>
      </c>
      <c r="H281" s="347">
        <f>G281*0.35</f>
        <v>7.8176000000000005</v>
      </c>
      <c r="I281" s="348">
        <f>G281+H281</f>
        <v>30.153600000000004</v>
      </c>
      <c r="J281" s="349">
        <f>I281+I284+I285</f>
        <v>34.790040000000005</v>
      </c>
      <c r="K281" s="371"/>
      <c r="L281" s="371"/>
    </row>
    <row r="282" spans="1:12">
      <c r="A282" s="355" t="s">
        <v>258</v>
      </c>
      <c r="B282" s="355">
        <v>5</v>
      </c>
      <c r="C282" s="352">
        <v>5.55</v>
      </c>
      <c r="D282" s="353"/>
      <c r="E282" s="353"/>
      <c r="F282" s="353"/>
      <c r="G282" s="353"/>
      <c r="H282" s="353"/>
      <c r="I282" s="354"/>
      <c r="J282" s="353"/>
      <c r="K282" s="371"/>
      <c r="L282" s="371"/>
    </row>
    <row r="283" spans="1:12">
      <c r="A283" s="355" t="s">
        <v>250</v>
      </c>
      <c r="B283" s="355">
        <v>5</v>
      </c>
      <c r="C283" s="352">
        <v>4.75</v>
      </c>
      <c r="D283" s="353"/>
      <c r="E283" s="353"/>
      <c r="F283" s="353"/>
      <c r="G283" s="353"/>
      <c r="H283" s="353"/>
      <c r="I283" s="354"/>
      <c r="J283" s="353"/>
      <c r="K283" s="371"/>
      <c r="L283" s="371"/>
    </row>
    <row r="284" spans="1:12">
      <c r="A284" s="350" t="s">
        <v>385</v>
      </c>
      <c r="B284" s="351">
        <v>3</v>
      </c>
      <c r="C284" s="352">
        <v>1.62</v>
      </c>
      <c r="D284" s="353">
        <f>C284*0.22</f>
        <v>0.35640000000000005</v>
      </c>
      <c r="E284" s="353"/>
      <c r="F284" s="353">
        <f>C284*0.9</f>
        <v>1.4580000000000002</v>
      </c>
      <c r="G284" s="353">
        <f>C284+D284+E284+F284</f>
        <v>3.4344000000000001</v>
      </c>
      <c r="H284" s="353">
        <f>G284*0.35</f>
        <v>1.20204</v>
      </c>
      <c r="I284" s="354">
        <f>G284+H284</f>
        <v>4.6364400000000003</v>
      </c>
      <c r="J284" s="353"/>
      <c r="K284" s="371"/>
      <c r="L284" s="371"/>
    </row>
    <row r="285" spans="1:12">
      <c r="A285" s="350"/>
      <c r="B285" s="351"/>
      <c r="C285" s="352"/>
      <c r="D285" s="353"/>
      <c r="E285" s="353"/>
      <c r="F285" s="353"/>
      <c r="G285" s="353"/>
      <c r="H285" s="353"/>
      <c r="I285" s="354"/>
      <c r="J285" s="353"/>
      <c r="K285" s="371"/>
      <c r="L285" s="371"/>
    </row>
    <row r="286" spans="1:12">
      <c r="A286" s="358" t="s">
        <v>1167</v>
      </c>
      <c r="B286" s="359"/>
      <c r="C286" s="347">
        <v>9.5</v>
      </c>
      <c r="D286" s="347">
        <f>C286*0.22</f>
        <v>2.09</v>
      </c>
      <c r="E286" s="347"/>
      <c r="F286" s="347">
        <f>C286*0.9</f>
        <v>8.5500000000000007</v>
      </c>
      <c r="G286" s="347">
        <f>C286+D286+E286+F286</f>
        <v>20.14</v>
      </c>
      <c r="H286" s="347">
        <f>G286*0.35</f>
        <v>7.0489999999999995</v>
      </c>
      <c r="I286" s="348">
        <f>G286+H286</f>
        <v>27.189</v>
      </c>
      <c r="J286" s="349">
        <f>I286+I288+I289</f>
        <v>34.916400000000003</v>
      </c>
      <c r="K286" s="371"/>
      <c r="L286" s="371"/>
    </row>
    <row r="287" spans="1:12">
      <c r="A287" s="355" t="s">
        <v>258</v>
      </c>
      <c r="B287" s="355">
        <v>10</v>
      </c>
      <c r="C287" s="352">
        <v>9.5</v>
      </c>
      <c r="D287" s="353"/>
      <c r="E287" s="353"/>
      <c r="F287" s="353"/>
      <c r="G287" s="353"/>
      <c r="H287" s="353"/>
      <c r="I287" s="354"/>
      <c r="J287" s="355"/>
      <c r="K287" s="371"/>
      <c r="L287" s="371"/>
    </row>
    <row r="288" spans="1:12">
      <c r="A288" s="350" t="s">
        <v>385</v>
      </c>
      <c r="B288" s="351">
        <v>5</v>
      </c>
      <c r="C288" s="352">
        <v>2.7</v>
      </c>
      <c r="D288" s="353">
        <f>C288*0.22</f>
        <v>0.59400000000000008</v>
      </c>
      <c r="E288" s="353"/>
      <c r="F288" s="353">
        <f>C288*0.9</f>
        <v>2.4300000000000002</v>
      </c>
      <c r="G288" s="353">
        <f>C288+D288+E288+F288</f>
        <v>5.7240000000000002</v>
      </c>
      <c r="H288" s="353">
        <f>G288*0.35</f>
        <v>2.0034000000000001</v>
      </c>
      <c r="I288" s="354">
        <f>G288+H288</f>
        <v>7.7274000000000003</v>
      </c>
      <c r="J288" s="355"/>
      <c r="K288" s="371"/>
      <c r="L288" s="371"/>
    </row>
    <row r="289" spans="1:32">
      <c r="A289" s="350"/>
      <c r="B289" s="351"/>
      <c r="C289" s="352"/>
      <c r="D289" s="353"/>
      <c r="E289" s="353"/>
      <c r="F289" s="353"/>
      <c r="G289" s="353"/>
      <c r="H289" s="353"/>
      <c r="I289" s="354"/>
      <c r="J289" s="355"/>
      <c r="K289" s="371"/>
      <c r="L289" s="371"/>
    </row>
    <row r="290" spans="1:32" ht="21">
      <c r="A290" s="345" t="s">
        <v>1168</v>
      </c>
      <c r="B290" s="346"/>
      <c r="C290" s="347">
        <f>C291+C292</f>
        <v>20.6</v>
      </c>
      <c r="D290" s="347">
        <f>C290*0.22</f>
        <v>4.532</v>
      </c>
      <c r="E290" s="347">
        <f>'[1]матеріали для МО'!F104</f>
        <v>8.89</v>
      </c>
      <c r="F290" s="347">
        <f>C290*0.9</f>
        <v>18.540000000000003</v>
      </c>
      <c r="G290" s="347">
        <f>C290+D290+E290+F290</f>
        <v>52.562000000000012</v>
      </c>
      <c r="H290" s="347">
        <f>G290*0.35</f>
        <v>18.396700000000003</v>
      </c>
      <c r="I290" s="348">
        <f>G290+H290</f>
        <v>70.958700000000022</v>
      </c>
      <c r="J290" s="349">
        <f>I290+I293+I294</f>
        <v>86.413500000000028</v>
      </c>
      <c r="K290" s="371"/>
      <c r="L290" s="371"/>
    </row>
    <row r="291" spans="1:32">
      <c r="A291" s="355" t="s">
        <v>258</v>
      </c>
      <c r="B291" s="375">
        <v>10</v>
      </c>
      <c r="C291" s="353">
        <v>11.1</v>
      </c>
      <c r="D291" s="353"/>
      <c r="E291" s="353"/>
      <c r="F291" s="353"/>
      <c r="G291" s="353"/>
      <c r="H291" s="353"/>
      <c r="I291" s="354"/>
      <c r="J291" s="353"/>
      <c r="K291" s="371"/>
      <c r="L291" s="371"/>
    </row>
    <row r="292" spans="1:32">
      <c r="A292" s="355" t="s">
        <v>250</v>
      </c>
      <c r="B292" s="375">
        <v>10</v>
      </c>
      <c r="C292" s="353">
        <v>9.5</v>
      </c>
      <c r="D292" s="353"/>
      <c r="E292" s="353"/>
      <c r="F292" s="353"/>
      <c r="G292" s="353"/>
      <c r="H292" s="353"/>
      <c r="I292" s="354"/>
      <c r="J292" s="353"/>
      <c r="K292" s="371"/>
      <c r="L292" s="371"/>
    </row>
    <row r="293" spans="1:32">
      <c r="A293" s="350" t="s">
        <v>385</v>
      </c>
      <c r="B293" s="351">
        <v>10</v>
      </c>
      <c r="C293" s="352">
        <v>5.4</v>
      </c>
      <c r="D293" s="353">
        <f>C293*0.22</f>
        <v>1.1880000000000002</v>
      </c>
      <c r="E293" s="353"/>
      <c r="F293" s="353">
        <f>C293*0.9</f>
        <v>4.8600000000000003</v>
      </c>
      <c r="G293" s="353">
        <f>C293+D293+E293+F293</f>
        <v>11.448</v>
      </c>
      <c r="H293" s="353">
        <f>G293*0.35</f>
        <v>4.0068000000000001</v>
      </c>
      <c r="I293" s="354">
        <f>G293+H293</f>
        <v>15.454800000000001</v>
      </c>
      <c r="J293" s="353"/>
      <c r="K293" s="371"/>
      <c r="L293" s="371"/>
    </row>
    <row r="294" spans="1:32">
      <c r="A294" s="350"/>
      <c r="B294" s="351"/>
      <c r="C294" s="352"/>
      <c r="D294" s="353"/>
      <c r="E294" s="353"/>
      <c r="F294" s="353"/>
      <c r="G294" s="353"/>
      <c r="H294" s="353"/>
      <c r="I294" s="354"/>
      <c r="J294" s="353"/>
      <c r="K294" s="371"/>
      <c r="L294" s="371"/>
      <c r="M294" s="371"/>
      <c r="N294" s="371"/>
      <c r="O294" s="371"/>
      <c r="P294" s="371"/>
      <c r="Q294" s="371"/>
      <c r="R294" s="371"/>
      <c r="S294" s="371"/>
      <c r="T294" s="371"/>
      <c r="U294" s="371"/>
      <c r="V294" s="371"/>
      <c r="W294" s="371"/>
      <c r="X294" s="371"/>
      <c r="Y294" s="371"/>
      <c r="Z294" s="371"/>
      <c r="AA294" s="371"/>
      <c r="AB294" s="371"/>
      <c r="AC294" s="371"/>
      <c r="AD294" s="371"/>
      <c r="AE294" s="371"/>
      <c r="AF294" s="371"/>
    </row>
    <row r="295" spans="1:32">
      <c r="A295" s="358" t="s">
        <v>1169</v>
      </c>
      <c r="B295" s="359"/>
      <c r="C295" s="347">
        <f>C296+C297</f>
        <v>21.4</v>
      </c>
      <c r="D295" s="347">
        <f>C295*0.22</f>
        <v>4.7079999999999993</v>
      </c>
      <c r="E295" s="347">
        <f>'[1]матеріали для МО'!F113</f>
        <v>6.5</v>
      </c>
      <c r="F295" s="347">
        <f>C295*0.9</f>
        <v>19.259999999999998</v>
      </c>
      <c r="G295" s="347">
        <f>C295+D295+E295+F295</f>
        <v>51.867999999999995</v>
      </c>
      <c r="H295" s="347">
        <f>G295*0.35</f>
        <v>18.153799999999997</v>
      </c>
      <c r="I295" s="348">
        <f>G295+H295</f>
        <v>70.021799999999985</v>
      </c>
      <c r="J295" s="349">
        <f>I295+I298+I299</f>
        <v>85.476599999999991</v>
      </c>
      <c r="K295" s="376"/>
      <c r="L295" s="376"/>
      <c r="M295" s="376"/>
      <c r="N295" s="376"/>
      <c r="O295" s="376"/>
      <c r="P295" s="376"/>
      <c r="Q295" s="376"/>
      <c r="R295" s="376"/>
      <c r="S295" s="376"/>
      <c r="T295" s="376"/>
      <c r="U295" s="376"/>
      <c r="V295" s="376"/>
      <c r="W295" s="376"/>
      <c r="X295" s="376"/>
      <c r="Y295" s="376"/>
      <c r="Z295" s="371"/>
      <c r="AA295" s="371"/>
      <c r="AB295" s="371"/>
      <c r="AC295" s="371"/>
      <c r="AD295" s="371"/>
      <c r="AE295" s="371"/>
      <c r="AF295" s="371"/>
    </row>
    <row r="296" spans="1:32">
      <c r="A296" s="355" t="s">
        <v>258</v>
      </c>
      <c r="B296" s="355">
        <v>15</v>
      </c>
      <c r="C296" s="353">
        <v>16.649999999999999</v>
      </c>
      <c r="D296" s="353"/>
      <c r="E296" s="353"/>
      <c r="F296" s="353"/>
      <c r="G296" s="353"/>
      <c r="H296" s="353"/>
      <c r="I296" s="354"/>
      <c r="J296" s="353"/>
      <c r="K296" s="371"/>
      <c r="L296" s="371"/>
    </row>
    <row r="297" spans="1:32">
      <c r="A297" s="355" t="s">
        <v>250</v>
      </c>
      <c r="B297" s="355">
        <v>5</v>
      </c>
      <c r="C297" s="353">
        <v>4.75</v>
      </c>
      <c r="D297" s="353"/>
      <c r="E297" s="353"/>
      <c r="F297" s="353"/>
      <c r="G297" s="353"/>
      <c r="H297" s="353"/>
      <c r="I297" s="354"/>
      <c r="J297" s="353"/>
      <c r="K297" s="371"/>
      <c r="L297" s="371"/>
    </row>
    <row r="298" spans="1:32">
      <c r="A298" s="350" t="s">
        <v>385</v>
      </c>
      <c r="B298" s="351">
        <v>4</v>
      </c>
      <c r="C298" s="352">
        <v>5.4</v>
      </c>
      <c r="D298" s="353">
        <f>C298*0.22</f>
        <v>1.1880000000000002</v>
      </c>
      <c r="E298" s="353"/>
      <c r="F298" s="353">
        <f>C298*0.9</f>
        <v>4.8600000000000003</v>
      </c>
      <c r="G298" s="353">
        <f>C298+D298+E298+F298</f>
        <v>11.448</v>
      </c>
      <c r="H298" s="353">
        <f>G298*0.35</f>
        <v>4.0068000000000001</v>
      </c>
      <c r="I298" s="354">
        <f>G298+H298</f>
        <v>15.454800000000001</v>
      </c>
      <c r="J298" s="353"/>
      <c r="K298" s="371"/>
      <c r="L298" s="371"/>
    </row>
    <row r="299" spans="1:32">
      <c r="A299" s="350"/>
      <c r="B299" s="351"/>
      <c r="C299" s="352"/>
      <c r="D299" s="353"/>
      <c r="E299" s="353"/>
      <c r="F299" s="353"/>
      <c r="G299" s="353"/>
      <c r="H299" s="353"/>
      <c r="I299" s="354"/>
      <c r="J299" s="353"/>
      <c r="K299" s="371"/>
      <c r="L299" s="371"/>
    </row>
    <row r="300" spans="1:32">
      <c r="A300" s="345" t="s">
        <v>1170</v>
      </c>
      <c r="B300" s="346"/>
      <c r="C300" s="347">
        <f>C301+C302</f>
        <v>20.6</v>
      </c>
      <c r="D300" s="347">
        <f>C300*0.22</f>
        <v>4.532</v>
      </c>
      <c r="E300" s="347">
        <v>1.5</v>
      </c>
      <c r="F300" s="347">
        <f>C300*0.9</f>
        <v>18.540000000000003</v>
      </c>
      <c r="G300" s="347">
        <f>C300+D300+E300+F300</f>
        <v>45.172000000000004</v>
      </c>
      <c r="H300" s="347">
        <f>G300*0.35</f>
        <v>15.8102</v>
      </c>
      <c r="I300" s="348">
        <f>G300+H300</f>
        <v>60.982200000000006</v>
      </c>
      <c r="J300" s="349">
        <f>I300+I303+I304</f>
        <v>68.709600000000009</v>
      </c>
      <c r="K300" s="371"/>
      <c r="L300" s="371"/>
    </row>
    <row r="301" spans="1:32">
      <c r="A301" s="355" t="s">
        <v>258</v>
      </c>
      <c r="B301" s="350">
        <v>10</v>
      </c>
      <c r="C301" s="352">
        <v>11.1</v>
      </c>
      <c r="D301" s="353"/>
      <c r="E301" s="352"/>
      <c r="F301" s="353"/>
      <c r="G301" s="353"/>
      <c r="H301" s="353"/>
      <c r="I301" s="354"/>
      <c r="J301" s="353"/>
      <c r="K301" s="371"/>
      <c r="L301" s="371"/>
    </row>
    <row r="302" spans="1:32">
      <c r="A302" s="355" t="s">
        <v>250</v>
      </c>
      <c r="B302" s="350">
        <v>10</v>
      </c>
      <c r="C302" s="352">
        <v>9.5</v>
      </c>
      <c r="D302" s="353"/>
      <c r="E302" s="352"/>
      <c r="F302" s="353"/>
      <c r="G302" s="353"/>
      <c r="H302" s="353"/>
      <c r="I302" s="354"/>
      <c r="J302" s="353"/>
      <c r="K302" s="371"/>
      <c r="L302" s="371"/>
    </row>
    <row r="303" spans="1:32">
      <c r="A303" s="350" t="s">
        <v>385</v>
      </c>
      <c r="B303" s="351">
        <v>5</v>
      </c>
      <c r="C303" s="352">
        <v>2.7</v>
      </c>
      <c r="D303" s="353">
        <f>C303*0.22</f>
        <v>0.59400000000000008</v>
      </c>
      <c r="E303" s="353"/>
      <c r="F303" s="353">
        <f>C303*0.9</f>
        <v>2.4300000000000002</v>
      </c>
      <c r="G303" s="353">
        <f>C303+D303+E303+F303</f>
        <v>5.7240000000000002</v>
      </c>
      <c r="H303" s="353">
        <f>G303*0.35</f>
        <v>2.0034000000000001</v>
      </c>
      <c r="I303" s="354">
        <f>G303+H303</f>
        <v>7.7274000000000003</v>
      </c>
      <c r="J303" s="353"/>
      <c r="K303" s="371"/>
      <c r="L303" s="371"/>
    </row>
    <row r="304" spans="1:32">
      <c r="A304" s="350"/>
      <c r="B304" s="351"/>
      <c r="C304" s="352"/>
      <c r="D304" s="353"/>
      <c r="E304" s="353"/>
      <c r="F304" s="353"/>
      <c r="G304" s="353"/>
      <c r="H304" s="353"/>
      <c r="I304" s="354"/>
      <c r="J304" s="353"/>
      <c r="K304" s="371"/>
      <c r="L304" s="371"/>
    </row>
    <row r="305" spans="1:10">
      <c r="A305" s="358" t="s">
        <v>1171</v>
      </c>
      <c r="B305" s="359"/>
      <c r="C305" s="347">
        <f>C306+C307</f>
        <v>17.32</v>
      </c>
      <c r="D305" s="347">
        <f>C305*0.22</f>
        <v>3.8104</v>
      </c>
      <c r="E305" s="347">
        <f>'[1]матеріали для МО'!F162</f>
        <v>3.09</v>
      </c>
      <c r="F305" s="347">
        <f>C305*0.9</f>
        <v>15.588000000000001</v>
      </c>
      <c r="G305" s="347">
        <f>C305+D305+E305+F305</f>
        <v>39.808400000000006</v>
      </c>
      <c r="H305" s="347">
        <f>G305*0.35</f>
        <v>13.932940000000002</v>
      </c>
      <c r="I305" s="348">
        <f>G305+H305</f>
        <v>53.741340000000008</v>
      </c>
      <c r="J305" s="349">
        <f>I305+I308+I309</f>
        <v>62.756640000000004</v>
      </c>
    </row>
    <row r="306" spans="1:10">
      <c r="A306" s="355" t="s">
        <v>258</v>
      </c>
      <c r="B306" s="355">
        <v>15</v>
      </c>
      <c r="C306" s="353">
        <v>15</v>
      </c>
      <c r="D306" s="353"/>
      <c r="E306" s="353"/>
      <c r="F306" s="353"/>
      <c r="G306" s="353"/>
      <c r="H306" s="353"/>
      <c r="I306" s="354"/>
      <c r="J306" s="353"/>
    </row>
    <row r="307" spans="1:10">
      <c r="A307" s="355" t="s">
        <v>250</v>
      </c>
      <c r="B307" s="355">
        <v>4</v>
      </c>
      <c r="C307" s="353">
        <v>2.3199999999999998</v>
      </c>
      <c r="D307" s="353"/>
      <c r="E307" s="353"/>
      <c r="F307" s="353"/>
      <c r="G307" s="353"/>
      <c r="H307" s="353"/>
      <c r="I307" s="354"/>
      <c r="J307" s="353"/>
    </row>
    <row r="308" spans="1:10">
      <c r="A308" s="350" t="s">
        <v>385</v>
      </c>
      <c r="B308" s="351">
        <v>7</v>
      </c>
      <c r="C308" s="352">
        <v>3.15</v>
      </c>
      <c r="D308" s="353">
        <f>C308*0.22</f>
        <v>0.69299999999999995</v>
      </c>
      <c r="E308" s="353"/>
      <c r="F308" s="353">
        <f>C308*0.9</f>
        <v>2.835</v>
      </c>
      <c r="G308" s="353">
        <f>C308+D308+E308+F308</f>
        <v>6.6779999999999999</v>
      </c>
      <c r="H308" s="353">
        <f>G308*0.35</f>
        <v>2.3372999999999999</v>
      </c>
      <c r="I308" s="354">
        <f>G308+H308</f>
        <v>9.0152999999999999</v>
      </c>
      <c r="J308" s="353"/>
    </row>
    <row r="309" spans="1:10">
      <c r="A309" s="350"/>
      <c r="B309" s="351"/>
      <c r="C309" s="352"/>
      <c r="D309" s="353"/>
      <c r="E309" s="353"/>
      <c r="F309" s="353"/>
      <c r="G309" s="353"/>
      <c r="H309" s="353"/>
      <c r="I309" s="354"/>
      <c r="J309" s="353"/>
    </row>
    <row r="310" spans="1:10">
      <c r="A310" s="345" t="s">
        <v>1172</v>
      </c>
      <c r="B310" s="346"/>
      <c r="C310" s="347">
        <f>C311+C312</f>
        <v>20.6</v>
      </c>
      <c r="D310" s="347">
        <f>C310*0.22</f>
        <v>4.532</v>
      </c>
      <c r="E310" s="347">
        <f>'[1]матеріали для МО'!F178</f>
        <v>3.68</v>
      </c>
      <c r="F310" s="347">
        <f>C310*0.9</f>
        <v>18.540000000000003</v>
      </c>
      <c r="G310" s="347">
        <f>C310+D310+E310+F310</f>
        <v>47.352000000000004</v>
      </c>
      <c r="H310" s="347">
        <f>G310*0.35</f>
        <v>16.5732</v>
      </c>
      <c r="I310" s="348">
        <f>G310+H310</f>
        <v>63.925200000000004</v>
      </c>
      <c r="J310" s="349">
        <f>I310+I313+I314</f>
        <v>79.38000000000001</v>
      </c>
    </row>
    <row r="311" spans="1:10">
      <c r="A311" s="350" t="s">
        <v>258</v>
      </c>
      <c r="B311" s="350">
        <v>10</v>
      </c>
      <c r="C311" s="352">
        <v>11.1</v>
      </c>
      <c r="D311" s="353"/>
      <c r="E311" s="353"/>
      <c r="F311" s="353"/>
      <c r="G311" s="353"/>
      <c r="H311" s="353"/>
      <c r="I311" s="354"/>
      <c r="J311" s="353"/>
    </row>
    <row r="312" spans="1:10">
      <c r="A312" s="350" t="s">
        <v>250</v>
      </c>
      <c r="B312" s="350">
        <v>10</v>
      </c>
      <c r="C312" s="352">
        <v>9.5</v>
      </c>
      <c r="D312" s="353"/>
      <c r="E312" s="353"/>
      <c r="F312" s="353"/>
      <c r="G312" s="353"/>
      <c r="H312" s="353"/>
      <c r="I312" s="354"/>
      <c r="J312" s="353"/>
    </row>
    <row r="313" spans="1:10">
      <c r="A313" s="350" t="s">
        <v>385</v>
      </c>
      <c r="B313" s="351">
        <v>10</v>
      </c>
      <c r="C313" s="352">
        <v>5.4</v>
      </c>
      <c r="D313" s="353">
        <f>C313*0.22</f>
        <v>1.1880000000000002</v>
      </c>
      <c r="E313" s="353"/>
      <c r="F313" s="353">
        <f>C313*0.9</f>
        <v>4.8600000000000003</v>
      </c>
      <c r="G313" s="353">
        <f>C313+D313+E313+F313</f>
        <v>11.448</v>
      </c>
      <c r="H313" s="353">
        <f>G313*0.35</f>
        <v>4.0068000000000001</v>
      </c>
      <c r="I313" s="354">
        <f>G313+H313</f>
        <v>15.454800000000001</v>
      </c>
      <c r="J313" s="353"/>
    </row>
    <row r="314" spans="1:10">
      <c r="A314" s="350"/>
      <c r="B314" s="351"/>
      <c r="C314" s="352"/>
      <c r="D314" s="353"/>
      <c r="E314" s="353"/>
      <c r="F314" s="353"/>
      <c r="G314" s="353"/>
      <c r="H314" s="353"/>
      <c r="I314" s="354"/>
      <c r="J314" s="353"/>
    </row>
    <row r="315" spans="1:10">
      <c r="A315" s="345" t="s">
        <v>1173</v>
      </c>
      <c r="B315" s="359"/>
      <c r="C315" s="347">
        <f>C316+C317</f>
        <v>5.83</v>
      </c>
      <c r="D315" s="347">
        <f>C315*0.22</f>
        <v>1.2826</v>
      </c>
      <c r="E315" s="347">
        <f>'[1]матеріали для МО'!F186</f>
        <v>11.31</v>
      </c>
      <c r="F315" s="347">
        <f>C315*0.9</f>
        <v>5.2469999999999999</v>
      </c>
      <c r="G315" s="347">
        <f>C315+D315+E315+F315</f>
        <v>23.669600000000003</v>
      </c>
      <c r="H315" s="347">
        <f>G315*0.35</f>
        <v>8.2843600000000013</v>
      </c>
      <c r="I315" s="348">
        <f>G315+H315</f>
        <v>31.953960000000002</v>
      </c>
      <c r="J315" s="349">
        <f>I315+I318+I317</f>
        <v>35.044920000000005</v>
      </c>
    </row>
    <row r="316" spans="1:10">
      <c r="A316" s="350" t="s">
        <v>1174</v>
      </c>
      <c r="B316" s="360">
        <v>5</v>
      </c>
      <c r="C316" s="352">
        <v>4.75</v>
      </c>
      <c r="D316" s="353"/>
      <c r="E316" s="353"/>
      <c r="F316" s="353"/>
      <c r="G316" s="353"/>
      <c r="H316" s="353"/>
      <c r="I316" s="354"/>
      <c r="J316" s="353"/>
    </row>
    <row r="317" spans="1:10">
      <c r="A317" s="350" t="s">
        <v>385</v>
      </c>
      <c r="B317" s="351">
        <v>2</v>
      </c>
      <c r="C317" s="352">
        <v>1.08</v>
      </c>
      <c r="D317" s="353">
        <f t="shared" ref="D317:D380" si="2">C317*0.22</f>
        <v>0.23760000000000001</v>
      </c>
      <c r="E317" s="353"/>
      <c r="F317" s="353">
        <f t="shared" ref="F317:F379" si="3">C317*0.9</f>
        <v>0.97200000000000009</v>
      </c>
      <c r="G317" s="353">
        <f>C317+D317+E317+F317</f>
        <v>2.2896000000000001</v>
      </c>
      <c r="H317" s="353">
        <f>G317*0.35</f>
        <v>0.80135999999999996</v>
      </c>
      <c r="I317" s="354">
        <f>G317+H317</f>
        <v>3.0909599999999999</v>
      </c>
      <c r="J317" s="353"/>
    </row>
    <row r="318" spans="1:10">
      <c r="A318" s="350"/>
      <c r="B318" s="351"/>
      <c r="C318" s="352"/>
      <c r="D318" s="353"/>
      <c r="E318" s="353"/>
      <c r="F318" s="353"/>
      <c r="G318" s="353"/>
      <c r="H318" s="353"/>
      <c r="I318" s="354"/>
      <c r="J318" s="353"/>
    </row>
    <row r="319" spans="1:10">
      <c r="A319" s="345" t="s">
        <v>1175</v>
      </c>
      <c r="B319" s="359"/>
      <c r="C319" s="347">
        <v>17.899999999999999</v>
      </c>
      <c r="D319" s="347">
        <f t="shared" si="2"/>
        <v>3.9379999999999997</v>
      </c>
      <c r="E319" s="347">
        <f>'[1]матеріали для МО'!F196</f>
        <v>6.79</v>
      </c>
      <c r="F319" s="347">
        <f t="shared" si="3"/>
        <v>16.11</v>
      </c>
      <c r="G319" s="347">
        <f>C319+D319+E319+F319</f>
        <v>44.738</v>
      </c>
      <c r="H319" s="347">
        <f>G319*0.35</f>
        <v>15.658299999999999</v>
      </c>
      <c r="I319" s="348">
        <f>G319+H319</f>
        <v>60.396299999999997</v>
      </c>
      <c r="J319" s="349">
        <f>I319+I322+I323</f>
        <v>66.578220000000002</v>
      </c>
    </row>
    <row r="320" spans="1:10">
      <c r="A320" s="350" t="s">
        <v>258</v>
      </c>
      <c r="B320" s="360">
        <v>15</v>
      </c>
      <c r="C320" s="352">
        <v>16.649999999999999</v>
      </c>
      <c r="D320" s="353">
        <f t="shared" si="2"/>
        <v>3.6629999999999998</v>
      </c>
      <c r="E320" s="353"/>
      <c r="F320" s="353">
        <f t="shared" si="3"/>
        <v>14.984999999999999</v>
      </c>
      <c r="G320" s="353"/>
      <c r="H320" s="353"/>
      <c r="I320" s="354"/>
      <c r="J320" s="355"/>
    </row>
    <row r="321" spans="1:10">
      <c r="A321" s="350" t="s">
        <v>250</v>
      </c>
      <c r="B321" s="360">
        <v>5</v>
      </c>
      <c r="C321" s="352">
        <v>4.75</v>
      </c>
      <c r="D321" s="353">
        <f t="shared" si="2"/>
        <v>1.0449999999999999</v>
      </c>
      <c r="E321" s="353"/>
      <c r="F321" s="353">
        <f t="shared" si="3"/>
        <v>4.2750000000000004</v>
      </c>
      <c r="G321" s="353"/>
      <c r="H321" s="353"/>
      <c r="I321" s="354"/>
      <c r="J321" s="355"/>
    </row>
    <row r="322" spans="1:10">
      <c r="A322" s="350" t="s">
        <v>385</v>
      </c>
      <c r="B322" s="351">
        <v>4</v>
      </c>
      <c r="C322" s="352">
        <v>2.16</v>
      </c>
      <c r="D322" s="353">
        <f t="shared" si="2"/>
        <v>0.47520000000000001</v>
      </c>
      <c r="E322" s="353"/>
      <c r="F322" s="353">
        <f t="shared" si="3"/>
        <v>1.9440000000000002</v>
      </c>
      <c r="G322" s="353">
        <f>C322+D322+E322+F322</f>
        <v>4.5792000000000002</v>
      </c>
      <c r="H322" s="353">
        <f>G322*0.35</f>
        <v>1.6027199999999999</v>
      </c>
      <c r="I322" s="354">
        <f>G322+H322</f>
        <v>6.1819199999999999</v>
      </c>
      <c r="J322" s="355"/>
    </row>
    <row r="323" spans="1:10">
      <c r="A323" s="350"/>
      <c r="B323" s="351"/>
      <c r="C323" s="352"/>
      <c r="D323" s="353"/>
      <c r="E323" s="353"/>
      <c r="F323" s="353"/>
      <c r="G323" s="353"/>
      <c r="H323" s="353"/>
      <c r="I323" s="354"/>
      <c r="J323" s="355"/>
    </row>
    <row r="324" spans="1:10">
      <c r="A324" s="345" t="s">
        <v>1176</v>
      </c>
      <c r="B324" s="346"/>
      <c r="C324" s="347">
        <f>C325+C326</f>
        <v>24.72</v>
      </c>
      <c r="D324" s="347">
        <f t="shared" si="2"/>
        <v>5.4383999999999997</v>
      </c>
      <c r="E324" s="347">
        <f>'[1]матеріали для МО'!F204</f>
        <v>5.78</v>
      </c>
      <c r="F324" s="347">
        <f t="shared" si="3"/>
        <v>22.248000000000001</v>
      </c>
      <c r="G324" s="347">
        <f>C324+D324+E324+F324</f>
        <v>58.186400000000006</v>
      </c>
      <c r="H324" s="347">
        <f>G324*0.35</f>
        <v>20.36524</v>
      </c>
      <c r="I324" s="348">
        <f>G324+H324</f>
        <v>78.551640000000006</v>
      </c>
      <c r="J324" s="349">
        <f>I324+I327+I328</f>
        <v>87.824520000000007</v>
      </c>
    </row>
    <row r="325" spans="1:10">
      <c r="A325" s="350" t="s">
        <v>258</v>
      </c>
      <c r="B325" s="350">
        <v>12</v>
      </c>
      <c r="C325" s="352">
        <v>13.32</v>
      </c>
      <c r="D325" s="353">
        <f t="shared" si="2"/>
        <v>2.9304000000000001</v>
      </c>
      <c r="E325" s="353"/>
      <c r="F325" s="353">
        <f t="shared" si="3"/>
        <v>11.988000000000001</v>
      </c>
      <c r="G325" s="353"/>
      <c r="H325" s="353"/>
      <c r="I325" s="354"/>
      <c r="J325" s="353"/>
    </row>
    <row r="326" spans="1:10">
      <c r="A326" s="350" t="s">
        <v>250</v>
      </c>
      <c r="B326" s="350">
        <v>12</v>
      </c>
      <c r="C326" s="352">
        <v>11.4</v>
      </c>
      <c r="D326" s="353">
        <f t="shared" si="2"/>
        <v>2.508</v>
      </c>
      <c r="E326" s="353"/>
      <c r="F326" s="353">
        <f t="shared" si="3"/>
        <v>10.26</v>
      </c>
      <c r="G326" s="353"/>
      <c r="H326" s="353"/>
      <c r="I326" s="354"/>
      <c r="J326" s="353"/>
    </row>
    <row r="327" spans="1:10">
      <c r="A327" s="350" t="s">
        <v>385</v>
      </c>
      <c r="B327" s="351">
        <v>6</v>
      </c>
      <c r="C327" s="352">
        <v>3.24</v>
      </c>
      <c r="D327" s="353">
        <f t="shared" si="2"/>
        <v>0.7128000000000001</v>
      </c>
      <c r="E327" s="353"/>
      <c r="F327" s="353">
        <f t="shared" si="3"/>
        <v>2.9160000000000004</v>
      </c>
      <c r="G327" s="353">
        <f>C327+D327+E327+F327</f>
        <v>6.8688000000000002</v>
      </c>
      <c r="H327" s="353">
        <f>G327*0.35</f>
        <v>2.40408</v>
      </c>
      <c r="I327" s="354">
        <f>G327+H327</f>
        <v>9.2728800000000007</v>
      </c>
      <c r="J327" s="353"/>
    </row>
    <row r="328" spans="1:10">
      <c r="A328" s="350"/>
      <c r="B328" s="351"/>
      <c r="C328" s="352"/>
      <c r="D328" s="353"/>
      <c r="E328" s="353"/>
      <c r="F328" s="353"/>
      <c r="G328" s="353"/>
      <c r="H328" s="353"/>
      <c r="I328" s="354"/>
      <c r="J328" s="353"/>
    </row>
    <row r="329" spans="1:10">
      <c r="A329" s="345" t="s">
        <v>1177</v>
      </c>
      <c r="B329" s="346"/>
      <c r="C329" s="347">
        <f>C330+C331</f>
        <v>20.6</v>
      </c>
      <c r="D329" s="347">
        <f t="shared" si="2"/>
        <v>4.532</v>
      </c>
      <c r="E329" s="347">
        <f>'[1]матеріали для МО'!F210</f>
        <v>5.62</v>
      </c>
      <c r="F329" s="347">
        <f t="shared" si="3"/>
        <v>18.540000000000003</v>
      </c>
      <c r="G329" s="347">
        <f>C329+D329+E329+F329</f>
        <v>49.292000000000002</v>
      </c>
      <c r="H329" s="347">
        <f>G329*0.35</f>
        <v>17.252199999999998</v>
      </c>
      <c r="I329" s="348">
        <f>G329+H329</f>
        <v>66.544200000000004</v>
      </c>
      <c r="J329" s="349">
        <f>I329+I332+I333</f>
        <v>77.362560000000002</v>
      </c>
    </row>
    <row r="330" spans="1:10">
      <c r="A330" s="350" t="s">
        <v>258</v>
      </c>
      <c r="B330" s="350">
        <v>10</v>
      </c>
      <c r="C330" s="352">
        <v>11.1</v>
      </c>
      <c r="D330" s="353">
        <f t="shared" si="2"/>
        <v>2.4419999999999997</v>
      </c>
      <c r="E330" s="353"/>
      <c r="F330" s="353">
        <f t="shared" si="3"/>
        <v>9.99</v>
      </c>
      <c r="G330" s="353"/>
      <c r="H330" s="353"/>
      <c r="I330" s="354"/>
      <c r="J330" s="353"/>
    </row>
    <row r="331" spans="1:10">
      <c r="A331" s="350" t="s">
        <v>250</v>
      </c>
      <c r="B331" s="350">
        <v>10</v>
      </c>
      <c r="C331" s="352">
        <v>9.5</v>
      </c>
      <c r="D331" s="353">
        <f t="shared" si="2"/>
        <v>2.09</v>
      </c>
      <c r="E331" s="353"/>
      <c r="F331" s="353">
        <f t="shared" si="3"/>
        <v>8.5500000000000007</v>
      </c>
      <c r="G331" s="353"/>
      <c r="H331" s="353"/>
      <c r="I331" s="354"/>
      <c r="J331" s="353"/>
    </row>
    <row r="332" spans="1:10">
      <c r="A332" s="350" t="s">
        <v>385</v>
      </c>
      <c r="B332" s="351">
        <v>7</v>
      </c>
      <c r="C332" s="352">
        <v>3.78</v>
      </c>
      <c r="D332" s="353">
        <f t="shared" si="2"/>
        <v>0.83160000000000001</v>
      </c>
      <c r="E332" s="353"/>
      <c r="F332" s="353">
        <f t="shared" si="3"/>
        <v>3.4019999999999997</v>
      </c>
      <c r="G332" s="353">
        <f>C332+D332+E332+F332</f>
        <v>8.0136000000000003</v>
      </c>
      <c r="H332" s="353">
        <f>G332*0.35</f>
        <v>2.8047599999999999</v>
      </c>
      <c r="I332" s="354">
        <f>G332+H332</f>
        <v>10.81836</v>
      </c>
      <c r="J332" s="353"/>
    </row>
    <row r="333" spans="1:10">
      <c r="A333" s="350"/>
      <c r="B333" s="351"/>
      <c r="C333" s="352"/>
      <c r="D333" s="353"/>
      <c r="E333" s="353"/>
      <c r="F333" s="353"/>
      <c r="G333" s="353"/>
      <c r="H333" s="353"/>
      <c r="I333" s="354"/>
      <c r="J333" s="353"/>
    </row>
    <row r="334" spans="1:10">
      <c r="A334" s="345" t="s">
        <v>1178</v>
      </c>
      <c r="B334" s="346"/>
      <c r="C334" s="347">
        <f>C335+C336</f>
        <v>26.15</v>
      </c>
      <c r="D334" s="347">
        <f t="shared" si="2"/>
        <v>5.7530000000000001</v>
      </c>
      <c r="E334" s="347">
        <f>'[1]матеріали для МО'!F216</f>
        <v>5.55</v>
      </c>
      <c r="F334" s="347">
        <f t="shared" si="3"/>
        <v>23.535</v>
      </c>
      <c r="G334" s="347">
        <f>C334+D334+E334+F334</f>
        <v>60.988</v>
      </c>
      <c r="H334" s="347">
        <f>G334*0.35</f>
        <v>21.345799999999997</v>
      </c>
      <c r="I334" s="348">
        <f>G334+H334</f>
        <v>82.333799999999997</v>
      </c>
      <c r="J334" s="349">
        <f>I334+I337+I338</f>
        <v>93.152159999999995</v>
      </c>
    </row>
    <row r="335" spans="1:10">
      <c r="A335" s="350" t="s">
        <v>258</v>
      </c>
      <c r="B335" s="350">
        <v>15</v>
      </c>
      <c r="C335" s="352">
        <v>16.649999999999999</v>
      </c>
      <c r="D335" s="353">
        <f t="shared" si="2"/>
        <v>3.6629999999999998</v>
      </c>
      <c r="E335" s="353"/>
      <c r="F335" s="353">
        <f t="shared" si="3"/>
        <v>14.984999999999999</v>
      </c>
      <c r="G335" s="353"/>
      <c r="H335" s="353"/>
      <c r="I335" s="354"/>
      <c r="J335" s="353"/>
    </row>
    <row r="336" spans="1:10">
      <c r="A336" s="350" t="s">
        <v>250</v>
      </c>
      <c r="B336" s="350">
        <v>10</v>
      </c>
      <c r="C336" s="352">
        <v>9.5</v>
      </c>
      <c r="D336" s="353">
        <f t="shared" si="2"/>
        <v>2.09</v>
      </c>
      <c r="E336" s="353"/>
      <c r="F336" s="353">
        <f t="shared" si="3"/>
        <v>8.5500000000000007</v>
      </c>
      <c r="G336" s="353"/>
      <c r="H336" s="353"/>
      <c r="I336" s="354"/>
      <c r="J336" s="353"/>
    </row>
    <row r="337" spans="1:10">
      <c r="A337" s="350" t="s">
        <v>385</v>
      </c>
      <c r="B337" s="351">
        <v>7</v>
      </c>
      <c r="C337" s="352">
        <v>3.78</v>
      </c>
      <c r="D337" s="353">
        <f t="shared" si="2"/>
        <v>0.83160000000000001</v>
      </c>
      <c r="E337" s="353"/>
      <c r="F337" s="353">
        <f t="shared" si="3"/>
        <v>3.4019999999999997</v>
      </c>
      <c r="G337" s="353">
        <f>C337+D337+E337+F337</f>
        <v>8.0136000000000003</v>
      </c>
      <c r="H337" s="353">
        <f>G337*0.35</f>
        <v>2.8047599999999999</v>
      </c>
      <c r="I337" s="354">
        <f>G337+H337</f>
        <v>10.81836</v>
      </c>
      <c r="J337" s="353"/>
    </row>
    <row r="338" spans="1:10">
      <c r="A338" s="350"/>
      <c r="B338" s="351"/>
      <c r="C338" s="352"/>
      <c r="D338" s="353"/>
      <c r="E338" s="353"/>
      <c r="F338" s="353"/>
      <c r="G338" s="353"/>
      <c r="H338" s="353"/>
      <c r="I338" s="354"/>
      <c r="J338" s="353"/>
    </row>
    <row r="339" spans="1:10">
      <c r="A339" s="345" t="s">
        <v>1179</v>
      </c>
      <c r="B339" s="346"/>
      <c r="C339" s="347">
        <v>7.6</v>
      </c>
      <c r="D339" s="347">
        <f t="shared" si="2"/>
        <v>1.6719999999999999</v>
      </c>
      <c r="E339" s="347">
        <f>'[1]матеріали для МО'!F225</f>
        <v>4.17</v>
      </c>
      <c r="F339" s="347">
        <f t="shared" si="3"/>
        <v>6.84</v>
      </c>
      <c r="G339" s="347">
        <f>C339+D339+E339+F339</f>
        <v>20.282</v>
      </c>
      <c r="H339" s="347">
        <f>G339*0.35</f>
        <v>7.0986999999999991</v>
      </c>
      <c r="I339" s="348">
        <f>G339+H339</f>
        <v>27.380699999999997</v>
      </c>
      <c r="J339" s="349">
        <f>I339+I342+I341</f>
        <v>33.562619999999995</v>
      </c>
    </row>
    <row r="340" spans="1:10">
      <c r="A340" s="350" t="s">
        <v>250</v>
      </c>
      <c r="B340" s="350">
        <v>8</v>
      </c>
      <c r="C340" s="352">
        <v>7.6</v>
      </c>
      <c r="D340" s="353">
        <f t="shared" si="2"/>
        <v>1.6719999999999999</v>
      </c>
      <c r="E340" s="353"/>
      <c r="F340" s="353">
        <f t="shared" si="3"/>
        <v>6.84</v>
      </c>
      <c r="G340" s="353"/>
      <c r="H340" s="353"/>
      <c r="I340" s="354"/>
      <c r="J340" s="353"/>
    </row>
    <row r="341" spans="1:10">
      <c r="A341" s="350" t="s">
        <v>385</v>
      </c>
      <c r="B341" s="351">
        <v>4</v>
      </c>
      <c r="C341" s="352">
        <v>2.16</v>
      </c>
      <c r="D341" s="353">
        <f t="shared" si="2"/>
        <v>0.47520000000000001</v>
      </c>
      <c r="E341" s="353"/>
      <c r="F341" s="353">
        <f t="shared" si="3"/>
        <v>1.9440000000000002</v>
      </c>
      <c r="G341" s="353">
        <f>C341+D341+E341+F341</f>
        <v>4.5792000000000002</v>
      </c>
      <c r="H341" s="353">
        <f>G341*0.35</f>
        <v>1.6027199999999999</v>
      </c>
      <c r="I341" s="354">
        <f>G341+H341</f>
        <v>6.1819199999999999</v>
      </c>
      <c r="J341" s="353"/>
    </row>
    <row r="342" spans="1:10">
      <c r="A342" s="350"/>
      <c r="B342" s="351"/>
      <c r="C342" s="352"/>
      <c r="D342" s="353"/>
      <c r="E342" s="353"/>
      <c r="F342" s="353"/>
      <c r="G342" s="353"/>
      <c r="H342" s="353"/>
      <c r="I342" s="354"/>
      <c r="J342" s="353"/>
    </row>
    <row r="343" spans="1:10">
      <c r="A343" s="345" t="s">
        <v>1180</v>
      </c>
      <c r="B343" s="346"/>
      <c r="C343" s="347">
        <v>8.5500000000000007</v>
      </c>
      <c r="D343" s="347">
        <f t="shared" si="2"/>
        <v>1.8810000000000002</v>
      </c>
      <c r="E343" s="347">
        <f>'[1]матеріали для МО'!F231</f>
        <v>4.3</v>
      </c>
      <c r="F343" s="347">
        <f t="shared" si="3"/>
        <v>7.6950000000000012</v>
      </c>
      <c r="G343" s="347">
        <f>C343+D343+E343+F343</f>
        <v>22.426000000000002</v>
      </c>
      <c r="H343" s="347">
        <f>G343*0.35</f>
        <v>7.8491</v>
      </c>
      <c r="I343" s="348">
        <f>G343+H343</f>
        <v>30.275100000000002</v>
      </c>
      <c r="J343" s="349">
        <f>I343+I346+I345</f>
        <v>36.45702</v>
      </c>
    </row>
    <row r="344" spans="1:10">
      <c r="A344" s="350" t="s">
        <v>250</v>
      </c>
      <c r="B344" s="350">
        <v>9</v>
      </c>
      <c r="C344" s="352">
        <v>8.5500000000000007</v>
      </c>
      <c r="D344" s="353">
        <f t="shared" si="2"/>
        <v>1.8810000000000002</v>
      </c>
      <c r="E344" s="353"/>
      <c r="F344" s="353">
        <f t="shared" si="3"/>
        <v>7.6950000000000012</v>
      </c>
      <c r="G344" s="353"/>
      <c r="H344" s="353"/>
      <c r="I344" s="354"/>
      <c r="J344" s="353"/>
    </row>
    <row r="345" spans="1:10">
      <c r="A345" s="350" t="s">
        <v>385</v>
      </c>
      <c r="B345" s="351">
        <v>4</v>
      </c>
      <c r="C345" s="352">
        <v>2.16</v>
      </c>
      <c r="D345" s="353">
        <f t="shared" si="2"/>
        <v>0.47520000000000001</v>
      </c>
      <c r="E345" s="353"/>
      <c r="F345" s="353">
        <f t="shared" si="3"/>
        <v>1.9440000000000002</v>
      </c>
      <c r="G345" s="353">
        <f>C345+D345+E345+F345</f>
        <v>4.5792000000000002</v>
      </c>
      <c r="H345" s="353">
        <f>G345*0.35</f>
        <v>1.6027199999999999</v>
      </c>
      <c r="I345" s="354">
        <f>G345+H345</f>
        <v>6.1819199999999999</v>
      </c>
      <c r="J345" s="353"/>
    </row>
    <row r="346" spans="1:10">
      <c r="A346" s="350"/>
      <c r="B346" s="351"/>
      <c r="C346" s="352"/>
      <c r="D346" s="353"/>
      <c r="E346" s="353"/>
      <c r="F346" s="353"/>
      <c r="G346" s="353"/>
      <c r="H346" s="353"/>
      <c r="I346" s="354"/>
      <c r="J346" s="353"/>
    </row>
    <row r="347" spans="1:10">
      <c r="A347" s="345" t="s">
        <v>1181</v>
      </c>
      <c r="B347" s="346"/>
      <c r="C347" s="347">
        <f>C348+C349</f>
        <v>15.05</v>
      </c>
      <c r="D347" s="347">
        <f t="shared" si="2"/>
        <v>3.3110000000000004</v>
      </c>
      <c r="E347" s="347">
        <f>'[1]матеріали для МО'!F238</f>
        <v>3.5</v>
      </c>
      <c r="F347" s="347">
        <f t="shared" si="3"/>
        <v>13.545000000000002</v>
      </c>
      <c r="G347" s="347">
        <f>C347+D347+E347+F347</f>
        <v>35.406000000000006</v>
      </c>
      <c r="H347" s="347">
        <f>G347*0.35</f>
        <v>12.392100000000001</v>
      </c>
      <c r="I347" s="348">
        <f>G347+H347</f>
        <v>47.798100000000005</v>
      </c>
      <c r="J347" s="349">
        <f>I347+I351+I350</f>
        <v>55.525500000000008</v>
      </c>
    </row>
    <row r="348" spans="1:10">
      <c r="A348" s="350" t="s">
        <v>258</v>
      </c>
      <c r="B348" s="350">
        <v>5</v>
      </c>
      <c r="C348" s="352">
        <v>5.55</v>
      </c>
      <c r="D348" s="353"/>
      <c r="E348" s="353"/>
      <c r="F348" s="353"/>
      <c r="G348" s="353"/>
      <c r="H348" s="353"/>
      <c r="I348" s="354"/>
      <c r="J348" s="353"/>
    </row>
    <row r="349" spans="1:10">
      <c r="A349" s="350" t="s">
        <v>250</v>
      </c>
      <c r="B349" s="350">
        <v>10</v>
      </c>
      <c r="C349" s="352">
        <v>9.5</v>
      </c>
      <c r="D349" s="353">
        <f t="shared" si="2"/>
        <v>2.09</v>
      </c>
      <c r="E349" s="353"/>
      <c r="F349" s="353">
        <f t="shared" si="3"/>
        <v>8.5500000000000007</v>
      </c>
      <c r="G349" s="353"/>
      <c r="H349" s="353"/>
      <c r="I349" s="354"/>
      <c r="J349" s="353"/>
    </row>
    <row r="350" spans="1:10">
      <c r="A350" s="350" t="s">
        <v>385</v>
      </c>
      <c r="B350" s="351">
        <v>5</v>
      </c>
      <c r="C350" s="352">
        <v>2.7</v>
      </c>
      <c r="D350" s="353">
        <f t="shared" si="2"/>
        <v>0.59400000000000008</v>
      </c>
      <c r="E350" s="353"/>
      <c r="F350" s="353">
        <f t="shared" si="3"/>
        <v>2.4300000000000002</v>
      </c>
      <c r="G350" s="353">
        <f>C350+D350+E350+F350</f>
        <v>5.7240000000000002</v>
      </c>
      <c r="H350" s="353">
        <f>G350*0.35</f>
        <v>2.0034000000000001</v>
      </c>
      <c r="I350" s="354">
        <f>G350+H350</f>
        <v>7.7274000000000003</v>
      </c>
      <c r="J350" s="353"/>
    </row>
    <row r="351" spans="1:10">
      <c r="A351" s="350"/>
      <c r="B351" s="351"/>
      <c r="C351" s="352"/>
      <c r="D351" s="353"/>
      <c r="E351" s="353"/>
      <c r="F351" s="353"/>
      <c r="G351" s="353"/>
      <c r="H351" s="353"/>
      <c r="I351" s="354"/>
      <c r="J351" s="353"/>
    </row>
    <row r="352" spans="1:10">
      <c r="A352" s="345" t="s">
        <v>1182</v>
      </c>
      <c r="B352" s="346"/>
      <c r="C352" s="347">
        <f>C353+C354</f>
        <v>8.56</v>
      </c>
      <c r="D352" s="347">
        <f t="shared" si="2"/>
        <v>1.8832000000000002</v>
      </c>
      <c r="E352" s="347">
        <v>5.2</v>
      </c>
      <c r="F352" s="347">
        <f t="shared" si="3"/>
        <v>7.7040000000000006</v>
      </c>
      <c r="G352" s="347">
        <f>C352+D352+E352+F352</f>
        <v>23.347200000000001</v>
      </c>
      <c r="H352" s="347">
        <f>G352*0.35</f>
        <v>8.1715199999999992</v>
      </c>
      <c r="I352" s="348">
        <f>G352+H352</f>
        <v>31.518720000000002</v>
      </c>
      <c r="J352" s="349">
        <f>I352+I356+I355</f>
        <v>36.155160000000002</v>
      </c>
    </row>
    <row r="353" spans="1:10">
      <c r="A353" s="377" t="s">
        <v>258</v>
      </c>
      <c r="B353" s="377">
        <v>6</v>
      </c>
      <c r="C353" s="357">
        <v>6.66</v>
      </c>
      <c r="D353" s="357">
        <f t="shared" si="2"/>
        <v>1.4652000000000001</v>
      </c>
      <c r="E353" s="357"/>
      <c r="F353" s="357">
        <f t="shared" si="3"/>
        <v>5.9940000000000007</v>
      </c>
      <c r="G353" s="357"/>
      <c r="H353" s="357"/>
      <c r="I353" s="378"/>
      <c r="J353" s="379"/>
    </row>
    <row r="354" spans="1:10">
      <c r="A354" s="350" t="s">
        <v>250</v>
      </c>
      <c r="B354" s="350">
        <v>2</v>
      </c>
      <c r="C354" s="352">
        <v>1.9</v>
      </c>
      <c r="D354" s="353">
        <f t="shared" si="2"/>
        <v>0.41799999999999998</v>
      </c>
      <c r="E354" s="353"/>
      <c r="F354" s="353">
        <f t="shared" si="3"/>
        <v>1.71</v>
      </c>
      <c r="G354" s="353"/>
      <c r="H354" s="353"/>
      <c r="I354" s="354"/>
      <c r="J354" s="355"/>
    </row>
    <row r="355" spans="1:10">
      <c r="A355" s="350" t="s">
        <v>385</v>
      </c>
      <c r="B355" s="351">
        <v>3</v>
      </c>
      <c r="C355" s="352">
        <v>1.62</v>
      </c>
      <c r="D355" s="353">
        <f t="shared" si="2"/>
        <v>0.35640000000000005</v>
      </c>
      <c r="E355" s="353"/>
      <c r="F355" s="353">
        <f t="shared" si="3"/>
        <v>1.4580000000000002</v>
      </c>
      <c r="G355" s="353">
        <f>C355+D355+E355+F355</f>
        <v>3.4344000000000001</v>
      </c>
      <c r="H355" s="353">
        <f>G355*0.35</f>
        <v>1.20204</v>
      </c>
      <c r="I355" s="354">
        <f>G355+H355</f>
        <v>4.6364400000000003</v>
      </c>
      <c r="J355" s="355"/>
    </row>
    <row r="356" spans="1:10">
      <c r="A356" s="350"/>
      <c r="B356" s="351"/>
      <c r="C356" s="352"/>
      <c r="D356" s="353"/>
      <c r="E356" s="353"/>
      <c r="F356" s="353"/>
      <c r="G356" s="353"/>
      <c r="H356" s="353"/>
      <c r="I356" s="354"/>
      <c r="J356" s="355"/>
    </row>
    <row r="357" spans="1:10">
      <c r="A357" s="345" t="s">
        <v>1183</v>
      </c>
      <c r="B357" s="346"/>
      <c r="C357" s="347">
        <f>C358+C359</f>
        <v>8.56</v>
      </c>
      <c r="D357" s="347">
        <f t="shared" si="2"/>
        <v>1.8832000000000002</v>
      </c>
      <c r="E357" s="347">
        <v>2.5</v>
      </c>
      <c r="F357" s="347">
        <f t="shared" si="3"/>
        <v>7.7040000000000006</v>
      </c>
      <c r="G357" s="347">
        <f>C357+D357+E357+F357</f>
        <v>20.647200000000002</v>
      </c>
      <c r="H357" s="347">
        <f>G357*0.35</f>
        <v>7.2265199999999998</v>
      </c>
      <c r="I357" s="348">
        <f>G357+H357</f>
        <v>27.873720000000002</v>
      </c>
      <c r="J357" s="349">
        <f>I357+I361+I360</f>
        <v>32.510159999999999</v>
      </c>
    </row>
    <row r="358" spans="1:10">
      <c r="A358" s="377" t="s">
        <v>258</v>
      </c>
      <c r="B358" s="377">
        <v>6</v>
      </c>
      <c r="C358" s="357">
        <v>6.66</v>
      </c>
      <c r="D358" s="357">
        <f t="shared" si="2"/>
        <v>1.4652000000000001</v>
      </c>
      <c r="E358" s="357"/>
      <c r="F358" s="357">
        <f t="shared" si="3"/>
        <v>5.9940000000000007</v>
      </c>
      <c r="G358" s="357"/>
      <c r="H358" s="357"/>
      <c r="I358" s="378"/>
      <c r="J358" s="380"/>
    </row>
    <row r="359" spans="1:10">
      <c r="A359" s="350" t="s">
        <v>250</v>
      </c>
      <c r="B359" s="350">
        <v>2</v>
      </c>
      <c r="C359" s="352">
        <v>1.9</v>
      </c>
      <c r="D359" s="353">
        <f t="shared" si="2"/>
        <v>0.41799999999999998</v>
      </c>
      <c r="E359" s="353"/>
      <c r="F359" s="353">
        <f t="shared" si="3"/>
        <v>1.71</v>
      </c>
      <c r="G359" s="353"/>
      <c r="H359" s="353"/>
      <c r="I359" s="354"/>
      <c r="J359" s="353"/>
    </row>
    <row r="360" spans="1:10">
      <c r="A360" s="350" t="s">
        <v>385</v>
      </c>
      <c r="B360" s="351">
        <v>3</v>
      </c>
      <c r="C360" s="352">
        <v>1.62</v>
      </c>
      <c r="D360" s="353">
        <f t="shared" si="2"/>
        <v>0.35640000000000005</v>
      </c>
      <c r="E360" s="353"/>
      <c r="F360" s="353">
        <f t="shared" si="3"/>
        <v>1.4580000000000002</v>
      </c>
      <c r="G360" s="353">
        <f>C360+D360+E360+F360</f>
        <v>3.4344000000000001</v>
      </c>
      <c r="H360" s="353">
        <f>G360*0.35</f>
        <v>1.20204</v>
      </c>
      <c r="I360" s="354">
        <f>G360+H360</f>
        <v>4.6364400000000003</v>
      </c>
      <c r="J360" s="353"/>
    </row>
    <row r="361" spans="1:10">
      <c r="A361" s="350"/>
      <c r="B361" s="351"/>
      <c r="C361" s="352"/>
      <c r="D361" s="353"/>
      <c r="E361" s="353"/>
      <c r="F361" s="353"/>
      <c r="G361" s="353"/>
      <c r="H361" s="353"/>
      <c r="I361" s="354"/>
      <c r="J361" s="353"/>
    </row>
    <row r="362" spans="1:10">
      <c r="A362" s="345" t="s">
        <v>1184</v>
      </c>
      <c r="B362" s="346"/>
      <c r="C362" s="347">
        <v>5.7</v>
      </c>
      <c r="D362" s="347">
        <f t="shared" si="2"/>
        <v>1.254</v>
      </c>
      <c r="E362" s="347">
        <f>'[1]матеріали для МО'!F260</f>
        <v>4.8099999999999996</v>
      </c>
      <c r="F362" s="347">
        <f t="shared" si="3"/>
        <v>5.13</v>
      </c>
      <c r="G362" s="347">
        <f>C362+D362+E362+F362</f>
        <v>16.893999999999998</v>
      </c>
      <c r="H362" s="347">
        <f>G362*0.35</f>
        <v>5.9128999999999987</v>
      </c>
      <c r="I362" s="348">
        <f>G362+H362</f>
        <v>22.806899999999999</v>
      </c>
      <c r="J362" s="349">
        <f>I362+I365+I364</f>
        <v>27.443339999999999</v>
      </c>
    </row>
    <row r="363" spans="1:10">
      <c r="A363" s="350" t="s">
        <v>250</v>
      </c>
      <c r="B363" s="350">
        <v>6</v>
      </c>
      <c r="C363" s="352">
        <v>5.7</v>
      </c>
      <c r="D363" s="353">
        <f t="shared" si="2"/>
        <v>1.254</v>
      </c>
      <c r="E363" s="353"/>
      <c r="F363" s="353">
        <f t="shared" si="3"/>
        <v>5.13</v>
      </c>
      <c r="G363" s="353"/>
      <c r="H363" s="353"/>
      <c r="I363" s="354"/>
      <c r="J363" s="353"/>
    </row>
    <row r="364" spans="1:10">
      <c r="A364" s="350" t="s">
        <v>385</v>
      </c>
      <c r="B364" s="351">
        <v>3</v>
      </c>
      <c r="C364" s="352">
        <v>1.62</v>
      </c>
      <c r="D364" s="353">
        <f t="shared" si="2"/>
        <v>0.35640000000000005</v>
      </c>
      <c r="E364" s="353"/>
      <c r="F364" s="353">
        <f t="shared" si="3"/>
        <v>1.4580000000000002</v>
      </c>
      <c r="G364" s="353">
        <f>C364+D364+E364+F364</f>
        <v>3.4344000000000001</v>
      </c>
      <c r="H364" s="353">
        <f>G364*0.35</f>
        <v>1.20204</v>
      </c>
      <c r="I364" s="354">
        <f>G364+H364</f>
        <v>4.6364400000000003</v>
      </c>
      <c r="J364" s="353"/>
    </row>
    <row r="365" spans="1:10">
      <c r="A365" s="350"/>
      <c r="B365" s="351"/>
      <c r="C365" s="352"/>
      <c r="D365" s="353"/>
      <c r="E365" s="353"/>
      <c r="F365" s="353"/>
      <c r="G365" s="353"/>
      <c r="H365" s="353"/>
      <c r="I365" s="354"/>
      <c r="J365" s="353"/>
    </row>
    <row r="366" spans="1:10">
      <c r="A366" s="345" t="s">
        <v>1185</v>
      </c>
      <c r="B366" s="346"/>
      <c r="C366" s="347">
        <f>C367+C368</f>
        <v>12.36</v>
      </c>
      <c r="D366" s="347">
        <f t="shared" si="2"/>
        <v>2.7191999999999998</v>
      </c>
      <c r="E366" s="347">
        <f>'[1]матеріали для МО'!F267</f>
        <v>5.76</v>
      </c>
      <c r="F366" s="347">
        <f t="shared" si="3"/>
        <v>11.124000000000001</v>
      </c>
      <c r="G366" s="347">
        <f>C366+D366+E366+F366</f>
        <v>31.963200000000001</v>
      </c>
      <c r="H366" s="347">
        <f>G366*0.35</f>
        <v>11.18712</v>
      </c>
      <c r="I366" s="348">
        <f>G366+H366</f>
        <v>43.150320000000001</v>
      </c>
      <c r="J366" s="349">
        <f>I366+I369+I370</f>
        <v>50.877720000000004</v>
      </c>
    </row>
    <row r="367" spans="1:10">
      <c r="A367" s="350" t="s">
        <v>258</v>
      </c>
      <c r="B367" s="350">
        <v>6</v>
      </c>
      <c r="C367" s="352">
        <v>6.66</v>
      </c>
      <c r="D367" s="353">
        <f t="shared" si="2"/>
        <v>1.4652000000000001</v>
      </c>
      <c r="E367" s="353"/>
      <c r="F367" s="353">
        <f t="shared" si="3"/>
        <v>5.9940000000000007</v>
      </c>
      <c r="G367" s="353"/>
      <c r="H367" s="353"/>
      <c r="I367" s="354"/>
      <c r="J367" s="353"/>
    </row>
    <row r="368" spans="1:10">
      <c r="A368" s="350" t="s">
        <v>250</v>
      </c>
      <c r="B368" s="350">
        <v>6</v>
      </c>
      <c r="C368" s="352">
        <v>5.7</v>
      </c>
      <c r="D368" s="353">
        <f t="shared" si="2"/>
        <v>1.254</v>
      </c>
      <c r="E368" s="353"/>
      <c r="F368" s="353">
        <f t="shared" si="3"/>
        <v>5.13</v>
      </c>
      <c r="G368" s="353"/>
      <c r="H368" s="353"/>
      <c r="I368" s="354"/>
      <c r="J368" s="353"/>
    </row>
    <row r="369" spans="1:10">
      <c r="A369" s="350" t="s">
        <v>385</v>
      </c>
      <c r="B369" s="351">
        <v>5</v>
      </c>
      <c r="C369" s="352">
        <v>2.7</v>
      </c>
      <c r="D369" s="353">
        <f t="shared" si="2"/>
        <v>0.59400000000000008</v>
      </c>
      <c r="E369" s="353"/>
      <c r="F369" s="353">
        <f t="shared" si="3"/>
        <v>2.4300000000000002</v>
      </c>
      <c r="G369" s="353">
        <f>C369+D369+E369+F369</f>
        <v>5.7240000000000002</v>
      </c>
      <c r="H369" s="353">
        <f>G369*0.35</f>
        <v>2.0034000000000001</v>
      </c>
      <c r="I369" s="354">
        <f>G369+H369</f>
        <v>7.7274000000000003</v>
      </c>
      <c r="J369" s="353"/>
    </row>
    <row r="370" spans="1:10">
      <c r="A370" s="350"/>
      <c r="B370" s="351"/>
      <c r="C370" s="352"/>
      <c r="D370" s="353"/>
      <c r="E370" s="353"/>
      <c r="F370" s="353"/>
      <c r="G370" s="353"/>
      <c r="H370" s="353"/>
      <c r="I370" s="354"/>
      <c r="J370" s="353"/>
    </row>
    <row r="371" spans="1:10">
      <c r="A371" s="345" t="s">
        <v>1186</v>
      </c>
      <c r="B371" s="346"/>
      <c r="C371" s="347">
        <v>5.7</v>
      </c>
      <c r="D371" s="347">
        <f t="shared" si="2"/>
        <v>1.254</v>
      </c>
      <c r="E371" s="347">
        <f>'[1]матеріали для МО'!F274</f>
        <v>2.72</v>
      </c>
      <c r="F371" s="347">
        <f t="shared" si="3"/>
        <v>5.13</v>
      </c>
      <c r="G371" s="347">
        <f>C371+D371+E371+F371</f>
        <v>14.804000000000002</v>
      </c>
      <c r="H371" s="347">
        <f>G371*0.35</f>
        <v>5.1814</v>
      </c>
      <c r="I371" s="348">
        <f>G371+H371</f>
        <v>19.985400000000002</v>
      </c>
      <c r="J371" s="349">
        <f>I371+I373+I374</f>
        <v>24.621840000000002</v>
      </c>
    </row>
    <row r="372" spans="1:10">
      <c r="A372" s="350" t="s">
        <v>250</v>
      </c>
      <c r="B372" s="350">
        <v>6</v>
      </c>
      <c r="C372" s="352">
        <v>5.7</v>
      </c>
      <c r="D372" s="353">
        <f t="shared" si="2"/>
        <v>1.254</v>
      </c>
      <c r="E372" s="353"/>
      <c r="F372" s="353">
        <f t="shared" si="3"/>
        <v>5.13</v>
      </c>
      <c r="G372" s="353"/>
      <c r="H372" s="353"/>
      <c r="I372" s="354"/>
      <c r="J372" s="355"/>
    </row>
    <row r="373" spans="1:10">
      <c r="A373" s="350" t="s">
        <v>385</v>
      </c>
      <c r="B373" s="351">
        <v>3</v>
      </c>
      <c r="C373" s="352">
        <v>1.62</v>
      </c>
      <c r="D373" s="353">
        <f t="shared" si="2"/>
        <v>0.35640000000000005</v>
      </c>
      <c r="E373" s="353"/>
      <c r="F373" s="353">
        <f t="shared" si="3"/>
        <v>1.4580000000000002</v>
      </c>
      <c r="G373" s="353">
        <f>C373+D373+E373+F373</f>
        <v>3.4344000000000001</v>
      </c>
      <c r="H373" s="353">
        <f>G373*0.35</f>
        <v>1.20204</v>
      </c>
      <c r="I373" s="354">
        <f>G373+H373</f>
        <v>4.6364400000000003</v>
      </c>
      <c r="J373" s="355"/>
    </row>
    <row r="374" spans="1:10">
      <c r="A374" s="350"/>
      <c r="B374" s="351"/>
      <c r="C374" s="352"/>
      <c r="D374" s="353"/>
      <c r="E374" s="353"/>
      <c r="F374" s="353"/>
      <c r="G374" s="353"/>
      <c r="H374" s="353"/>
      <c r="I374" s="354"/>
      <c r="J374" s="355"/>
    </row>
    <row r="375" spans="1:10">
      <c r="A375" s="358" t="s">
        <v>1187</v>
      </c>
      <c r="B375" s="359"/>
      <c r="C375" s="347">
        <v>3.8</v>
      </c>
      <c r="D375" s="347">
        <f t="shared" si="2"/>
        <v>0.83599999999999997</v>
      </c>
      <c r="E375" s="347">
        <f>'[1]матеріали для МО'!F282</f>
        <v>4.41</v>
      </c>
      <c r="F375" s="347">
        <f t="shared" si="3"/>
        <v>3.42</v>
      </c>
      <c r="G375" s="347">
        <f>C375+D375+E375+F375</f>
        <v>12.465999999999999</v>
      </c>
      <c r="H375" s="347">
        <f>G375*0.35</f>
        <v>4.3630999999999993</v>
      </c>
      <c r="I375" s="348">
        <f>G375+H375</f>
        <v>16.829099999999997</v>
      </c>
      <c r="J375" s="349">
        <f>I375+I377+I378</f>
        <v>19.920059999999996</v>
      </c>
    </row>
    <row r="376" spans="1:10">
      <c r="A376" s="355" t="s">
        <v>250</v>
      </c>
      <c r="B376" s="355">
        <v>4</v>
      </c>
      <c r="C376" s="353">
        <v>3.8</v>
      </c>
      <c r="D376" s="353">
        <f t="shared" si="2"/>
        <v>0.83599999999999997</v>
      </c>
      <c r="E376" s="353"/>
      <c r="F376" s="353">
        <f t="shared" si="3"/>
        <v>3.42</v>
      </c>
      <c r="G376" s="353"/>
      <c r="H376" s="353"/>
      <c r="I376" s="354"/>
      <c r="J376" s="381"/>
    </row>
    <row r="377" spans="1:10">
      <c r="A377" s="350" t="s">
        <v>385</v>
      </c>
      <c r="B377" s="351">
        <v>2</v>
      </c>
      <c r="C377" s="352">
        <v>1.08</v>
      </c>
      <c r="D377" s="353">
        <f t="shared" si="2"/>
        <v>0.23760000000000001</v>
      </c>
      <c r="E377" s="353"/>
      <c r="F377" s="353">
        <f t="shared" si="3"/>
        <v>0.97200000000000009</v>
      </c>
      <c r="G377" s="353">
        <f>C377+D377+E377+F377</f>
        <v>2.2896000000000001</v>
      </c>
      <c r="H377" s="353">
        <f>G377*0.35</f>
        <v>0.80135999999999996</v>
      </c>
      <c r="I377" s="354">
        <f>G377+H377</f>
        <v>3.0909599999999999</v>
      </c>
      <c r="J377" s="381"/>
    </row>
    <row r="378" spans="1:10">
      <c r="A378" s="350"/>
      <c r="B378" s="351"/>
      <c r="C378" s="352"/>
      <c r="D378" s="353"/>
      <c r="E378" s="353"/>
      <c r="F378" s="353"/>
      <c r="G378" s="353"/>
      <c r="H378" s="353"/>
      <c r="I378" s="354"/>
      <c r="J378" s="381"/>
    </row>
    <row r="379" spans="1:10">
      <c r="A379" s="358" t="s">
        <v>1188</v>
      </c>
      <c r="B379" s="359"/>
      <c r="C379" s="347">
        <f>C380+C381</f>
        <v>8.24</v>
      </c>
      <c r="D379" s="347">
        <f t="shared" si="2"/>
        <v>1.8128</v>
      </c>
      <c r="E379" s="347">
        <v>6.06</v>
      </c>
      <c r="F379" s="347">
        <f t="shared" si="3"/>
        <v>7.4160000000000004</v>
      </c>
      <c r="G379" s="347">
        <f>C379+D379+E379+F379</f>
        <v>23.5288</v>
      </c>
      <c r="H379" s="347">
        <f>G379*0.35</f>
        <v>8.23508</v>
      </c>
      <c r="I379" s="348">
        <f>G379+H379</f>
        <v>31.76388</v>
      </c>
      <c r="J379" s="349">
        <f>I379+I382+I383</f>
        <v>34.854840000000003</v>
      </c>
    </row>
    <row r="380" spans="1:10">
      <c r="A380" s="350" t="s">
        <v>258</v>
      </c>
      <c r="B380" s="355">
        <v>4</v>
      </c>
      <c r="C380" s="353">
        <v>4.4400000000000004</v>
      </c>
      <c r="D380" s="353">
        <f t="shared" si="2"/>
        <v>0.97680000000000011</v>
      </c>
      <c r="E380" s="353"/>
      <c r="F380" s="353"/>
      <c r="G380" s="353"/>
      <c r="H380" s="353"/>
      <c r="I380" s="354"/>
      <c r="J380" s="381"/>
    </row>
    <row r="381" spans="1:10">
      <c r="A381" s="350" t="s">
        <v>250</v>
      </c>
      <c r="B381" s="355">
        <v>4</v>
      </c>
      <c r="C381" s="353">
        <v>3.8</v>
      </c>
      <c r="D381" s="353">
        <f t="shared" ref="D381:D384" si="4">C381*0.22</f>
        <v>0.83599999999999997</v>
      </c>
      <c r="E381" s="353"/>
      <c r="F381" s="353"/>
      <c r="G381" s="353"/>
      <c r="H381" s="353"/>
      <c r="I381" s="354"/>
      <c r="J381" s="353"/>
    </row>
    <row r="382" spans="1:10">
      <c r="A382" s="350" t="s">
        <v>385</v>
      </c>
      <c r="B382" s="351">
        <v>2</v>
      </c>
      <c r="C382" s="352">
        <v>1.08</v>
      </c>
      <c r="D382" s="353">
        <f t="shared" si="4"/>
        <v>0.23760000000000001</v>
      </c>
      <c r="E382" s="353"/>
      <c r="F382" s="353">
        <f>C382*0.9</f>
        <v>0.97200000000000009</v>
      </c>
      <c r="G382" s="353">
        <f>C382+D382+E382+F382</f>
        <v>2.2896000000000001</v>
      </c>
      <c r="H382" s="353">
        <f>G382*0.35</f>
        <v>0.80135999999999996</v>
      </c>
      <c r="I382" s="354">
        <f>G382+H382</f>
        <v>3.0909599999999999</v>
      </c>
      <c r="J382" s="353"/>
    </row>
    <row r="383" spans="1:10">
      <c r="A383" s="350"/>
      <c r="B383" s="351"/>
      <c r="C383" s="352"/>
      <c r="D383" s="353"/>
      <c r="E383" s="353"/>
      <c r="F383" s="353"/>
      <c r="G383" s="353"/>
      <c r="H383" s="353"/>
      <c r="I383" s="354"/>
      <c r="J383" s="353"/>
    </row>
    <row r="384" spans="1:10">
      <c r="A384" s="358" t="s">
        <v>1189</v>
      </c>
      <c r="B384" s="359"/>
      <c r="C384" s="347">
        <v>7.4</v>
      </c>
      <c r="D384" s="347">
        <f t="shared" si="4"/>
        <v>1.6280000000000001</v>
      </c>
      <c r="E384" s="347">
        <v>2.85</v>
      </c>
      <c r="F384" s="347">
        <f>C384*0.9</f>
        <v>6.66</v>
      </c>
      <c r="G384" s="347">
        <f>C384+D384+E384+F384</f>
        <v>18.538</v>
      </c>
      <c r="H384" s="347">
        <f>G384*0.35</f>
        <v>6.4882999999999997</v>
      </c>
      <c r="I384" s="348">
        <f>G384+H384</f>
        <v>25.026299999999999</v>
      </c>
      <c r="J384" s="349">
        <f>I384+I387+I388</f>
        <v>28.117259999999998</v>
      </c>
    </row>
    <row r="385" spans="1:10">
      <c r="A385" s="350" t="s">
        <v>258</v>
      </c>
      <c r="B385" s="355">
        <v>5</v>
      </c>
      <c r="C385" s="353">
        <v>5.55</v>
      </c>
      <c r="D385" s="353"/>
      <c r="E385" s="353"/>
      <c r="F385" s="353"/>
      <c r="G385" s="353"/>
      <c r="H385" s="353"/>
      <c r="I385" s="354"/>
      <c r="J385" s="381"/>
    </row>
    <row r="386" spans="1:10">
      <c r="A386" s="350" t="s">
        <v>250</v>
      </c>
      <c r="B386" s="355">
        <v>5</v>
      </c>
      <c r="C386" s="353">
        <v>4.75</v>
      </c>
      <c r="D386" s="353"/>
      <c r="E386" s="353"/>
      <c r="F386" s="353"/>
      <c r="G386" s="353"/>
      <c r="H386" s="353"/>
      <c r="I386" s="354"/>
      <c r="J386" s="353"/>
    </row>
    <row r="387" spans="1:10">
      <c r="A387" s="350" t="s">
        <v>385</v>
      </c>
      <c r="B387" s="351">
        <v>2</v>
      </c>
      <c r="C387" s="352">
        <v>1.08</v>
      </c>
      <c r="D387" s="353">
        <f t="shared" ref="D387:D417" si="5">C387*0.22</f>
        <v>0.23760000000000001</v>
      </c>
      <c r="E387" s="353"/>
      <c r="F387" s="353">
        <f>C387*0.9</f>
        <v>0.97200000000000009</v>
      </c>
      <c r="G387" s="353">
        <f>C387+D387+E387+F387</f>
        <v>2.2896000000000001</v>
      </c>
      <c r="H387" s="353">
        <f>G387*0.35</f>
        <v>0.80135999999999996</v>
      </c>
      <c r="I387" s="354">
        <f>G387+H387</f>
        <v>3.0909599999999999</v>
      </c>
      <c r="J387" s="353"/>
    </row>
    <row r="388" spans="1:10">
      <c r="A388" s="350"/>
      <c r="B388" s="351"/>
      <c r="C388" s="352"/>
      <c r="D388" s="353"/>
      <c r="E388" s="353"/>
      <c r="F388" s="353"/>
      <c r="G388" s="353"/>
      <c r="H388" s="353"/>
      <c r="I388" s="354"/>
      <c r="J388" s="353"/>
    </row>
    <row r="389" spans="1:10">
      <c r="A389" s="358" t="s">
        <v>1190</v>
      </c>
      <c r="B389" s="359"/>
      <c r="C389" s="347">
        <f>C390+C391</f>
        <v>12.36</v>
      </c>
      <c r="D389" s="347">
        <f t="shared" si="5"/>
        <v>2.7191999999999998</v>
      </c>
      <c r="E389" s="347">
        <v>2.38</v>
      </c>
      <c r="F389" s="347">
        <f>C389*0.9</f>
        <v>11.124000000000001</v>
      </c>
      <c r="G389" s="347">
        <f>C389+D389+E389+F389</f>
        <v>28.583199999999998</v>
      </c>
      <c r="H389" s="347">
        <f>G389*0.35</f>
        <v>10.004119999999999</v>
      </c>
      <c r="I389" s="348">
        <f>G389+H389</f>
        <v>38.587319999999998</v>
      </c>
      <c r="J389" s="349">
        <f>I389+I392+I393</f>
        <v>43.223759999999999</v>
      </c>
    </row>
    <row r="390" spans="1:10">
      <c r="A390" s="350" t="s">
        <v>258</v>
      </c>
      <c r="B390" s="355">
        <v>6</v>
      </c>
      <c r="C390" s="353">
        <v>6.66</v>
      </c>
      <c r="D390" s="353">
        <f t="shared" si="5"/>
        <v>1.4652000000000001</v>
      </c>
      <c r="E390" s="353"/>
      <c r="F390" s="353"/>
      <c r="G390" s="353"/>
      <c r="H390" s="353"/>
      <c r="I390" s="354"/>
      <c r="J390" s="381"/>
    </row>
    <row r="391" spans="1:10">
      <c r="A391" s="350" t="s">
        <v>250</v>
      </c>
      <c r="B391" s="355">
        <v>6</v>
      </c>
      <c r="C391" s="353">
        <v>5.7</v>
      </c>
      <c r="D391" s="353">
        <f t="shared" si="5"/>
        <v>1.254</v>
      </c>
      <c r="E391" s="353"/>
      <c r="F391" s="353"/>
      <c r="G391" s="353"/>
      <c r="H391" s="353"/>
      <c r="I391" s="354"/>
      <c r="J391" s="353"/>
    </row>
    <row r="392" spans="1:10">
      <c r="A392" s="350" t="s">
        <v>385</v>
      </c>
      <c r="B392" s="351">
        <v>3</v>
      </c>
      <c r="C392" s="352">
        <v>1.62</v>
      </c>
      <c r="D392" s="353">
        <f t="shared" si="5"/>
        <v>0.35640000000000005</v>
      </c>
      <c r="E392" s="353"/>
      <c r="F392" s="353">
        <f>C392*0.9</f>
        <v>1.4580000000000002</v>
      </c>
      <c r="G392" s="353">
        <f>C392+D392+E392+F392</f>
        <v>3.4344000000000001</v>
      </c>
      <c r="H392" s="353">
        <f>G392*0.35</f>
        <v>1.20204</v>
      </c>
      <c r="I392" s="354">
        <f>G392+H392</f>
        <v>4.6364400000000003</v>
      </c>
      <c r="J392" s="353"/>
    </row>
    <row r="393" spans="1:10">
      <c r="A393" s="350"/>
      <c r="B393" s="351"/>
      <c r="C393" s="352"/>
      <c r="D393" s="353"/>
      <c r="E393" s="353"/>
      <c r="F393" s="353"/>
      <c r="G393" s="353"/>
      <c r="H393" s="353"/>
      <c r="I393" s="354"/>
      <c r="J393" s="353"/>
    </row>
    <row r="394" spans="1:10">
      <c r="A394" s="358" t="s">
        <v>1191</v>
      </c>
      <c r="B394" s="359"/>
      <c r="C394" s="347">
        <v>7.4</v>
      </c>
      <c r="D394" s="347">
        <f t="shared" si="5"/>
        <v>1.6280000000000001</v>
      </c>
      <c r="E394" s="347">
        <v>2.38</v>
      </c>
      <c r="F394" s="347">
        <f>C394*0.9</f>
        <v>6.66</v>
      </c>
      <c r="G394" s="347">
        <f>C394+D394+E394+F394</f>
        <v>18.068000000000001</v>
      </c>
      <c r="H394" s="347">
        <f>G394*0.35</f>
        <v>6.3238000000000003</v>
      </c>
      <c r="I394" s="348">
        <f>G394+H394</f>
        <v>24.391800000000003</v>
      </c>
      <c r="J394" s="349">
        <f>I394+I397+I398</f>
        <v>27.482760000000003</v>
      </c>
    </row>
    <row r="395" spans="1:10">
      <c r="A395" s="350" t="s">
        <v>258</v>
      </c>
      <c r="B395" s="355">
        <v>5</v>
      </c>
      <c r="C395" s="353">
        <v>5.55</v>
      </c>
      <c r="D395" s="353">
        <f t="shared" si="5"/>
        <v>1.2209999999999999</v>
      </c>
      <c r="E395" s="353"/>
      <c r="F395" s="353"/>
      <c r="G395" s="353"/>
      <c r="H395" s="353"/>
      <c r="I395" s="354"/>
      <c r="J395" s="381"/>
    </row>
    <row r="396" spans="1:10">
      <c r="A396" s="350" t="s">
        <v>250</v>
      </c>
      <c r="B396" s="355">
        <v>5</v>
      </c>
      <c r="C396" s="353">
        <v>4.75</v>
      </c>
      <c r="D396" s="353">
        <f t="shared" si="5"/>
        <v>1.0449999999999999</v>
      </c>
      <c r="E396" s="353"/>
      <c r="F396" s="353"/>
      <c r="G396" s="353"/>
      <c r="H396" s="353"/>
      <c r="I396" s="354"/>
      <c r="J396" s="353"/>
    </row>
    <row r="397" spans="1:10">
      <c r="A397" s="350" t="s">
        <v>385</v>
      </c>
      <c r="B397" s="351">
        <v>2</v>
      </c>
      <c r="C397" s="352">
        <v>1.08</v>
      </c>
      <c r="D397" s="353">
        <f t="shared" si="5"/>
        <v>0.23760000000000001</v>
      </c>
      <c r="E397" s="353"/>
      <c r="F397" s="353">
        <f>C397*0.9</f>
        <v>0.97200000000000009</v>
      </c>
      <c r="G397" s="353">
        <f>C397+D397+E397+F397</f>
        <v>2.2896000000000001</v>
      </c>
      <c r="H397" s="353">
        <f>G397*0.35</f>
        <v>0.80135999999999996</v>
      </c>
      <c r="I397" s="354">
        <f>G397+H397</f>
        <v>3.0909599999999999</v>
      </c>
      <c r="J397" s="353"/>
    </row>
    <row r="398" spans="1:10">
      <c r="A398" s="350"/>
      <c r="B398" s="351"/>
      <c r="C398" s="352"/>
      <c r="D398" s="353"/>
      <c r="E398" s="353"/>
      <c r="F398" s="353"/>
      <c r="G398" s="353"/>
      <c r="H398" s="353"/>
      <c r="I398" s="354"/>
      <c r="J398" s="353"/>
    </row>
    <row r="399" spans="1:10">
      <c r="A399" s="345" t="s">
        <v>1192</v>
      </c>
      <c r="B399" s="346"/>
      <c r="C399" s="347">
        <f>C400+C401</f>
        <v>10.3</v>
      </c>
      <c r="D399" s="347">
        <f t="shared" si="5"/>
        <v>2.266</v>
      </c>
      <c r="E399" s="347">
        <f>'[1]матеріали для МО'!F312</f>
        <v>2.95</v>
      </c>
      <c r="F399" s="347">
        <f>C399*0.9</f>
        <v>9.2700000000000014</v>
      </c>
      <c r="G399" s="347">
        <f>C399+D399+E399+F399</f>
        <v>24.786000000000001</v>
      </c>
      <c r="H399" s="347">
        <f>G399*0.35</f>
        <v>8.6751000000000005</v>
      </c>
      <c r="I399" s="348">
        <f>G399+H399</f>
        <v>33.461100000000002</v>
      </c>
      <c r="J399" s="349">
        <f>I399+I402+I403</f>
        <v>37.324800000000003</v>
      </c>
    </row>
    <row r="400" spans="1:10">
      <c r="A400" s="350" t="s">
        <v>258</v>
      </c>
      <c r="B400" s="350">
        <v>5</v>
      </c>
      <c r="C400" s="352">
        <v>5.55</v>
      </c>
      <c r="D400" s="353">
        <f t="shared" si="5"/>
        <v>1.2209999999999999</v>
      </c>
      <c r="E400" s="353"/>
      <c r="F400" s="353"/>
      <c r="G400" s="353"/>
      <c r="H400" s="353"/>
      <c r="I400" s="354"/>
      <c r="J400" s="353"/>
    </row>
    <row r="401" spans="1:10">
      <c r="A401" s="350" t="s">
        <v>250</v>
      </c>
      <c r="B401" s="350">
        <v>5</v>
      </c>
      <c r="C401" s="352">
        <v>4.75</v>
      </c>
      <c r="D401" s="353">
        <f t="shared" si="5"/>
        <v>1.0449999999999999</v>
      </c>
      <c r="E401" s="353"/>
      <c r="F401" s="353"/>
      <c r="G401" s="353"/>
      <c r="H401" s="353"/>
      <c r="I401" s="354"/>
      <c r="J401" s="353"/>
    </row>
    <row r="402" spans="1:10">
      <c r="A402" s="350" t="s">
        <v>385</v>
      </c>
      <c r="B402" s="351">
        <v>2.5</v>
      </c>
      <c r="C402" s="352">
        <v>1.35</v>
      </c>
      <c r="D402" s="353">
        <f t="shared" si="5"/>
        <v>0.29700000000000004</v>
      </c>
      <c r="E402" s="353"/>
      <c r="F402" s="353">
        <f>C402*0.9</f>
        <v>1.2150000000000001</v>
      </c>
      <c r="G402" s="353">
        <f>C402+D402+E402+F402</f>
        <v>2.8620000000000001</v>
      </c>
      <c r="H402" s="353">
        <f>G402*0.35</f>
        <v>1.0017</v>
      </c>
      <c r="I402" s="354">
        <f>G402+H402</f>
        <v>3.8637000000000001</v>
      </c>
      <c r="J402" s="353"/>
    </row>
    <row r="403" spans="1:10">
      <c r="A403" s="350"/>
      <c r="B403" s="351"/>
      <c r="C403" s="352"/>
      <c r="D403" s="353"/>
      <c r="E403" s="353"/>
      <c r="F403" s="353"/>
      <c r="G403" s="353"/>
      <c r="H403" s="353"/>
      <c r="I403" s="354"/>
      <c r="J403" s="353"/>
    </row>
    <row r="404" spans="1:10">
      <c r="A404" s="345" t="s">
        <v>1193</v>
      </c>
      <c r="B404" s="346"/>
      <c r="C404" s="347">
        <f>C405+C406</f>
        <v>15.85</v>
      </c>
      <c r="D404" s="347">
        <f t="shared" si="5"/>
        <v>3.4870000000000001</v>
      </c>
      <c r="E404" s="347">
        <f>'[1]матеріали для МО'!F319</f>
        <v>4.72</v>
      </c>
      <c r="F404" s="347">
        <f>C404*0.9</f>
        <v>14.265000000000001</v>
      </c>
      <c r="G404" s="347">
        <f>C404+D404+E404+F404</f>
        <v>38.322000000000003</v>
      </c>
      <c r="H404" s="347">
        <f>G404*0.35</f>
        <v>13.412700000000001</v>
      </c>
      <c r="I404" s="348">
        <f>G404+H404</f>
        <v>51.734700000000004</v>
      </c>
      <c r="J404" s="349">
        <f>I404+I407+I408</f>
        <v>55.598400000000005</v>
      </c>
    </row>
    <row r="405" spans="1:10">
      <c r="A405" s="350" t="s">
        <v>258</v>
      </c>
      <c r="B405" s="350">
        <v>10</v>
      </c>
      <c r="C405" s="352">
        <v>11.1</v>
      </c>
      <c r="D405" s="353">
        <f t="shared" si="5"/>
        <v>2.4419999999999997</v>
      </c>
      <c r="E405" s="353"/>
      <c r="F405" s="353"/>
      <c r="G405" s="353"/>
      <c r="H405" s="353"/>
      <c r="I405" s="354"/>
      <c r="J405" s="355"/>
    </row>
    <row r="406" spans="1:10">
      <c r="A406" s="350" t="s">
        <v>250</v>
      </c>
      <c r="B406" s="350">
        <v>5</v>
      </c>
      <c r="C406" s="352">
        <v>4.75</v>
      </c>
      <c r="D406" s="353">
        <f t="shared" si="5"/>
        <v>1.0449999999999999</v>
      </c>
      <c r="E406" s="353"/>
      <c r="F406" s="353"/>
      <c r="G406" s="353"/>
      <c r="H406" s="353"/>
      <c r="I406" s="354"/>
      <c r="J406" s="355"/>
    </row>
    <row r="407" spans="1:10">
      <c r="A407" s="350" t="s">
        <v>385</v>
      </c>
      <c r="B407" s="351">
        <v>2.5</v>
      </c>
      <c r="C407" s="352">
        <v>1.35</v>
      </c>
      <c r="D407" s="353">
        <f t="shared" si="5"/>
        <v>0.29700000000000004</v>
      </c>
      <c r="E407" s="353"/>
      <c r="F407" s="353">
        <f>C407*0.9</f>
        <v>1.2150000000000001</v>
      </c>
      <c r="G407" s="353">
        <f>C407+D407+E407+F407</f>
        <v>2.8620000000000001</v>
      </c>
      <c r="H407" s="353">
        <f>G407*0.35</f>
        <v>1.0017</v>
      </c>
      <c r="I407" s="354">
        <f>G407+H407</f>
        <v>3.8637000000000001</v>
      </c>
      <c r="J407" s="355"/>
    </row>
    <row r="408" spans="1:10">
      <c r="A408" s="350"/>
      <c r="B408" s="351"/>
      <c r="C408" s="352"/>
      <c r="D408" s="353"/>
      <c r="E408" s="353"/>
      <c r="F408" s="353"/>
      <c r="G408" s="353"/>
      <c r="H408" s="353"/>
      <c r="I408" s="354"/>
      <c r="J408" s="355"/>
    </row>
    <row r="409" spans="1:10">
      <c r="A409" s="345" t="s">
        <v>1194</v>
      </c>
      <c r="B409" s="346"/>
      <c r="C409" s="347">
        <f>C410+C411</f>
        <v>10.3</v>
      </c>
      <c r="D409" s="347">
        <f t="shared" si="5"/>
        <v>2.266</v>
      </c>
      <c r="E409" s="347">
        <v>2.38</v>
      </c>
      <c r="F409" s="347">
        <f>C409*0.9</f>
        <v>9.2700000000000014</v>
      </c>
      <c r="G409" s="347">
        <f>C409+D409+E409+F409</f>
        <v>24.216000000000001</v>
      </c>
      <c r="H409" s="347">
        <f>G409*0.35</f>
        <v>8.4756</v>
      </c>
      <c r="I409" s="348">
        <f>G409+H409</f>
        <v>32.691600000000001</v>
      </c>
      <c r="J409" s="349">
        <f>I409+I412+I413</f>
        <v>35.782560000000004</v>
      </c>
    </row>
    <row r="410" spans="1:10">
      <c r="A410" s="350" t="s">
        <v>258</v>
      </c>
      <c r="B410" s="350">
        <v>5</v>
      </c>
      <c r="C410" s="353">
        <v>5.55</v>
      </c>
      <c r="D410" s="353">
        <f t="shared" si="5"/>
        <v>1.2209999999999999</v>
      </c>
      <c r="E410" s="353"/>
      <c r="F410" s="353"/>
      <c r="G410" s="353"/>
      <c r="H410" s="353"/>
      <c r="I410" s="354"/>
      <c r="J410" s="381"/>
    </row>
    <row r="411" spans="1:10">
      <c r="A411" s="350" t="s">
        <v>250</v>
      </c>
      <c r="B411" s="350">
        <v>5</v>
      </c>
      <c r="C411" s="353">
        <v>4.75</v>
      </c>
      <c r="D411" s="353">
        <f t="shared" si="5"/>
        <v>1.0449999999999999</v>
      </c>
      <c r="E411" s="353"/>
      <c r="F411" s="353"/>
      <c r="G411" s="353"/>
      <c r="H411" s="353"/>
      <c r="I411" s="354"/>
      <c r="J411" s="353"/>
    </row>
    <row r="412" spans="1:10">
      <c r="A412" s="350" t="s">
        <v>385</v>
      </c>
      <c r="B412" s="351">
        <v>2</v>
      </c>
      <c r="C412" s="352">
        <v>1.08</v>
      </c>
      <c r="D412" s="353">
        <f t="shared" si="5"/>
        <v>0.23760000000000001</v>
      </c>
      <c r="E412" s="353"/>
      <c r="F412" s="353">
        <f>C412*0.9</f>
        <v>0.97200000000000009</v>
      </c>
      <c r="G412" s="353">
        <f>C412+D412+E412+F412</f>
        <v>2.2896000000000001</v>
      </c>
      <c r="H412" s="353">
        <f>G412*0.35</f>
        <v>0.80135999999999996</v>
      </c>
      <c r="I412" s="354">
        <f>G412+H412</f>
        <v>3.0909599999999999</v>
      </c>
      <c r="J412" s="353"/>
    </row>
    <row r="413" spans="1:10">
      <c r="A413" s="350"/>
      <c r="B413" s="351"/>
      <c r="C413" s="352"/>
      <c r="D413" s="353"/>
      <c r="E413" s="353"/>
      <c r="F413" s="353"/>
      <c r="G413" s="353"/>
      <c r="H413" s="353"/>
      <c r="I413" s="354"/>
      <c r="J413" s="353"/>
    </row>
    <row r="414" spans="1:10">
      <c r="A414" s="345" t="s">
        <v>1195</v>
      </c>
      <c r="B414" s="346"/>
      <c r="C414" s="347">
        <f>C415+C416</f>
        <v>8.24</v>
      </c>
      <c r="D414" s="347">
        <f t="shared" si="5"/>
        <v>1.8128</v>
      </c>
      <c r="E414" s="347">
        <f>'[1]матеріали для МО'!F332</f>
        <v>4.6500000000000004</v>
      </c>
      <c r="F414" s="347">
        <f>C414*0.9</f>
        <v>7.4160000000000004</v>
      </c>
      <c r="G414" s="347">
        <f>C414+D414+E414+F414</f>
        <v>22.1188</v>
      </c>
      <c r="H414" s="347">
        <f>G414*0.35</f>
        <v>7.7415799999999999</v>
      </c>
      <c r="I414" s="348">
        <f>G414+H414</f>
        <v>29.860379999999999</v>
      </c>
      <c r="J414" s="349">
        <f>I414+I417+I418</f>
        <v>32.951340000000002</v>
      </c>
    </row>
    <row r="415" spans="1:10">
      <c r="A415" s="350" t="s">
        <v>258</v>
      </c>
      <c r="B415" s="350">
        <v>4</v>
      </c>
      <c r="C415" s="352">
        <v>4.4400000000000004</v>
      </c>
      <c r="D415" s="353">
        <f t="shared" si="5"/>
        <v>0.97680000000000011</v>
      </c>
      <c r="E415" s="353"/>
      <c r="F415" s="353"/>
      <c r="G415" s="353"/>
      <c r="H415" s="353"/>
      <c r="I415" s="354"/>
      <c r="J415" s="353"/>
    </row>
    <row r="416" spans="1:10">
      <c r="A416" s="350" t="s">
        <v>250</v>
      </c>
      <c r="B416" s="350">
        <v>4</v>
      </c>
      <c r="C416" s="352">
        <v>3.8</v>
      </c>
      <c r="D416" s="353">
        <f t="shared" si="5"/>
        <v>0.83599999999999997</v>
      </c>
      <c r="E416" s="353"/>
      <c r="F416" s="353"/>
      <c r="G416" s="353"/>
      <c r="H416" s="353"/>
      <c r="I416" s="354"/>
      <c r="J416" s="353"/>
    </row>
    <row r="417" spans="1:10">
      <c r="A417" s="350" t="s">
        <v>385</v>
      </c>
      <c r="B417" s="351">
        <v>2</v>
      </c>
      <c r="C417" s="352">
        <v>1.08</v>
      </c>
      <c r="D417" s="353">
        <f t="shared" si="5"/>
        <v>0.23760000000000001</v>
      </c>
      <c r="E417" s="353"/>
      <c r="F417" s="353">
        <f>C417*0.9</f>
        <v>0.97200000000000009</v>
      </c>
      <c r="G417" s="353">
        <f>C417+D417+E417+F417</f>
        <v>2.2896000000000001</v>
      </c>
      <c r="H417" s="353">
        <f>G417*0.35</f>
        <v>0.80135999999999996</v>
      </c>
      <c r="I417" s="354">
        <f>G417+H417</f>
        <v>3.0909599999999999</v>
      </c>
      <c r="J417" s="353"/>
    </row>
    <row r="418" spans="1:10">
      <c r="A418" s="350"/>
      <c r="B418" s="351"/>
      <c r="C418" s="352"/>
      <c r="D418" s="353"/>
      <c r="E418" s="353"/>
      <c r="F418" s="353"/>
      <c r="G418" s="353"/>
      <c r="H418" s="353"/>
      <c r="I418" s="354"/>
      <c r="J418" s="353"/>
    </row>
    <row r="419" spans="1:10">
      <c r="A419" s="345" t="s">
        <v>294</v>
      </c>
      <c r="B419" s="346"/>
      <c r="C419" s="347">
        <f>C420+C421</f>
        <v>20.6</v>
      </c>
      <c r="D419" s="347">
        <f t="shared" ref="D419:D440" si="6">C419*0.22</f>
        <v>4.532</v>
      </c>
      <c r="E419" s="347">
        <f>'[1]матеріали для МО'!F339</f>
        <v>4.5999999999999996</v>
      </c>
      <c r="F419" s="347">
        <f>C419*0.9</f>
        <v>18.540000000000003</v>
      </c>
      <c r="G419" s="347">
        <f>C419+D419+E419+F419</f>
        <v>48.272000000000006</v>
      </c>
      <c r="H419" s="347">
        <f>G419*0.35</f>
        <v>16.895199999999999</v>
      </c>
      <c r="I419" s="348">
        <f>G419+H419</f>
        <v>65.167200000000008</v>
      </c>
      <c r="J419" s="349">
        <f>I419+I422+I423</f>
        <v>72.894600000000011</v>
      </c>
    </row>
    <row r="420" spans="1:10">
      <c r="A420" s="350" t="s">
        <v>258</v>
      </c>
      <c r="B420" s="350">
        <v>10</v>
      </c>
      <c r="C420" s="352">
        <v>11.1</v>
      </c>
      <c r="D420" s="353">
        <f t="shared" si="6"/>
        <v>2.4419999999999997</v>
      </c>
      <c r="E420" s="353"/>
      <c r="F420" s="353"/>
      <c r="G420" s="353"/>
      <c r="H420" s="353"/>
      <c r="I420" s="354"/>
      <c r="J420" s="353"/>
    </row>
    <row r="421" spans="1:10">
      <c r="A421" s="350" t="s">
        <v>250</v>
      </c>
      <c r="B421" s="350">
        <v>10</v>
      </c>
      <c r="C421" s="352">
        <v>9.5</v>
      </c>
      <c r="D421" s="353">
        <f t="shared" si="6"/>
        <v>2.09</v>
      </c>
      <c r="E421" s="353"/>
      <c r="F421" s="353"/>
      <c r="G421" s="353"/>
      <c r="H421" s="353"/>
      <c r="I421" s="354"/>
      <c r="J421" s="353"/>
    </row>
    <row r="422" spans="1:10">
      <c r="A422" s="350" t="s">
        <v>385</v>
      </c>
      <c r="B422" s="351">
        <v>5</v>
      </c>
      <c r="C422" s="352">
        <v>2.7</v>
      </c>
      <c r="D422" s="353">
        <f t="shared" si="6"/>
        <v>0.59400000000000008</v>
      </c>
      <c r="E422" s="353"/>
      <c r="F422" s="353">
        <f>C422*0.9</f>
        <v>2.4300000000000002</v>
      </c>
      <c r="G422" s="353">
        <f>C422+D422+E422+F422</f>
        <v>5.7240000000000002</v>
      </c>
      <c r="H422" s="353">
        <f>G422*0.35</f>
        <v>2.0034000000000001</v>
      </c>
      <c r="I422" s="354">
        <f>G422+H422</f>
        <v>7.7274000000000003</v>
      </c>
      <c r="J422" s="353"/>
    </row>
    <row r="423" spans="1:10">
      <c r="A423" s="350"/>
      <c r="B423" s="351"/>
      <c r="C423" s="352"/>
      <c r="D423" s="353"/>
      <c r="E423" s="353"/>
      <c r="F423" s="353"/>
      <c r="G423" s="353"/>
      <c r="H423" s="353"/>
      <c r="I423" s="354"/>
      <c r="J423" s="353"/>
    </row>
    <row r="424" spans="1:10" ht="21">
      <c r="A424" s="345" t="s">
        <v>1196</v>
      </c>
      <c r="B424" s="346"/>
      <c r="C424" s="347">
        <f>C425+C426</f>
        <v>10.3</v>
      </c>
      <c r="D424" s="347">
        <f t="shared" si="6"/>
        <v>2.266</v>
      </c>
      <c r="E424" s="347">
        <f>'[1]матеріали для МО'!F348</f>
        <v>3.99</v>
      </c>
      <c r="F424" s="347">
        <f>C424*0.9</f>
        <v>9.2700000000000014</v>
      </c>
      <c r="G424" s="347">
        <f>C424+D424+E424+F424</f>
        <v>25.826000000000001</v>
      </c>
      <c r="H424" s="347">
        <f>G424*0.35</f>
        <v>9.0390999999999995</v>
      </c>
      <c r="I424" s="348">
        <f>G424+H424</f>
        <v>34.865099999999998</v>
      </c>
      <c r="J424" s="349">
        <f>I424+I427+I428</f>
        <v>38.7288</v>
      </c>
    </row>
    <row r="425" spans="1:10">
      <c r="A425" s="350" t="s">
        <v>258</v>
      </c>
      <c r="B425" s="350">
        <v>5</v>
      </c>
      <c r="C425" s="352">
        <v>5.55</v>
      </c>
      <c r="D425" s="353">
        <f t="shared" si="6"/>
        <v>1.2209999999999999</v>
      </c>
      <c r="E425" s="353"/>
      <c r="F425" s="353"/>
      <c r="G425" s="353"/>
      <c r="H425" s="353"/>
      <c r="I425" s="354"/>
      <c r="J425" s="353"/>
    </row>
    <row r="426" spans="1:10">
      <c r="A426" s="350" t="s">
        <v>250</v>
      </c>
      <c r="B426" s="350">
        <v>5</v>
      </c>
      <c r="C426" s="352">
        <v>4.75</v>
      </c>
      <c r="D426" s="353">
        <f t="shared" si="6"/>
        <v>1.0449999999999999</v>
      </c>
      <c r="E426" s="353"/>
      <c r="F426" s="353"/>
      <c r="G426" s="353"/>
      <c r="H426" s="353"/>
      <c r="I426" s="354"/>
      <c r="J426" s="353"/>
    </row>
    <row r="427" spans="1:10">
      <c r="A427" s="350" t="s">
        <v>385</v>
      </c>
      <c r="B427" s="351">
        <v>2.5</v>
      </c>
      <c r="C427" s="352">
        <v>1.35</v>
      </c>
      <c r="D427" s="353">
        <f t="shared" si="6"/>
        <v>0.29700000000000004</v>
      </c>
      <c r="E427" s="353"/>
      <c r="F427" s="353">
        <f>C427*0.9</f>
        <v>1.2150000000000001</v>
      </c>
      <c r="G427" s="353">
        <f>C427+D427+E427+F427</f>
        <v>2.8620000000000001</v>
      </c>
      <c r="H427" s="353">
        <f>G427*0.35</f>
        <v>1.0017</v>
      </c>
      <c r="I427" s="354">
        <f>G427+H427</f>
        <v>3.8637000000000001</v>
      </c>
      <c r="J427" s="353"/>
    </row>
    <row r="428" spans="1:10">
      <c r="A428" s="350"/>
      <c r="B428" s="351"/>
      <c r="C428" s="352"/>
      <c r="D428" s="353"/>
      <c r="E428" s="353"/>
      <c r="F428" s="353"/>
      <c r="G428" s="353"/>
      <c r="H428" s="353"/>
      <c r="I428" s="354"/>
      <c r="J428" s="353"/>
    </row>
    <row r="429" spans="1:10">
      <c r="A429" s="345" t="s">
        <v>1197</v>
      </c>
      <c r="B429" s="346"/>
      <c r="C429" s="347">
        <f>C430+C431</f>
        <v>10.3</v>
      </c>
      <c r="D429" s="347">
        <f t="shared" si="6"/>
        <v>2.266</v>
      </c>
      <c r="E429" s="347">
        <v>3.45</v>
      </c>
      <c r="F429" s="347">
        <f>C429*0.9</f>
        <v>9.2700000000000014</v>
      </c>
      <c r="G429" s="347">
        <f>C429+D429+E429+F429</f>
        <v>25.286000000000001</v>
      </c>
      <c r="H429" s="347">
        <f>G429*0.35</f>
        <v>8.8500999999999994</v>
      </c>
      <c r="I429" s="348">
        <f>G429+H429</f>
        <v>34.136099999999999</v>
      </c>
      <c r="J429" s="349">
        <f>I429+I432+I433</f>
        <v>41.863500000000002</v>
      </c>
    </row>
    <row r="430" spans="1:10">
      <c r="A430" s="350" t="s">
        <v>258</v>
      </c>
      <c r="B430" s="350">
        <v>5</v>
      </c>
      <c r="C430" s="352">
        <v>5.55</v>
      </c>
      <c r="D430" s="353">
        <f t="shared" si="6"/>
        <v>1.2209999999999999</v>
      </c>
      <c r="E430" s="353"/>
      <c r="F430" s="353"/>
      <c r="G430" s="353"/>
      <c r="H430" s="353"/>
      <c r="I430" s="354"/>
      <c r="J430" s="353"/>
    </row>
    <row r="431" spans="1:10">
      <c r="A431" s="350" t="s">
        <v>250</v>
      </c>
      <c r="B431" s="350">
        <v>5</v>
      </c>
      <c r="C431" s="352">
        <v>4.75</v>
      </c>
      <c r="D431" s="353">
        <f t="shared" si="6"/>
        <v>1.0449999999999999</v>
      </c>
      <c r="E431" s="353"/>
      <c r="F431" s="353"/>
      <c r="G431" s="353"/>
      <c r="H431" s="353"/>
      <c r="I431" s="354"/>
      <c r="J431" s="353"/>
    </row>
    <row r="432" spans="1:10">
      <c r="A432" s="350" t="s">
        <v>385</v>
      </c>
      <c r="B432" s="351">
        <v>5</v>
      </c>
      <c r="C432" s="352">
        <v>2.7</v>
      </c>
      <c r="D432" s="353">
        <f t="shared" si="6"/>
        <v>0.59400000000000008</v>
      </c>
      <c r="E432" s="353"/>
      <c r="F432" s="353">
        <f>C432*0.9</f>
        <v>2.4300000000000002</v>
      </c>
      <c r="G432" s="353">
        <f>C432+D432+E432+F432</f>
        <v>5.7240000000000002</v>
      </c>
      <c r="H432" s="353">
        <f>G432*0.35</f>
        <v>2.0034000000000001</v>
      </c>
      <c r="I432" s="354">
        <f>G432+H432</f>
        <v>7.7274000000000003</v>
      </c>
      <c r="J432" s="353"/>
    </row>
    <row r="433" spans="1:10">
      <c r="A433" s="350"/>
      <c r="B433" s="351"/>
      <c r="C433" s="352"/>
      <c r="D433" s="353"/>
      <c r="E433" s="353"/>
      <c r="F433" s="353"/>
      <c r="G433" s="353"/>
      <c r="H433" s="353"/>
      <c r="I433" s="354"/>
      <c r="J433" s="353"/>
    </row>
    <row r="434" spans="1:10">
      <c r="A434" s="345" t="s">
        <v>144</v>
      </c>
      <c r="B434" s="346"/>
      <c r="C434" s="347">
        <f>C435+C436</f>
        <v>10.3</v>
      </c>
      <c r="D434" s="347">
        <f t="shared" si="6"/>
        <v>2.266</v>
      </c>
      <c r="E434" s="347">
        <v>1.95</v>
      </c>
      <c r="F434" s="347">
        <f>C434*0.9</f>
        <v>9.2700000000000014</v>
      </c>
      <c r="G434" s="347">
        <f>C434+D434+E434+F434</f>
        <v>23.786000000000001</v>
      </c>
      <c r="H434" s="347">
        <f>G434*0.35</f>
        <v>8.3251000000000008</v>
      </c>
      <c r="I434" s="348">
        <f>G434+H434</f>
        <v>32.1111</v>
      </c>
      <c r="J434" s="349">
        <f>I434+I437+I438</f>
        <v>35.974800000000002</v>
      </c>
    </row>
    <row r="435" spans="1:10">
      <c r="A435" s="350" t="s">
        <v>258</v>
      </c>
      <c r="B435" s="350">
        <v>5</v>
      </c>
      <c r="C435" s="352">
        <v>5.55</v>
      </c>
      <c r="D435" s="353">
        <f t="shared" si="6"/>
        <v>1.2209999999999999</v>
      </c>
      <c r="E435" s="353"/>
      <c r="F435" s="353"/>
      <c r="G435" s="353"/>
      <c r="H435" s="353"/>
      <c r="I435" s="354"/>
      <c r="J435" s="355"/>
    </row>
    <row r="436" spans="1:10">
      <c r="A436" s="350" t="s">
        <v>250</v>
      </c>
      <c r="B436" s="350">
        <v>5</v>
      </c>
      <c r="C436" s="352">
        <v>4.75</v>
      </c>
      <c r="D436" s="353">
        <f t="shared" si="6"/>
        <v>1.0449999999999999</v>
      </c>
      <c r="E436" s="353"/>
      <c r="F436" s="353"/>
      <c r="G436" s="353"/>
      <c r="H436" s="353"/>
      <c r="I436" s="354"/>
      <c r="J436" s="355"/>
    </row>
    <row r="437" spans="1:10">
      <c r="A437" s="350" t="s">
        <v>385</v>
      </c>
      <c r="B437" s="351">
        <v>2.5</v>
      </c>
      <c r="C437" s="352">
        <v>1.35</v>
      </c>
      <c r="D437" s="353">
        <f t="shared" si="6"/>
        <v>0.29700000000000004</v>
      </c>
      <c r="E437" s="353"/>
      <c r="F437" s="353">
        <f>C437*0.9</f>
        <v>1.2150000000000001</v>
      </c>
      <c r="G437" s="353">
        <f>C437+D437+E437+F437</f>
        <v>2.8620000000000001</v>
      </c>
      <c r="H437" s="353">
        <f>G437*0.35</f>
        <v>1.0017</v>
      </c>
      <c r="I437" s="354">
        <f>G437+H437</f>
        <v>3.8637000000000001</v>
      </c>
      <c r="J437" s="355"/>
    </row>
    <row r="438" spans="1:10">
      <c r="A438" s="350"/>
      <c r="B438" s="351"/>
      <c r="C438" s="352"/>
      <c r="D438" s="353"/>
      <c r="E438" s="353"/>
      <c r="F438" s="353"/>
      <c r="G438" s="353"/>
      <c r="H438" s="353"/>
      <c r="I438" s="354"/>
      <c r="J438" s="355"/>
    </row>
    <row r="439" spans="1:10">
      <c r="A439" s="345" t="s">
        <v>1198</v>
      </c>
      <c r="B439" s="346"/>
      <c r="C439" s="347">
        <f>C440+C441</f>
        <v>26.15</v>
      </c>
      <c r="D439" s="347">
        <f t="shared" si="6"/>
        <v>5.7530000000000001</v>
      </c>
      <c r="E439" s="347">
        <f>'[1]матеріали для МО'!F381</f>
        <v>8.01</v>
      </c>
      <c r="F439" s="347">
        <f>C439*0.9</f>
        <v>23.535</v>
      </c>
      <c r="G439" s="347">
        <f>C439+D439+E439+F439</f>
        <v>63.447999999999993</v>
      </c>
      <c r="H439" s="347">
        <f>G439*0.35</f>
        <v>22.206799999999998</v>
      </c>
      <c r="I439" s="348">
        <f>G439+H439</f>
        <v>85.654799999999994</v>
      </c>
      <c r="J439" s="349">
        <f>I439+I442+I443</f>
        <v>97.245899999999992</v>
      </c>
    </row>
    <row r="440" spans="1:10">
      <c r="A440" s="350" t="s">
        <v>258</v>
      </c>
      <c r="B440" s="350">
        <v>15</v>
      </c>
      <c r="C440" s="352">
        <v>16.649999999999999</v>
      </c>
      <c r="D440" s="353">
        <f t="shared" si="6"/>
        <v>3.6629999999999998</v>
      </c>
      <c r="E440" s="353"/>
      <c r="F440" s="353"/>
      <c r="G440" s="353"/>
      <c r="H440" s="353"/>
      <c r="I440" s="354"/>
      <c r="J440" s="353"/>
    </row>
    <row r="441" spans="1:10">
      <c r="A441" s="350" t="s">
        <v>250</v>
      </c>
      <c r="B441" s="350">
        <v>10</v>
      </c>
      <c r="C441" s="352">
        <v>9.5</v>
      </c>
      <c r="D441" s="353"/>
      <c r="E441" s="353"/>
      <c r="F441" s="353"/>
      <c r="G441" s="353"/>
      <c r="H441" s="353"/>
      <c r="I441" s="354"/>
      <c r="J441" s="353"/>
    </row>
    <row r="442" spans="1:10">
      <c r="A442" s="350" t="s">
        <v>385</v>
      </c>
      <c r="B442" s="351">
        <v>7.5</v>
      </c>
      <c r="C442" s="352">
        <v>4.05</v>
      </c>
      <c r="D442" s="353">
        <f t="shared" ref="D442:D448" si="7">C442*0.22</f>
        <v>0.89100000000000001</v>
      </c>
      <c r="E442" s="353"/>
      <c r="F442" s="353">
        <f>C442*0.9</f>
        <v>3.645</v>
      </c>
      <c r="G442" s="353">
        <f>C442+D442+E442+F442</f>
        <v>8.5860000000000003</v>
      </c>
      <c r="H442" s="353">
        <f>G442*0.35</f>
        <v>3.0051000000000001</v>
      </c>
      <c r="I442" s="354">
        <f>G442+H442</f>
        <v>11.591100000000001</v>
      </c>
      <c r="J442" s="353"/>
    </row>
    <row r="443" spans="1:10">
      <c r="A443" s="350"/>
      <c r="B443" s="351"/>
      <c r="C443" s="352"/>
      <c r="D443" s="353"/>
      <c r="E443" s="353"/>
      <c r="F443" s="353"/>
      <c r="G443" s="353"/>
      <c r="H443" s="353"/>
      <c r="I443" s="354"/>
      <c r="J443" s="353"/>
    </row>
    <row r="444" spans="1:10">
      <c r="A444" s="345" t="s">
        <v>1199</v>
      </c>
      <c r="B444" s="346"/>
      <c r="C444" s="347">
        <v>2.3199999999999998</v>
      </c>
      <c r="D444" s="347">
        <f t="shared" si="7"/>
        <v>0.51039999999999996</v>
      </c>
      <c r="E444" s="347">
        <f>'[1]матеріали для МО'!F398</f>
        <v>4.41</v>
      </c>
      <c r="F444" s="347">
        <f>C444*0.9</f>
        <v>2.0880000000000001</v>
      </c>
      <c r="G444" s="347">
        <f>C444+D444+E444+F444</f>
        <v>9.3284000000000002</v>
      </c>
      <c r="H444" s="347">
        <f>G444*0.35</f>
        <v>3.2649399999999997</v>
      </c>
      <c r="I444" s="348">
        <f>G444+H444</f>
        <v>12.59334</v>
      </c>
      <c r="J444" s="349">
        <f>I444+I447+I446</f>
        <v>15.6843</v>
      </c>
    </row>
    <row r="445" spans="1:10">
      <c r="A445" s="350" t="s">
        <v>250</v>
      </c>
      <c r="B445" s="350">
        <v>4</v>
      </c>
      <c r="C445" s="352">
        <v>3.8</v>
      </c>
      <c r="D445" s="353">
        <f t="shared" si="7"/>
        <v>0.83599999999999997</v>
      </c>
      <c r="E445" s="353"/>
      <c r="F445" s="353"/>
      <c r="G445" s="353"/>
      <c r="H445" s="353"/>
      <c r="I445" s="354"/>
      <c r="J445" s="353"/>
    </row>
    <row r="446" spans="1:10">
      <c r="A446" s="350" t="s">
        <v>385</v>
      </c>
      <c r="B446" s="351">
        <v>2</v>
      </c>
      <c r="C446" s="352">
        <v>1.08</v>
      </c>
      <c r="D446" s="353">
        <f t="shared" si="7"/>
        <v>0.23760000000000001</v>
      </c>
      <c r="E446" s="353"/>
      <c r="F446" s="353">
        <f>C446*0.9</f>
        <v>0.97200000000000009</v>
      </c>
      <c r="G446" s="353">
        <f>C446+D446+E446+F446</f>
        <v>2.2896000000000001</v>
      </c>
      <c r="H446" s="353">
        <f>G446*0.35</f>
        <v>0.80135999999999996</v>
      </c>
      <c r="I446" s="354">
        <f>G446+H446</f>
        <v>3.0909599999999999</v>
      </c>
      <c r="J446" s="353"/>
    </row>
    <row r="447" spans="1:10">
      <c r="A447" s="350"/>
      <c r="B447" s="351"/>
      <c r="C447" s="352"/>
      <c r="D447" s="353"/>
      <c r="E447" s="353"/>
      <c r="F447" s="353"/>
      <c r="G447" s="353"/>
      <c r="H447" s="353"/>
      <c r="I447" s="354"/>
      <c r="J447" s="353"/>
    </row>
    <row r="448" spans="1:10">
      <c r="A448" s="345" t="s">
        <v>1200</v>
      </c>
      <c r="B448" s="346"/>
      <c r="C448" s="347">
        <f>C449+C450</f>
        <v>15.85</v>
      </c>
      <c r="D448" s="347">
        <f t="shared" si="7"/>
        <v>3.4870000000000001</v>
      </c>
      <c r="E448" s="347">
        <v>0.9</v>
      </c>
      <c r="F448" s="347">
        <f>C448*0.9</f>
        <v>14.265000000000001</v>
      </c>
      <c r="G448" s="347">
        <f>C448+D448+E448+F448</f>
        <v>34.501999999999995</v>
      </c>
      <c r="H448" s="347">
        <f>G448*0.35</f>
        <v>12.075699999999998</v>
      </c>
      <c r="I448" s="348">
        <f>G448+H448</f>
        <v>46.577699999999993</v>
      </c>
      <c r="J448" s="349">
        <f>I448+I451+I452</f>
        <v>58.16879999999999</v>
      </c>
    </row>
    <row r="449" spans="1:10">
      <c r="A449" s="350" t="s">
        <v>258</v>
      </c>
      <c r="B449" s="350">
        <v>10</v>
      </c>
      <c r="C449" s="352">
        <v>11.1</v>
      </c>
      <c r="D449" s="353"/>
      <c r="E449" s="353"/>
      <c r="F449" s="353"/>
      <c r="G449" s="353"/>
      <c r="H449" s="353"/>
      <c r="I449" s="354"/>
      <c r="J449" s="353"/>
    </row>
    <row r="450" spans="1:10">
      <c r="A450" s="350" t="s">
        <v>250</v>
      </c>
      <c r="B450" s="350">
        <v>5</v>
      </c>
      <c r="C450" s="352">
        <v>4.75</v>
      </c>
      <c r="D450" s="353"/>
      <c r="E450" s="353"/>
      <c r="F450" s="353"/>
      <c r="G450" s="353"/>
      <c r="H450" s="353"/>
      <c r="I450" s="354"/>
      <c r="J450" s="353"/>
    </row>
    <row r="451" spans="1:10">
      <c r="A451" s="350" t="s">
        <v>385</v>
      </c>
      <c r="B451" s="351">
        <v>7.5</v>
      </c>
      <c r="C451" s="352">
        <v>4.05</v>
      </c>
      <c r="D451" s="353">
        <f>C451*0.22</f>
        <v>0.89100000000000001</v>
      </c>
      <c r="E451" s="353"/>
      <c r="F451" s="353">
        <f>C451*0.9</f>
        <v>3.645</v>
      </c>
      <c r="G451" s="353">
        <f>C451+D451+E451+F451</f>
        <v>8.5860000000000003</v>
      </c>
      <c r="H451" s="353">
        <f>G451*0.35</f>
        <v>3.0051000000000001</v>
      </c>
      <c r="I451" s="354">
        <f>G451+H451</f>
        <v>11.591100000000001</v>
      </c>
      <c r="J451" s="353"/>
    </row>
    <row r="452" spans="1:10">
      <c r="A452" s="350"/>
      <c r="B452" s="351"/>
      <c r="C452" s="352"/>
      <c r="D452" s="353"/>
      <c r="E452" s="353"/>
      <c r="F452" s="353"/>
      <c r="G452" s="353"/>
      <c r="H452" s="353"/>
      <c r="I452" s="354"/>
      <c r="J452" s="353"/>
    </row>
    <row r="453" spans="1:10">
      <c r="A453" s="345" t="s">
        <v>1201</v>
      </c>
      <c r="B453" s="346"/>
      <c r="C453" s="347">
        <f>C454+C455</f>
        <v>15.85</v>
      </c>
      <c r="D453" s="347">
        <f>C453*0.22</f>
        <v>3.4870000000000001</v>
      </c>
      <c r="E453" s="347">
        <v>0.9</v>
      </c>
      <c r="F453" s="347">
        <f>C453*0.9</f>
        <v>14.265000000000001</v>
      </c>
      <c r="G453" s="347">
        <f>C453+D453+E453+F453</f>
        <v>34.501999999999995</v>
      </c>
      <c r="H453" s="347">
        <f>G453*0.35</f>
        <v>12.075699999999998</v>
      </c>
      <c r="I453" s="348">
        <f>G453+H453</f>
        <v>46.577699999999993</v>
      </c>
      <c r="J453" s="349">
        <f>I453+I456+I457</f>
        <v>57.396059999999991</v>
      </c>
    </row>
    <row r="454" spans="1:10">
      <c r="A454" s="350" t="s">
        <v>258</v>
      </c>
      <c r="B454" s="350">
        <v>10</v>
      </c>
      <c r="C454" s="352">
        <v>11.1</v>
      </c>
      <c r="D454" s="353"/>
      <c r="E454" s="353"/>
      <c r="F454" s="353"/>
      <c r="G454" s="353"/>
      <c r="H454" s="353"/>
      <c r="I454" s="354"/>
      <c r="J454" s="353"/>
    </row>
    <row r="455" spans="1:10">
      <c r="A455" s="350" t="s">
        <v>250</v>
      </c>
      <c r="B455" s="350">
        <v>5</v>
      </c>
      <c r="C455" s="352">
        <v>4.75</v>
      </c>
      <c r="D455" s="353"/>
      <c r="E455" s="353"/>
      <c r="F455" s="353"/>
      <c r="G455" s="353"/>
      <c r="H455" s="353"/>
      <c r="I455" s="354"/>
      <c r="J455" s="353"/>
    </row>
    <row r="456" spans="1:10">
      <c r="A456" s="350" t="s">
        <v>385</v>
      </c>
      <c r="B456" s="351">
        <v>7</v>
      </c>
      <c r="C456" s="352">
        <v>3.78</v>
      </c>
      <c r="D456" s="353">
        <f>C456*0.22</f>
        <v>0.83160000000000001</v>
      </c>
      <c r="E456" s="353"/>
      <c r="F456" s="353">
        <f>C456*0.9</f>
        <v>3.4019999999999997</v>
      </c>
      <c r="G456" s="353">
        <f>C456+D456+E456+F456</f>
        <v>8.0136000000000003</v>
      </c>
      <c r="H456" s="353">
        <f>G456*0.35</f>
        <v>2.8047599999999999</v>
      </c>
      <c r="I456" s="354">
        <f>G456+H456</f>
        <v>10.81836</v>
      </c>
      <c r="J456" s="353"/>
    </row>
    <row r="457" spans="1:10">
      <c r="A457" s="350"/>
      <c r="B457" s="351"/>
      <c r="C457" s="352"/>
      <c r="D457" s="353"/>
      <c r="E457" s="353"/>
      <c r="F457" s="353"/>
      <c r="G457" s="353"/>
      <c r="H457" s="353"/>
      <c r="I457" s="354"/>
      <c r="J457" s="353"/>
    </row>
    <row r="458" spans="1:10">
      <c r="A458" s="345" t="s">
        <v>1202</v>
      </c>
      <c r="B458" s="346"/>
      <c r="C458" s="347">
        <v>9.2799999999999994</v>
      </c>
      <c r="D458" s="347">
        <f>C458*0.22</f>
        <v>2.0415999999999999</v>
      </c>
      <c r="E458" s="347"/>
      <c r="F458" s="347">
        <f>C458*0.9</f>
        <v>8.3520000000000003</v>
      </c>
      <c r="G458" s="347">
        <f>C458+D458+E458+F458</f>
        <v>19.6736</v>
      </c>
      <c r="H458" s="347">
        <f>G458*0.35</f>
        <v>6.8857599999999994</v>
      </c>
      <c r="I458" s="348">
        <f>G458+H458</f>
        <v>26.559359999999998</v>
      </c>
      <c r="J458" s="349">
        <f>I458+I460+I461</f>
        <v>38.923199999999994</v>
      </c>
    </row>
    <row r="459" spans="1:10">
      <c r="A459" s="350" t="s">
        <v>250</v>
      </c>
      <c r="B459" s="350">
        <v>16</v>
      </c>
      <c r="C459" s="352">
        <v>15.2</v>
      </c>
      <c r="D459" s="353"/>
      <c r="E459" s="353"/>
      <c r="F459" s="353"/>
      <c r="G459" s="353"/>
      <c r="H459" s="353"/>
      <c r="I459" s="354"/>
      <c r="J459" s="353"/>
    </row>
    <row r="460" spans="1:10">
      <c r="A460" s="350" t="s">
        <v>385</v>
      </c>
      <c r="B460" s="351">
        <v>8</v>
      </c>
      <c r="C460" s="352">
        <v>4.32</v>
      </c>
      <c r="D460" s="353">
        <f>C460*0.22</f>
        <v>0.95040000000000002</v>
      </c>
      <c r="E460" s="353"/>
      <c r="F460" s="353">
        <f>C460*0.9</f>
        <v>3.8880000000000003</v>
      </c>
      <c r="G460" s="353">
        <f>C460+D460+E460+F460</f>
        <v>9.1584000000000003</v>
      </c>
      <c r="H460" s="353">
        <f>G460*0.35</f>
        <v>3.2054399999999998</v>
      </c>
      <c r="I460" s="354">
        <f>G460+H460</f>
        <v>12.36384</v>
      </c>
      <c r="J460" s="353"/>
    </row>
    <row r="461" spans="1:10">
      <c r="A461" s="350"/>
      <c r="B461" s="351"/>
      <c r="C461" s="352"/>
      <c r="D461" s="353"/>
      <c r="E461" s="353"/>
      <c r="F461" s="353"/>
      <c r="G461" s="353"/>
      <c r="H461" s="353"/>
      <c r="I461" s="354"/>
      <c r="J461" s="353"/>
    </row>
    <row r="462" spans="1:10">
      <c r="A462" s="345" t="s">
        <v>1203</v>
      </c>
      <c r="B462" s="346"/>
      <c r="C462" s="347">
        <f>C463+C464</f>
        <v>15.85</v>
      </c>
      <c r="D462" s="347">
        <f>C462*0.22</f>
        <v>3.4870000000000001</v>
      </c>
      <c r="E462" s="347">
        <v>2</v>
      </c>
      <c r="F462" s="347">
        <f>C462*0.9</f>
        <v>14.265000000000001</v>
      </c>
      <c r="G462" s="347">
        <f>C462+D462+E462+F462</f>
        <v>35.602000000000004</v>
      </c>
      <c r="H462" s="347">
        <f>G462*0.35</f>
        <v>12.460700000000001</v>
      </c>
      <c r="I462" s="348">
        <f>G462+H462</f>
        <v>48.062700000000007</v>
      </c>
      <c r="J462" s="349">
        <f>I462+I465+I466</f>
        <v>58.881060000000005</v>
      </c>
    </row>
    <row r="463" spans="1:10">
      <c r="A463" s="350" t="s">
        <v>258</v>
      </c>
      <c r="B463" s="350">
        <v>10</v>
      </c>
      <c r="C463" s="352">
        <v>11.1</v>
      </c>
      <c r="D463" s="353"/>
      <c r="E463" s="353"/>
      <c r="F463" s="353"/>
      <c r="G463" s="353"/>
      <c r="H463" s="353"/>
      <c r="I463" s="354"/>
      <c r="J463" s="353"/>
    </row>
    <row r="464" spans="1:10">
      <c r="A464" s="350" t="s">
        <v>250</v>
      </c>
      <c r="B464" s="350">
        <v>5</v>
      </c>
      <c r="C464" s="352">
        <v>4.75</v>
      </c>
      <c r="D464" s="353"/>
      <c r="E464" s="353"/>
      <c r="F464" s="353"/>
      <c r="G464" s="353"/>
      <c r="H464" s="353"/>
      <c r="I464" s="354"/>
      <c r="J464" s="353"/>
    </row>
    <row r="465" spans="1:10">
      <c r="A465" s="350" t="s">
        <v>385</v>
      </c>
      <c r="B465" s="351">
        <v>7</v>
      </c>
      <c r="C465" s="352">
        <v>3.78</v>
      </c>
      <c r="D465" s="353">
        <f>C465*0.22</f>
        <v>0.83160000000000001</v>
      </c>
      <c r="E465" s="353"/>
      <c r="F465" s="353">
        <f>C465*0.9</f>
        <v>3.4019999999999997</v>
      </c>
      <c r="G465" s="353">
        <f>C465+D465+E465+F465</f>
        <v>8.0136000000000003</v>
      </c>
      <c r="H465" s="353">
        <f>G465*0.35</f>
        <v>2.8047599999999999</v>
      </c>
      <c r="I465" s="354">
        <f>G465+H465</f>
        <v>10.81836</v>
      </c>
      <c r="J465" s="353"/>
    </row>
    <row r="466" spans="1:10">
      <c r="A466" s="350"/>
      <c r="B466" s="351"/>
      <c r="C466" s="352"/>
      <c r="D466" s="353"/>
      <c r="E466" s="353"/>
      <c r="F466" s="353"/>
      <c r="G466" s="353"/>
      <c r="H466" s="353"/>
      <c r="I466" s="354"/>
      <c r="J466" s="353"/>
    </row>
    <row r="467" spans="1:10">
      <c r="A467" s="345" t="s">
        <v>1204</v>
      </c>
      <c r="B467" s="346"/>
      <c r="C467" s="347">
        <f>C468+C469</f>
        <v>26.15</v>
      </c>
      <c r="D467" s="347">
        <f>C467*0.22</f>
        <v>5.7530000000000001</v>
      </c>
      <c r="E467" s="347">
        <v>2</v>
      </c>
      <c r="F467" s="347">
        <f>C467*0.9</f>
        <v>23.535</v>
      </c>
      <c r="G467" s="347">
        <f>C467+D467+E467+F467</f>
        <v>57.438000000000002</v>
      </c>
      <c r="H467" s="347">
        <f>G467*0.35</f>
        <v>20.103300000000001</v>
      </c>
      <c r="I467" s="348">
        <f>G467+H467</f>
        <v>77.541300000000007</v>
      </c>
      <c r="J467" s="349">
        <f>I467+I470+I471</f>
        <v>92.996100000000013</v>
      </c>
    </row>
    <row r="468" spans="1:10">
      <c r="A468" s="350" t="s">
        <v>258</v>
      </c>
      <c r="B468" s="350">
        <v>15</v>
      </c>
      <c r="C468" s="352">
        <v>16.649999999999999</v>
      </c>
      <c r="D468" s="353"/>
      <c r="E468" s="353"/>
      <c r="F468" s="353"/>
      <c r="G468" s="353"/>
      <c r="H468" s="353"/>
      <c r="I468" s="354"/>
      <c r="J468" s="353"/>
    </row>
    <row r="469" spans="1:10">
      <c r="A469" s="350" t="s">
        <v>250</v>
      </c>
      <c r="B469" s="350">
        <v>10</v>
      </c>
      <c r="C469" s="352">
        <v>9.5</v>
      </c>
      <c r="D469" s="353"/>
      <c r="E469" s="353"/>
      <c r="F469" s="353"/>
      <c r="G469" s="353"/>
      <c r="H469" s="353"/>
      <c r="I469" s="354"/>
      <c r="J469" s="353"/>
    </row>
    <row r="470" spans="1:10">
      <c r="A470" s="350" t="s">
        <v>385</v>
      </c>
      <c r="B470" s="351">
        <v>10</v>
      </c>
      <c r="C470" s="352">
        <v>5.4</v>
      </c>
      <c r="D470" s="353">
        <f>C470*0.22</f>
        <v>1.1880000000000002</v>
      </c>
      <c r="E470" s="353"/>
      <c r="F470" s="353">
        <f>C470*0.9</f>
        <v>4.8600000000000003</v>
      </c>
      <c r="G470" s="353">
        <f>C470+D470+E470+F470</f>
        <v>11.448</v>
      </c>
      <c r="H470" s="353">
        <f>G470*0.35</f>
        <v>4.0068000000000001</v>
      </c>
      <c r="I470" s="354">
        <f>G470+H470</f>
        <v>15.454800000000001</v>
      </c>
      <c r="J470" s="353"/>
    </row>
    <row r="471" spans="1:10">
      <c r="A471" s="350"/>
      <c r="B471" s="351"/>
      <c r="C471" s="352"/>
      <c r="D471" s="353"/>
      <c r="E471" s="353"/>
      <c r="F471" s="353"/>
      <c r="G471" s="353"/>
      <c r="H471" s="353"/>
      <c r="I471" s="354"/>
      <c r="J471" s="353"/>
    </row>
    <row r="472" spans="1:10">
      <c r="A472" s="345" t="s">
        <v>1205</v>
      </c>
      <c r="B472" s="346"/>
      <c r="C472" s="347">
        <f>C473+C474</f>
        <v>18.549999999999997</v>
      </c>
      <c r="D472" s="347">
        <f>C472*0.22</f>
        <v>4.0809999999999995</v>
      </c>
      <c r="E472" s="347">
        <v>0.5</v>
      </c>
      <c r="F472" s="347">
        <f>C472*0.9</f>
        <v>16.694999999999997</v>
      </c>
      <c r="G472" s="347">
        <f>C472+D472+E472+F472</f>
        <v>39.825999999999993</v>
      </c>
      <c r="H472" s="347">
        <f>G472*0.35</f>
        <v>13.939099999999996</v>
      </c>
      <c r="I472" s="348">
        <f>G472+H472</f>
        <v>53.76509999999999</v>
      </c>
      <c r="J472" s="349">
        <f>I472+I475+I476</f>
        <v>66.128939999999986</v>
      </c>
    </row>
    <row r="473" spans="1:10">
      <c r="A473" s="350" t="s">
        <v>258</v>
      </c>
      <c r="B473" s="350">
        <v>15</v>
      </c>
      <c r="C473" s="352">
        <v>16.649999999999999</v>
      </c>
      <c r="D473" s="353"/>
      <c r="E473" s="353"/>
      <c r="F473" s="353"/>
      <c r="G473" s="353"/>
      <c r="H473" s="353"/>
      <c r="I473" s="354"/>
      <c r="J473" s="353"/>
    </row>
    <row r="474" spans="1:10">
      <c r="A474" s="350" t="s">
        <v>250</v>
      </c>
      <c r="B474" s="350">
        <v>2</v>
      </c>
      <c r="C474" s="352">
        <v>1.9</v>
      </c>
      <c r="D474" s="353"/>
      <c r="E474" s="353"/>
      <c r="F474" s="353"/>
      <c r="G474" s="353"/>
      <c r="H474" s="353"/>
      <c r="I474" s="354"/>
      <c r="J474" s="353"/>
    </row>
    <row r="475" spans="1:10">
      <c r="A475" s="350" t="s">
        <v>385</v>
      </c>
      <c r="B475" s="351">
        <v>8</v>
      </c>
      <c r="C475" s="352">
        <v>4.32</v>
      </c>
      <c r="D475" s="353">
        <f>C475*0.22</f>
        <v>0.95040000000000002</v>
      </c>
      <c r="E475" s="353"/>
      <c r="F475" s="353">
        <f>C475*0.9</f>
        <v>3.8880000000000003</v>
      </c>
      <c r="G475" s="353">
        <f>C475+D475+E475+F475</f>
        <v>9.1584000000000003</v>
      </c>
      <c r="H475" s="353">
        <f>G475*0.35</f>
        <v>3.2054399999999998</v>
      </c>
      <c r="I475" s="354">
        <f>G475+H475</f>
        <v>12.36384</v>
      </c>
      <c r="J475" s="353"/>
    </row>
    <row r="476" spans="1:10">
      <c r="A476" s="350"/>
      <c r="B476" s="351"/>
      <c r="C476" s="352"/>
      <c r="D476" s="353"/>
      <c r="E476" s="353"/>
      <c r="F476" s="353"/>
      <c r="G476" s="353"/>
      <c r="H476" s="353"/>
      <c r="I476" s="354"/>
      <c r="J476" s="353"/>
    </row>
    <row r="477" spans="1:10">
      <c r="A477" s="345" t="s">
        <v>1206</v>
      </c>
      <c r="B477" s="346"/>
      <c r="C477" s="347">
        <f>C478+C479</f>
        <v>13</v>
      </c>
      <c r="D477" s="347">
        <f>C477*0.22</f>
        <v>2.86</v>
      </c>
      <c r="E477" s="347">
        <v>0.5</v>
      </c>
      <c r="F477" s="347">
        <f>C477*0.9</f>
        <v>11.700000000000001</v>
      </c>
      <c r="G477" s="347">
        <f>C477+D477+E477+F477</f>
        <v>28.060000000000002</v>
      </c>
      <c r="H477" s="347">
        <f>G477*0.35</f>
        <v>9.8209999999999997</v>
      </c>
      <c r="I477" s="348">
        <f>G477+H477</f>
        <v>37.881</v>
      </c>
      <c r="J477" s="349">
        <f>I477+I480+I481</f>
        <v>47.153880000000001</v>
      </c>
    </row>
    <row r="478" spans="1:10">
      <c r="A478" s="350" t="s">
        <v>258</v>
      </c>
      <c r="B478" s="350">
        <v>10</v>
      </c>
      <c r="C478" s="352">
        <v>11.1</v>
      </c>
      <c r="D478" s="353"/>
      <c r="E478" s="353"/>
      <c r="F478" s="353"/>
      <c r="G478" s="353"/>
      <c r="H478" s="353"/>
      <c r="I478" s="354"/>
      <c r="J478" s="353"/>
    </row>
    <row r="479" spans="1:10">
      <c r="A479" s="350" t="s">
        <v>250</v>
      </c>
      <c r="B479" s="350">
        <v>2</v>
      </c>
      <c r="C479" s="352">
        <v>1.9</v>
      </c>
      <c r="D479" s="353"/>
      <c r="E479" s="353"/>
      <c r="F479" s="353"/>
      <c r="G479" s="353"/>
      <c r="H479" s="353"/>
      <c r="I479" s="354"/>
      <c r="J479" s="353"/>
    </row>
    <row r="480" spans="1:10">
      <c r="A480" s="350" t="s">
        <v>385</v>
      </c>
      <c r="B480" s="351">
        <v>6</v>
      </c>
      <c r="C480" s="352">
        <v>3.24</v>
      </c>
      <c r="D480" s="353">
        <f>C480*0.22</f>
        <v>0.7128000000000001</v>
      </c>
      <c r="E480" s="353"/>
      <c r="F480" s="353">
        <f>C480*0.9</f>
        <v>2.9160000000000004</v>
      </c>
      <c r="G480" s="353">
        <f>C480+D480+E480+F480</f>
        <v>6.8688000000000002</v>
      </c>
      <c r="H480" s="353">
        <f>G480*0.35</f>
        <v>2.40408</v>
      </c>
      <c r="I480" s="354">
        <f>G480+H480</f>
        <v>9.2728800000000007</v>
      </c>
      <c r="J480" s="353"/>
    </row>
    <row r="481" spans="1:10">
      <c r="A481" s="350"/>
      <c r="B481" s="351"/>
      <c r="C481" s="352"/>
      <c r="D481" s="353"/>
      <c r="E481" s="353"/>
      <c r="F481" s="353"/>
      <c r="G481" s="353"/>
      <c r="H481" s="353"/>
      <c r="I481" s="354"/>
      <c r="J481" s="353"/>
    </row>
    <row r="482" spans="1:10">
      <c r="A482" s="345" t="s">
        <v>1207</v>
      </c>
      <c r="B482" s="346"/>
      <c r="C482" s="347">
        <f>C483+C484</f>
        <v>13</v>
      </c>
      <c r="D482" s="347">
        <f>C482*0.22</f>
        <v>2.86</v>
      </c>
      <c r="E482" s="347">
        <v>0.5</v>
      </c>
      <c r="F482" s="347">
        <f>C482*0.9</f>
        <v>11.700000000000001</v>
      </c>
      <c r="G482" s="347">
        <f>C482+D482+E482+F482</f>
        <v>28.060000000000002</v>
      </c>
      <c r="H482" s="347">
        <f>G482*0.35</f>
        <v>9.8209999999999997</v>
      </c>
      <c r="I482" s="348">
        <f>G482+H482</f>
        <v>37.881</v>
      </c>
      <c r="J482" s="349">
        <f>I482+I485+I486</f>
        <v>47.153880000000001</v>
      </c>
    </row>
    <row r="483" spans="1:10">
      <c r="A483" s="350" t="s">
        <v>258</v>
      </c>
      <c r="B483" s="350">
        <v>10</v>
      </c>
      <c r="C483" s="352">
        <v>11.1</v>
      </c>
      <c r="D483" s="353"/>
      <c r="E483" s="353"/>
      <c r="F483" s="353"/>
      <c r="G483" s="353"/>
      <c r="H483" s="353"/>
      <c r="I483" s="354"/>
      <c r="J483" s="353"/>
    </row>
    <row r="484" spans="1:10">
      <c r="A484" s="350" t="s">
        <v>250</v>
      </c>
      <c r="B484" s="350">
        <v>2</v>
      </c>
      <c r="C484" s="352">
        <v>1.9</v>
      </c>
      <c r="D484" s="353"/>
      <c r="E484" s="353"/>
      <c r="F484" s="353"/>
      <c r="G484" s="353"/>
      <c r="H484" s="353"/>
      <c r="I484" s="354"/>
      <c r="J484" s="353"/>
    </row>
    <row r="485" spans="1:10">
      <c r="A485" s="350" t="s">
        <v>385</v>
      </c>
      <c r="B485" s="351">
        <v>6</v>
      </c>
      <c r="C485" s="352">
        <v>3.24</v>
      </c>
      <c r="D485" s="353">
        <f>C485*0.22</f>
        <v>0.7128000000000001</v>
      </c>
      <c r="E485" s="353"/>
      <c r="F485" s="353">
        <f>C485*0.9</f>
        <v>2.9160000000000004</v>
      </c>
      <c r="G485" s="353">
        <f>C485+D485+E485+F485</f>
        <v>6.8688000000000002</v>
      </c>
      <c r="H485" s="353">
        <f>G485*0.35</f>
        <v>2.40408</v>
      </c>
      <c r="I485" s="354">
        <f>G485+H485</f>
        <v>9.2728800000000007</v>
      </c>
      <c r="J485" s="353"/>
    </row>
    <row r="486" spans="1:10">
      <c r="A486" s="350"/>
      <c r="B486" s="351"/>
      <c r="C486" s="352"/>
      <c r="D486" s="353"/>
      <c r="E486" s="353"/>
      <c r="F486" s="353"/>
      <c r="G486" s="353"/>
      <c r="H486" s="353"/>
      <c r="I486" s="354"/>
      <c r="J486" s="353"/>
    </row>
    <row r="487" spans="1:10">
      <c r="A487" s="345" t="s">
        <v>1208</v>
      </c>
      <c r="B487" s="346"/>
      <c r="C487" s="347">
        <f>C488+C489</f>
        <v>13</v>
      </c>
      <c r="D487" s="347">
        <f>C487*0.22</f>
        <v>2.86</v>
      </c>
      <c r="E487" s="347">
        <v>0.5</v>
      </c>
      <c r="F487" s="347">
        <f>C487*0.9</f>
        <v>11.700000000000001</v>
      </c>
      <c r="G487" s="347">
        <f>C487+D487+E487+F487</f>
        <v>28.060000000000002</v>
      </c>
      <c r="H487" s="347">
        <f>G487*0.35</f>
        <v>9.8209999999999997</v>
      </c>
      <c r="I487" s="348">
        <f>G487+H487</f>
        <v>37.881</v>
      </c>
      <c r="J487" s="349">
        <f>I487+I490+I491</f>
        <v>47.153880000000001</v>
      </c>
    </row>
    <row r="488" spans="1:10">
      <c r="A488" s="350" t="s">
        <v>258</v>
      </c>
      <c r="B488" s="350">
        <v>10</v>
      </c>
      <c r="C488" s="352">
        <v>11.1</v>
      </c>
      <c r="D488" s="353"/>
      <c r="E488" s="353"/>
      <c r="F488" s="353"/>
      <c r="G488" s="353"/>
      <c r="H488" s="353"/>
      <c r="I488" s="354"/>
      <c r="J488" s="355"/>
    </row>
    <row r="489" spans="1:10">
      <c r="A489" s="350" t="s">
        <v>250</v>
      </c>
      <c r="B489" s="350">
        <v>2</v>
      </c>
      <c r="C489" s="352">
        <v>1.9</v>
      </c>
      <c r="D489" s="353"/>
      <c r="E489" s="353"/>
      <c r="F489" s="353"/>
      <c r="G489" s="353"/>
      <c r="H489" s="353"/>
      <c r="I489" s="354"/>
      <c r="J489" s="355"/>
    </row>
    <row r="490" spans="1:10">
      <c r="A490" s="350" t="s">
        <v>385</v>
      </c>
      <c r="B490" s="351">
        <v>6</v>
      </c>
      <c r="C490" s="352">
        <v>3.24</v>
      </c>
      <c r="D490" s="353">
        <f>C490*0.22</f>
        <v>0.7128000000000001</v>
      </c>
      <c r="E490" s="353"/>
      <c r="F490" s="353">
        <f>C490*0.9</f>
        <v>2.9160000000000004</v>
      </c>
      <c r="G490" s="353">
        <f>C490+D490+E490+F490</f>
        <v>6.8688000000000002</v>
      </c>
      <c r="H490" s="353">
        <f>G490*0.35</f>
        <v>2.40408</v>
      </c>
      <c r="I490" s="354">
        <f>G490+H490</f>
        <v>9.2728800000000007</v>
      </c>
      <c r="J490" s="355"/>
    </row>
    <row r="491" spans="1:10">
      <c r="A491" s="350"/>
      <c r="B491" s="351"/>
      <c r="C491" s="352"/>
      <c r="D491" s="353"/>
      <c r="E491" s="353"/>
      <c r="F491" s="353"/>
      <c r="G491" s="353"/>
      <c r="H491" s="353"/>
      <c r="I491" s="354"/>
      <c r="J491" s="355"/>
    </row>
    <row r="492" spans="1:10">
      <c r="A492" s="345" t="s">
        <v>1209</v>
      </c>
      <c r="B492" s="346"/>
      <c r="C492" s="347">
        <f>C493+C494</f>
        <v>4.12</v>
      </c>
      <c r="D492" s="347">
        <f>C492*0.22</f>
        <v>0.90639999999999998</v>
      </c>
      <c r="E492" s="347"/>
      <c r="F492" s="347">
        <f>C492*0.9</f>
        <v>3.7080000000000002</v>
      </c>
      <c r="G492" s="347">
        <f>C492+D492+E492+F492</f>
        <v>8.7344000000000008</v>
      </c>
      <c r="H492" s="347">
        <f>G492*0.35</f>
        <v>3.0570400000000002</v>
      </c>
      <c r="I492" s="348">
        <f>G492+H492</f>
        <v>11.791440000000001</v>
      </c>
      <c r="J492" s="349">
        <f>I492+I495+I496</f>
        <v>13.336920000000001</v>
      </c>
    </row>
    <row r="493" spans="1:10">
      <c r="A493" s="350" t="s">
        <v>258</v>
      </c>
      <c r="B493" s="350">
        <v>2</v>
      </c>
      <c r="C493" s="352">
        <v>2.2200000000000002</v>
      </c>
      <c r="D493" s="353"/>
      <c r="E493" s="353"/>
      <c r="F493" s="353"/>
      <c r="G493" s="353"/>
      <c r="H493" s="353"/>
      <c r="I493" s="354"/>
      <c r="J493" s="353"/>
    </row>
    <row r="494" spans="1:10">
      <c r="A494" s="350" t="s">
        <v>250</v>
      </c>
      <c r="B494" s="350">
        <v>2</v>
      </c>
      <c r="C494" s="352">
        <v>1.9</v>
      </c>
      <c r="D494" s="353"/>
      <c r="E494" s="353"/>
      <c r="F494" s="353"/>
      <c r="G494" s="353"/>
      <c r="H494" s="353"/>
      <c r="I494" s="354"/>
      <c r="J494" s="353"/>
    </row>
    <row r="495" spans="1:10">
      <c r="A495" s="350" t="s">
        <v>385</v>
      </c>
      <c r="B495" s="351">
        <v>1</v>
      </c>
      <c r="C495" s="352">
        <v>0.54</v>
      </c>
      <c r="D495" s="353">
        <f>C495*0.22</f>
        <v>0.1188</v>
      </c>
      <c r="E495" s="353"/>
      <c r="F495" s="353">
        <f>C495*0.9</f>
        <v>0.48600000000000004</v>
      </c>
      <c r="G495" s="353">
        <f>C495+D495+E495+F495</f>
        <v>1.1448</v>
      </c>
      <c r="H495" s="353">
        <f>G495*0.35</f>
        <v>0.40067999999999998</v>
      </c>
      <c r="I495" s="354">
        <f>G495+H495</f>
        <v>1.54548</v>
      </c>
      <c r="J495" s="353"/>
    </row>
    <row r="496" spans="1:10">
      <c r="A496" s="350"/>
      <c r="B496" s="351"/>
      <c r="C496" s="352"/>
      <c r="D496" s="353"/>
      <c r="E496" s="353"/>
      <c r="F496" s="353"/>
      <c r="G496" s="353"/>
      <c r="H496" s="353"/>
      <c r="I496" s="354"/>
      <c r="J496" s="353"/>
    </row>
    <row r="497" spans="1:10">
      <c r="A497" s="345" t="s">
        <v>1210</v>
      </c>
      <c r="B497" s="346"/>
      <c r="C497" s="347">
        <f>C498+C499</f>
        <v>20.61</v>
      </c>
      <c r="D497" s="347">
        <f t="shared" ref="D497:D500" si="8">C497*0.22</f>
        <v>4.5342000000000002</v>
      </c>
      <c r="E497" s="347">
        <v>90</v>
      </c>
      <c r="F497" s="347">
        <f>C497*0.9</f>
        <v>18.548999999999999</v>
      </c>
      <c r="G497" s="347">
        <f>C497+D497+E497+F497</f>
        <v>133.69319999999999</v>
      </c>
      <c r="H497" s="347">
        <f>G497*0.35</f>
        <v>46.792619999999992</v>
      </c>
      <c r="I497" s="348">
        <f>G497+H497</f>
        <v>180.48581999999999</v>
      </c>
      <c r="J497" s="349">
        <f>I497+I500</f>
        <v>188.21321999999998</v>
      </c>
    </row>
    <row r="498" spans="1:10">
      <c r="A498" s="350" t="s">
        <v>258</v>
      </c>
      <c r="B498" s="350">
        <v>10</v>
      </c>
      <c r="C498" s="352">
        <v>11.11</v>
      </c>
      <c r="D498" s="353">
        <f t="shared" si="8"/>
        <v>2.4441999999999999</v>
      </c>
      <c r="E498" s="353"/>
      <c r="F498" s="353"/>
      <c r="G498" s="353"/>
      <c r="H498" s="353"/>
      <c r="I498" s="354"/>
      <c r="J498" s="353"/>
    </row>
    <row r="499" spans="1:10">
      <c r="A499" s="350" t="s">
        <v>250</v>
      </c>
      <c r="B499" s="350">
        <v>10</v>
      </c>
      <c r="C499" s="352">
        <v>9.5</v>
      </c>
      <c r="D499" s="353">
        <f t="shared" si="8"/>
        <v>2.09</v>
      </c>
      <c r="E499" s="353"/>
      <c r="F499" s="353"/>
      <c r="G499" s="353"/>
      <c r="H499" s="353"/>
      <c r="I499" s="354"/>
      <c r="J499" s="353"/>
    </row>
    <row r="500" spans="1:10">
      <c r="A500" s="350" t="s">
        <v>385</v>
      </c>
      <c r="B500" s="351">
        <v>5</v>
      </c>
      <c r="C500" s="352">
        <v>2.7</v>
      </c>
      <c r="D500" s="353">
        <f t="shared" si="8"/>
        <v>0.59400000000000008</v>
      </c>
      <c r="E500" s="353"/>
      <c r="F500" s="353">
        <f>C500*0.9</f>
        <v>2.4300000000000002</v>
      </c>
      <c r="G500" s="353">
        <f>C500+D500+E500+F500</f>
        <v>5.7240000000000002</v>
      </c>
      <c r="H500" s="353">
        <f>G500*0.35</f>
        <v>2.0034000000000001</v>
      </c>
      <c r="I500" s="354">
        <f>G500+H500</f>
        <v>7.7274000000000003</v>
      </c>
      <c r="J500" s="353"/>
    </row>
    <row r="501" spans="1:10">
      <c r="A501" s="350"/>
      <c r="B501" s="351"/>
      <c r="C501" s="352"/>
      <c r="D501" s="353"/>
      <c r="E501" s="353"/>
      <c r="F501" s="353"/>
      <c r="G501" s="353"/>
      <c r="H501" s="353"/>
      <c r="I501" s="354"/>
      <c r="J501" s="353"/>
    </row>
    <row r="502" spans="1:10">
      <c r="A502" s="345" t="s">
        <v>1211</v>
      </c>
      <c r="B502" s="346"/>
      <c r="C502" s="347">
        <f>C503+C504</f>
        <v>13.2</v>
      </c>
      <c r="D502" s="347">
        <f>C502*0.22</f>
        <v>2.9039999999999999</v>
      </c>
      <c r="E502" s="347">
        <v>0.21</v>
      </c>
      <c r="F502" s="347">
        <f>C502*0.9</f>
        <v>11.879999999999999</v>
      </c>
      <c r="G502" s="347">
        <f>C502+D502+E502+F502</f>
        <v>28.193999999999999</v>
      </c>
      <c r="H502" s="347">
        <f>G502*0.35</f>
        <v>9.8678999999999988</v>
      </c>
      <c r="I502" s="348">
        <f>G502+H502</f>
        <v>38.061899999999994</v>
      </c>
      <c r="J502" s="349">
        <f>I502+I505+I506</f>
        <v>45.789299999999997</v>
      </c>
    </row>
    <row r="503" spans="1:10">
      <c r="A503" s="375" t="s">
        <v>258</v>
      </c>
      <c r="B503" s="375">
        <v>10</v>
      </c>
      <c r="C503" s="353">
        <v>7.5</v>
      </c>
      <c r="D503" s="353">
        <f>C503*0.22</f>
        <v>1.65</v>
      </c>
      <c r="E503" s="353"/>
      <c r="F503" s="353">
        <f>C503*0.9</f>
        <v>6.75</v>
      </c>
      <c r="G503" s="353"/>
      <c r="H503" s="353"/>
      <c r="I503" s="354"/>
      <c r="J503" s="353"/>
    </row>
    <row r="504" spans="1:10">
      <c r="A504" s="375" t="s">
        <v>337</v>
      </c>
      <c r="B504" s="375">
        <v>10</v>
      </c>
      <c r="C504" s="353">
        <v>5.7</v>
      </c>
      <c r="D504" s="353">
        <f>C504*0.22</f>
        <v>1.254</v>
      </c>
      <c r="E504" s="353"/>
      <c r="F504" s="353">
        <f>C504*0.9</f>
        <v>5.13</v>
      </c>
      <c r="G504" s="353"/>
      <c r="H504" s="353"/>
      <c r="I504" s="354"/>
      <c r="J504" s="353"/>
    </row>
    <row r="505" spans="1:10">
      <c r="A505" s="350" t="s">
        <v>385</v>
      </c>
      <c r="B505" s="351">
        <v>5</v>
      </c>
      <c r="C505" s="352">
        <v>2.7</v>
      </c>
      <c r="D505" s="353">
        <f>C505*0.22</f>
        <v>0.59400000000000008</v>
      </c>
      <c r="E505" s="353"/>
      <c r="F505" s="353">
        <f>C505*0.9</f>
        <v>2.4300000000000002</v>
      </c>
      <c r="G505" s="353">
        <f>C505+D505+E505+F505</f>
        <v>5.7240000000000002</v>
      </c>
      <c r="H505" s="353">
        <f>G505*0.35</f>
        <v>2.0034000000000001</v>
      </c>
      <c r="I505" s="354">
        <f>G505+H505</f>
        <v>7.7274000000000003</v>
      </c>
      <c r="J505" s="353"/>
    </row>
    <row r="506" spans="1:10">
      <c r="A506" s="350"/>
      <c r="B506" s="351"/>
      <c r="C506" s="352"/>
      <c r="D506" s="353"/>
      <c r="E506" s="353"/>
      <c r="F506" s="353"/>
      <c r="G506" s="353"/>
      <c r="H506" s="353"/>
      <c r="I506" s="354"/>
      <c r="J506" s="353"/>
    </row>
    <row r="507" spans="1:10" ht="12.75">
      <c r="A507" s="382" t="s">
        <v>1212</v>
      </c>
      <c r="B507" s="351"/>
      <c r="C507" s="352"/>
      <c r="D507" s="353"/>
      <c r="E507" s="353"/>
      <c r="F507" s="353"/>
      <c r="G507" s="353"/>
      <c r="H507" s="353"/>
      <c r="I507" s="354"/>
      <c r="J507" s="353"/>
    </row>
    <row r="508" spans="1:10">
      <c r="A508" s="345" t="s">
        <v>1213</v>
      </c>
      <c r="B508" s="346"/>
      <c r="C508" s="347">
        <f>C509+C510</f>
        <v>41.2</v>
      </c>
      <c r="D508" s="347">
        <f t="shared" ref="D508:D511" si="9">C508*0.22</f>
        <v>9.0640000000000001</v>
      </c>
      <c r="E508" s="347">
        <v>20</v>
      </c>
      <c r="F508" s="347">
        <f>C508*0.9</f>
        <v>37.080000000000005</v>
      </c>
      <c r="G508" s="347">
        <f>C508+D508+E508+F508</f>
        <v>107.34400000000002</v>
      </c>
      <c r="H508" s="347">
        <f>G508*0.35</f>
        <v>37.570400000000006</v>
      </c>
      <c r="I508" s="348">
        <f>G508+H508</f>
        <v>144.91440000000003</v>
      </c>
      <c r="J508" s="349">
        <f>I508+I511+I512</f>
        <v>160.36920000000003</v>
      </c>
    </row>
    <row r="509" spans="1:10">
      <c r="A509" s="350" t="s">
        <v>258</v>
      </c>
      <c r="B509" s="350">
        <v>20</v>
      </c>
      <c r="C509" s="352">
        <v>22.2</v>
      </c>
      <c r="D509" s="353">
        <f t="shared" si="9"/>
        <v>4.8839999999999995</v>
      </c>
      <c r="E509" s="353"/>
      <c r="F509" s="353"/>
      <c r="G509" s="353"/>
      <c r="H509" s="353"/>
      <c r="I509" s="354"/>
      <c r="J509" s="353"/>
    </row>
    <row r="510" spans="1:10">
      <c r="A510" s="350" t="s">
        <v>250</v>
      </c>
      <c r="B510" s="350">
        <v>20</v>
      </c>
      <c r="C510" s="352">
        <v>19</v>
      </c>
      <c r="D510" s="353">
        <f t="shared" si="9"/>
        <v>4.18</v>
      </c>
      <c r="E510" s="353"/>
      <c r="F510" s="353"/>
      <c r="G510" s="353"/>
      <c r="H510" s="353"/>
      <c r="I510" s="354"/>
      <c r="J510" s="353"/>
    </row>
    <row r="511" spans="1:10">
      <c r="A511" s="350" t="s">
        <v>385</v>
      </c>
      <c r="B511" s="351">
        <v>10</v>
      </c>
      <c r="C511" s="352">
        <v>5.4</v>
      </c>
      <c r="D511" s="353">
        <f t="shared" si="9"/>
        <v>1.1880000000000002</v>
      </c>
      <c r="E511" s="353"/>
      <c r="F511" s="353">
        <f>C511*0.9</f>
        <v>4.8600000000000003</v>
      </c>
      <c r="G511" s="353">
        <f>C511+D511+E511+F511</f>
        <v>11.448</v>
      </c>
      <c r="H511" s="353">
        <f>G511*0.35</f>
        <v>4.0068000000000001</v>
      </c>
      <c r="I511" s="354">
        <f>G511+H511</f>
        <v>15.454800000000001</v>
      </c>
      <c r="J511" s="353"/>
    </row>
    <row r="512" spans="1:10">
      <c r="A512" s="350"/>
      <c r="B512" s="351"/>
      <c r="C512" s="352"/>
      <c r="D512" s="353"/>
      <c r="E512" s="353"/>
      <c r="F512" s="353"/>
      <c r="G512" s="353"/>
      <c r="H512" s="353"/>
      <c r="I512" s="354"/>
      <c r="J512" s="353"/>
    </row>
    <row r="513" spans="1:10">
      <c r="A513" s="345" t="s">
        <v>1214</v>
      </c>
      <c r="B513" s="346"/>
      <c r="C513" s="347">
        <f>C514+C515</f>
        <v>41.2</v>
      </c>
      <c r="D513" s="347">
        <f t="shared" ref="D513:D516" si="10">C513*0.22</f>
        <v>9.0640000000000001</v>
      </c>
      <c r="E513" s="347">
        <v>20</v>
      </c>
      <c r="F513" s="347">
        <f>C513*0.9</f>
        <v>37.080000000000005</v>
      </c>
      <c r="G513" s="347">
        <f>C513+D513+E513+F513</f>
        <v>107.34400000000002</v>
      </c>
      <c r="H513" s="347">
        <f>G513*0.35</f>
        <v>37.570400000000006</v>
      </c>
      <c r="I513" s="348">
        <f>G513+H513</f>
        <v>144.91440000000003</v>
      </c>
      <c r="J513" s="349">
        <f>I513+I516+I517</f>
        <v>160.36920000000003</v>
      </c>
    </row>
    <row r="514" spans="1:10">
      <c r="A514" s="350" t="s">
        <v>258</v>
      </c>
      <c r="B514" s="350">
        <v>20</v>
      </c>
      <c r="C514" s="352">
        <v>22.2</v>
      </c>
      <c r="D514" s="353">
        <f t="shared" si="10"/>
        <v>4.8839999999999995</v>
      </c>
      <c r="E514" s="353"/>
      <c r="F514" s="353"/>
      <c r="G514" s="353"/>
      <c r="H514" s="353"/>
      <c r="I514" s="354"/>
      <c r="J514" s="353"/>
    </row>
    <row r="515" spans="1:10">
      <c r="A515" s="350" t="s">
        <v>250</v>
      </c>
      <c r="B515" s="350">
        <v>20</v>
      </c>
      <c r="C515" s="352">
        <v>19</v>
      </c>
      <c r="D515" s="353">
        <f t="shared" si="10"/>
        <v>4.18</v>
      </c>
      <c r="E515" s="353"/>
      <c r="F515" s="353"/>
      <c r="G515" s="353"/>
      <c r="H515" s="353"/>
      <c r="I515" s="354"/>
      <c r="J515" s="353"/>
    </row>
    <row r="516" spans="1:10">
      <c r="A516" s="350" t="s">
        <v>385</v>
      </c>
      <c r="B516" s="351">
        <v>10</v>
      </c>
      <c r="C516" s="352">
        <v>5.4</v>
      </c>
      <c r="D516" s="353">
        <f t="shared" si="10"/>
        <v>1.1880000000000002</v>
      </c>
      <c r="E516" s="353"/>
      <c r="F516" s="353">
        <f>C516*0.9</f>
        <v>4.8600000000000003</v>
      </c>
      <c r="G516" s="353">
        <f>C516+D516+E516+F516</f>
        <v>11.448</v>
      </c>
      <c r="H516" s="353">
        <f>G516*0.35</f>
        <v>4.0068000000000001</v>
      </c>
      <c r="I516" s="354">
        <f>G516+H516</f>
        <v>15.454800000000001</v>
      </c>
      <c r="J516" s="353"/>
    </row>
    <row r="517" spans="1:10">
      <c r="A517" s="350"/>
      <c r="B517" s="351"/>
      <c r="C517" s="352"/>
      <c r="D517" s="353"/>
      <c r="E517" s="353"/>
      <c r="F517" s="353"/>
      <c r="G517" s="353"/>
      <c r="H517" s="353"/>
      <c r="I517" s="354"/>
      <c r="J517" s="353"/>
    </row>
    <row r="518" spans="1:10">
      <c r="A518" s="345" t="s">
        <v>1215</v>
      </c>
      <c r="B518" s="346"/>
      <c r="C518" s="347">
        <f>C519+C520</f>
        <v>41.2</v>
      </c>
      <c r="D518" s="347">
        <f t="shared" ref="D518:D521" si="11">C518*0.22</f>
        <v>9.0640000000000001</v>
      </c>
      <c r="E518" s="347">
        <v>20</v>
      </c>
      <c r="F518" s="347">
        <f>C518*0.9</f>
        <v>37.080000000000005</v>
      </c>
      <c r="G518" s="347">
        <f>C518+D518+E518+F518</f>
        <v>107.34400000000002</v>
      </c>
      <c r="H518" s="347">
        <f>G518*0.35</f>
        <v>37.570400000000006</v>
      </c>
      <c r="I518" s="348">
        <f>G518+H518</f>
        <v>144.91440000000003</v>
      </c>
      <c r="J518" s="349">
        <f>I518+I521+I529</f>
        <v>160.36920000000003</v>
      </c>
    </row>
    <row r="519" spans="1:10">
      <c r="A519" s="350" t="s">
        <v>258</v>
      </c>
      <c r="B519" s="350">
        <v>20</v>
      </c>
      <c r="C519" s="352">
        <v>22.2</v>
      </c>
      <c r="D519" s="353">
        <f t="shared" si="11"/>
        <v>4.8839999999999995</v>
      </c>
      <c r="E519" s="353"/>
      <c r="F519" s="353"/>
      <c r="G519" s="353"/>
      <c r="H519" s="353"/>
      <c r="I519" s="354"/>
      <c r="J519" s="353"/>
    </row>
    <row r="520" spans="1:10">
      <c r="A520" s="350" t="s">
        <v>250</v>
      </c>
      <c r="B520" s="350">
        <v>20</v>
      </c>
      <c r="C520" s="352">
        <v>19</v>
      </c>
      <c r="D520" s="353">
        <f t="shared" si="11"/>
        <v>4.18</v>
      </c>
      <c r="E520" s="353"/>
      <c r="F520" s="353"/>
      <c r="G520" s="353"/>
      <c r="H520" s="353"/>
      <c r="I520" s="354"/>
      <c r="J520" s="353"/>
    </row>
    <row r="521" spans="1:10">
      <c r="A521" s="350" t="s">
        <v>385</v>
      </c>
      <c r="B521" s="351">
        <v>10</v>
      </c>
      <c r="C521" s="352">
        <v>5.4</v>
      </c>
      <c r="D521" s="353">
        <f t="shared" si="11"/>
        <v>1.1880000000000002</v>
      </c>
      <c r="E521" s="353"/>
      <c r="F521" s="353">
        <f>C521*0.9</f>
        <v>4.8600000000000003</v>
      </c>
      <c r="G521" s="353">
        <f>C521+D521+E521+F521</f>
        <v>11.448</v>
      </c>
      <c r="H521" s="353">
        <f>G521*0.35</f>
        <v>4.0068000000000001</v>
      </c>
      <c r="I521" s="354">
        <f>G521+H521</f>
        <v>15.454800000000001</v>
      </c>
      <c r="J521" s="353"/>
    </row>
    <row r="522" spans="1:10">
      <c r="A522" s="350"/>
      <c r="B522" s="351"/>
      <c r="C522" s="352"/>
      <c r="D522" s="353"/>
      <c r="E522" s="353"/>
      <c r="F522" s="353"/>
      <c r="G522" s="353"/>
      <c r="H522" s="353"/>
      <c r="I522" s="354"/>
      <c r="J522" s="353"/>
    </row>
    <row r="523" spans="1:10">
      <c r="A523" s="345" t="s">
        <v>1216</v>
      </c>
      <c r="B523" s="346"/>
      <c r="C523" s="347">
        <f>C524+C525</f>
        <v>41.2</v>
      </c>
      <c r="D523" s="347">
        <f t="shared" ref="D523:D526" si="12">C523*0.22</f>
        <v>9.0640000000000001</v>
      </c>
      <c r="E523" s="347">
        <v>25</v>
      </c>
      <c r="F523" s="347">
        <f>C523*0.9</f>
        <v>37.080000000000005</v>
      </c>
      <c r="G523" s="347">
        <f>C523+D523+E523+F523</f>
        <v>112.34400000000002</v>
      </c>
      <c r="H523" s="347">
        <f>G523*0.35</f>
        <v>39.320400000000006</v>
      </c>
      <c r="I523" s="348">
        <f>G523+H523</f>
        <v>151.66440000000003</v>
      </c>
      <c r="J523" s="349">
        <f>I523+I526</f>
        <v>167.11920000000003</v>
      </c>
    </row>
    <row r="524" spans="1:10">
      <c r="A524" s="350" t="s">
        <v>1217</v>
      </c>
      <c r="B524" s="350">
        <v>20</v>
      </c>
      <c r="C524" s="352">
        <v>22.2</v>
      </c>
      <c r="D524" s="353">
        <f t="shared" si="12"/>
        <v>4.8839999999999995</v>
      </c>
      <c r="E524" s="353"/>
      <c r="F524" s="353"/>
      <c r="G524" s="353"/>
      <c r="H524" s="353"/>
      <c r="I524" s="354"/>
      <c r="J524" s="353"/>
    </row>
    <row r="525" spans="1:10">
      <c r="A525" s="350" t="s">
        <v>250</v>
      </c>
      <c r="B525" s="350">
        <v>20</v>
      </c>
      <c r="C525" s="352">
        <v>19</v>
      </c>
      <c r="D525" s="353">
        <f t="shared" si="12"/>
        <v>4.18</v>
      </c>
      <c r="E525" s="353"/>
      <c r="F525" s="353"/>
      <c r="G525" s="353"/>
      <c r="H525" s="353"/>
      <c r="I525" s="354"/>
      <c r="J525" s="353"/>
    </row>
    <row r="526" spans="1:10">
      <c r="A526" s="350" t="s">
        <v>385</v>
      </c>
      <c r="B526" s="351">
        <v>10</v>
      </c>
      <c r="C526" s="352">
        <v>5.4</v>
      </c>
      <c r="D526" s="353">
        <f t="shared" si="12"/>
        <v>1.1880000000000002</v>
      </c>
      <c r="E526" s="353"/>
      <c r="F526" s="353">
        <f>C526*0.9</f>
        <v>4.8600000000000003</v>
      </c>
      <c r="G526" s="353">
        <f>C526+D526+E526+F526</f>
        <v>11.448</v>
      </c>
      <c r="H526" s="353">
        <f>G526*0.35</f>
        <v>4.0068000000000001</v>
      </c>
      <c r="I526" s="354">
        <f>G526+H526</f>
        <v>15.454800000000001</v>
      </c>
      <c r="J526" s="353"/>
    </row>
    <row r="527" spans="1:10">
      <c r="A527" s="350"/>
      <c r="B527" s="351"/>
      <c r="C527" s="352"/>
      <c r="D527" s="353"/>
      <c r="E527" s="353"/>
      <c r="F527" s="353"/>
      <c r="G527" s="353"/>
      <c r="H527" s="353"/>
      <c r="I527" s="354"/>
      <c r="J527" s="353"/>
    </row>
    <row r="528" spans="1:10" ht="21">
      <c r="A528" s="345" t="s">
        <v>1218</v>
      </c>
      <c r="B528" s="346"/>
      <c r="C528" s="347">
        <f>C529+C530</f>
        <v>41.2</v>
      </c>
      <c r="D528" s="347">
        <f t="shared" ref="D528:D531" si="13">C528*0.22</f>
        <v>9.0640000000000001</v>
      </c>
      <c r="E528" s="347">
        <v>30</v>
      </c>
      <c r="F528" s="347">
        <f>C528*0.9</f>
        <v>37.080000000000005</v>
      </c>
      <c r="G528" s="347">
        <f>C528+D528+E528+F528</f>
        <v>117.34400000000002</v>
      </c>
      <c r="H528" s="347">
        <f>G528*0.35</f>
        <v>41.070400000000006</v>
      </c>
      <c r="I528" s="348">
        <f>G528+H528</f>
        <v>158.41440000000003</v>
      </c>
      <c r="J528" s="349">
        <f>I528+I531+I536</f>
        <v>173.86920000000003</v>
      </c>
    </row>
    <row r="529" spans="1:10">
      <c r="A529" s="350" t="s">
        <v>1217</v>
      </c>
      <c r="B529" s="350">
        <v>20</v>
      </c>
      <c r="C529" s="352">
        <v>22.2</v>
      </c>
      <c r="D529" s="353">
        <f t="shared" si="13"/>
        <v>4.8839999999999995</v>
      </c>
      <c r="E529" s="353"/>
      <c r="F529" s="353"/>
      <c r="G529" s="353"/>
      <c r="H529" s="353"/>
      <c r="I529" s="354"/>
      <c r="J529" s="355"/>
    </row>
    <row r="530" spans="1:10">
      <c r="A530" s="350" t="s">
        <v>250</v>
      </c>
      <c r="B530" s="350">
        <v>20</v>
      </c>
      <c r="C530" s="352">
        <v>19</v>
      </c>
      <c r="D530" s="353">
        <f t="shared" si="13"/>
        <v>4.18</v>
      </c>
      <c r="E530" s="353"/>
      <c r="F530" s="353"/>
      <c r="G530" s="353"/>
      <c r="H530" s="353"/>
      <c r="I530" s="354"/>
      <c r="J530" s="355"/>
    </row>
    <row r="531" spans="1:10">
      <c r="A531" s="350" t="s">
        <v>385</v>
      </c>
      <c r="B531" s="351">
        <v>10</v>
      </c>
      <c r="C531" s="352">
        <v>5.4</v>
      </c>
      <c r="D531" s="353">
        <f t="shared" si="13"/>
        <v>1.1880000000000002</v>
      </c>
      <c r="E531" s="353"/>
      <c r="F531" s="353">
        <f>C531*0.9</f>
        <v>4.8600000000000003</v>
      </c>
      <c r="G531" s="353">
        <f>C531+D531+E531+F531</f>
        <v>11.448</v>
      </c>
      <c r="H531" s="353">
        <f>G531*0.35</f>
        <v>4.0068000000000001</v>
      </c>
      <c r="I531" s="354">
        <f>G531+H531</f>
        <v>15.454800000000001</v>
      </c>
      <c r="J531" s="355"/>
    </row>
    <row r="532" spans="1:10">
      <c r="A532" s="350"/>
      <c r="B532" s="351"/>
      <c r="C532" s="352"/>
      <c r="D532" s="353"/>
      <c r="E532" s="353"/>
      <c r="F532" s="353"/>
      <c r="G532" s="353"/>
      <c r="H532" s="353"/>
      <c r="I532" s="354"/>
      <c r="J532" s="355"/>
    </row>
    <row r="533" spans="1:10" ht="12.75">
      <c r="A533" s="368" t="s">
        <v>1219</v>
      </c>
      <c r="B533" s="369"/>
      <c r="C533" s="369"/>
      <c r="D533" s="369"/>
      <c r="E533" s="369"/>
      <c r="F533" s="369"/>
      <c r="G533" s="369"/>
      <c r="H533" s="369"/>
      <c r="I533" s="369"/>
      <c r="J533" s="370"/>
    </row>
    <row r="534" spans="1:10">
      <c r="A534" s="345" t="s">
        <v>1220</v>
      </c>
      <c r="B534" s="359"/>
      <c r="C534" s="347">
        <f>C535+C536</f>
        <v>72.599999999999994</v>
      </c>
      <c r="D534" s="347">
        <f>C534*0.22</f>
        <v>15.972</v>
      </c>
      <c r="E534" s="347">
        <v>0.21</v>
      </c>
      <c r="F534" s="347">
        <f t="shared" ref="F534:F596" si="14">C534*0.9</f>
        <v>65.34</v>
      </c>
      <c r="G534" s="347">
        <f>C534+D534+E534+F534</f>
        <v>154.12199999999999</v>
      </c>
      <c r="H534" s="347">
        <f>G534*0.35</f>
        <v>53.942699999999995</v>
      </c>
      <c r="I534" s="348">
        <f>G534+H534</f>
        <v>208.06469999999999</v>
      </c>
      <c r="J534" s="349">
        <f>I534+I537+I538</f>
        <v>246.70169999999999</v>
      </c>
    </row>
    <row r="535" spans="1:10">
      <c r="A535" s="350" t="s">
        <v>258</v>
      </c>
      <c r="B535" s="360">
        <v>55</v>
      </c>
      <c r="C535" s="352">
        <v>41.25</v>
      </c>
      <c r="D535" s="353"/>
      <c r="E535" s="352"/>
      <c r="F535" s="353">
        <f t="shared" si="14"/>
        <v>37.125</v>
      </c>
      <c r="G535" s="353"/>
      <c r="H535" s="353"/>
      <c r="I535" s="354"/>
      <c r="J535" s="353"/>
    </row>
    <row r="536" spans="1:10">
      <c r="A536" s="350" t="s">
        <v>337</v>
      </c>
      <c r="B536" s="360">
        <v>55</v>
      </c>
      <c r="C536" s="352">
        <v>31.35</v>
      </c>
      <c r="D536" s="353"/>
      <c r="E536" s="352"/>
      <c r="F536" s="353">
        <f t="shared" si="14"/>
        <v>28.215000000000003</v>
      </c>
      <c r="G536" s="353"/>
      <c r="H536" s="353"/>
      <c r="I536" s="354"/>
      <c r="J536" s="353"/>
    </row>
    <row r="537" spans="1:10">
      <c r="A537" s="350" t="s">
        <v>385</v>
      </c>
      <c r="B537" s="351">
        <v>25</v>
      </c>
      <c r="C537" s="352">
        <v>13.5</v>
      </c>
      <c r="D537" s="353">
        <f>C537*0.22</f>
        <v>2.97</v>
      </c>
      <c r="E537" s="353"/>
      <c r="F537" s="353">
        <f t="shared" si="14"/>
        <v>12.15</v>
      </c>
      <c r="G537" s="353">
        <f>C537+D537+E537+F537</f>
        <v>28.619999999999997</v>
      </c>
      <c r="H537" s="353">
        <f>G537*0.35</f>
        <v>10.016999999999998</v>
      </c>
      <c r="I537" s="354">
        <f>G537+H537</f>
        <v>38.636999999999993</v>
      </c>
      <c r="J537" s="353"/>
    </row>
    <row r="538" spans="1:10">
      <c r="A538" s="350"/>
      <c r="B538" s="351"/>
      <c r="C538" s="352"/>
      <c r="D538" s="353"/>
      <c r="E538" s="353"/>
      <c r="F538" s="353"/>
      <c r="G538" s="353"/>
      <c r="H538" s="353"/>
      <c r="I538" s="354"/>
      <c r="J538" s="353"/>
    </row>
    <row r="539" spans="1:10">
      <c r="A539" s="345" t="s">
        <v>1221</v>
      </c>
      <c r="B539" s="359"/>
      <c r="C539" s="347">
        <f>C540+C541</f>
        <v>79.2</v>
      </c>
      <c r="D539" s="347">
        <f>C539*0.22</f>
        <v>17.423999999999999</v>
      </c>
      <c r="E539" s="347">
        <v>5.0199999999999996</v>
      </c>
      <c r="F539" s="347">
        <f t="shared" si="14"/>
        <v>71.28</v>
      </c>
      <c r="G539" s="347">
        <f>C539+D539+E539+F539</f>
        <v>172.92399999999998</v>
      </c>
      <c r="H539" s="347">
        <f>G539*0.35</f>
        <v>60.523399999999988</v>
      </c>
      <c r="I539" s="348">
        <f>G539+H539</f>
        <v>233.44739999999996</v>
      </c>
      <c r="J539" s="349">
        <f>I539+I542+I543</f>
        <v>264.92939999999999</v>
      </c>
    </row>
    <row r="540" spans="1:10">
      <c r="A540" s="350" t="s">
        <v>258</v>
      </c>
      <c r="B540" s="360">
        <v>60</v>
      </c>
      <c r="C540" s="352">
        <v>45</v>
      </c>
      <c r="D540" s="353"/>
      <c r="E540" s="352"/>
      <c r="F540" s="353">
        <f t="shared" si="14"/>
        <v>40.5</v>
      </c>
      <c r="G540" s="353"/>
      <c r="H540" s="353"/>
      <c r="I540" s="354"/>
      <c r="J540" s="353"/>
    </row>
    <row r="541" spans="1:10">
      <c r="A541" s="350" t="s">
        <v>337</v>
      </c>
      <c r="B541" s="360">
        <v>60</v>
      </c>
      <c r="C541" s="352">
        <v>34.200000000000003</v>
      </c>
      <c r="D541" s="353"/>
      <c r="E541" s="352"/>
      <c r="F541" s="353">
        <f t="shared" si="14"/>
        <v>30.780000000000005</v>
      </c>
      <c r="G541" s="353"/>
      <c r="H541" s="353"/>
      <c r="I541" s="354"/>
      <c r="J541" s="353"/>
    </row>
    <row r="542" spans="1:10">
      <c r="A542" s="350" t="s">
        <v>385</v>
      </c>
      <c r="B542" s="351">
        <v>25</v>
      </c>
      <c r="C542" s="352">
        <v>11</v>
      </c>
      <c r="D542" s="353">
        <f>C542*0.22</f>
        <v>2.42</v>
      </c>
      <c r="E542" s="353"/>
      <c r="F542" s="353">
        <f t="shared" si="14"/>
        <v>9.9</v>
      </c>
      <c r="G542" s="353">
        <f>C542+D542+E542+F542</f>
        <v>23.32</v>
      </c>
      <c r="H542" s="353">
        <f>G542*0.35</f>
        <v>8.161999999999999</v>
      </c>
      <c r="I542" s="354">
        <f>G542+H542</f>
        <v>31.481999999999999</v>
      </c>
      <c r="J542" s="353"/>
    </row>
    <row r="543" spans="1:10">
      <c r="A543" s="350"/>
      <c r="B543" s="351"/>
      <c r="C543" s="352">
        <v>13.5</v>
      </c>
      <c r="D543" s="353"/>
      <c r="E543" s="353"/>
      <c r="F543" s="353">
        <f t="shared" si="14"/>
        <v>12.15</v>
      </c>
      <c r="G543" s="353"/>
      <c r="H543" s="353"/>
      <c r="I543" s="354"/>
      <c r="J543" s="353"/>
    </row>
    <row r="544" spans="1:10">
      <c r="A544" s="345" t="s">
        <v>1222</v>
      </c>
      <c r="B544" s="359"/>
      <c r="C544" s="347">
        <f>C545+C546</f>
        <v>39.6</v>
      </c>
      <c r="D544" s="347">
        <f>C544*0.22</f>
        <v>8.7119999999999997</v>
      </c>
      <c r="E544" s="347">
        <v>5.0199999999999996</v>
      </c>
      <c r="F544" s="347">
        <f t="shared" si="14"/>
        <v>35.64</v>
      </c>
      <c r="G544" s="347">
        <f>C544+D544+E544+F544</f>
        <v>88.971999999999994</v>
      </c>
      <c r="H544" s="347">
        <f>G544*0.35</f>
        <v>31.140199999999997</v>
      </c>
      <c r="I544" s="348">
        <f>G544+H544</f>
        <v>120.11219999999999</v>
      </c>
      <c r="J544" s="349">
        <f>I544+I547+I548</f>
        <v>143.2944</v>
      </c>
    </row>
    <row r="545" spans="1:10">
      <c r="A545" s="350" t="s">
        <v>258</v>
      </c>
      <c r="B545" s="360">
        <v>30</v>
      </c>
      <c r="C545" s="352">
        <v>22.5</v>
      </c>
      <c r="D545" s="353"/>
      <c r="E545" s="352"/>
      <c r="F545" s="353">
        <f t="shared" si="14"/>
        <v>20.25</v>
      </c>
      <c r="G545" s="353"/>
      <c r="H545" s="353"/>
      <c r="I545" s="354"/>
      <c r="J545" s="353"/>
    </row>
    <row r="546" spans="1:10">
      <c r="A546" s="350" t="s">
        <v>337</v>
      </c>
      <c r="B546" s="360">
        <v>30</v>
      </c>
      <c r="C546" s="352">
        <v>17.100000000000001</v>
      </c>
      <c r="D546" s="353"/>
      <c r="E546" s="352"/>
      <c r="F546" s="353">
        <f t="shared" si="14"/>
        <v>15.390000000000002</v>
      </c>
      <c r="G546" s="353"/>
      <c r="H546" s="353"/>
      <c r="I546" s="354"/>
      <c r="J546" s="353"/>
    </row>
    <row r="547" spans="1:10">
      <c r="A547" s="350" t="s">
        <v>385</v>
      </c>
      <c r="B547" s="351">
        <v>15</v>
      </c>
      <c r="C547" s="352">
        <v>8.1</v>
      </c>
      <c r="D547" s="353">
        <f t="shared" ref="D547:D601" si="15">C547*0.22</f>
        <v>1.782</v>
      </c>
      <c r="E547" s="353"/>
      <c r="F547" s="353">
        <f t="shared" si="14"/>
        <v>7.29</v>
      </c>
      <c r="G547" s="353">
        <f>C547+D547+E547+F547</f>
        <v>17.172000000000001</v>
      </c>
      <c r="H547" s="353">
        <f>G547*0.35</f>
        <v>6.0102000000000002</v>
      </c>
      <c r="I547" s="354">
        <f>G547+H547</f>
        <v>23.182200000000002</v>
      </c>
      <c r="J547" s="353"/>
    </row>
    <row r="548" spans="1:10">
      <c r="A548" s="350"/>
      <c r="B548" s="351"/>
      <c r="C548" s="352"/>
      <c r="D548" s="353"/>
      <c r="E548" s="353"/>
      <c r="F548" s="353"/>
      <c r="G548" s="353"/>
      <c r="H548" s="353"/>
      <c r="I548" s="354"/>
      <c r="J548" s="353"/>
    </row>
    <row r="549" spans="1:10" ht="21">
      <c r="A549" s="345" t="s">
        <v>1223</v>
      </c>
      <c r="B549" s="359"/>
      <c r="C549" s="347">
        <f>C550+C551</f>
        <v>118.8</v>
      </c>
      <c r="D549" s="347">
        <f t="shared" si="15"/>
        <v>26.135999999999999</v>
      </c>
      <c r="E549" s="347">
        <v>25.24</v>
      </c>
      <c r="F549" s="347">
        <f t="shared" si="14"/>
        <v>106.92</v>
      </c>
      <c r="G549" s="347">
        <f>C549+D549+E549+F549</f>
        <v>277.096</v>
      </c>
      <c r="H549" s="347">
        <f>G549*0.35</f>
        <v>96.983599999999996</v>
      </c>
      <c r="I549" s="348">
        <f>G549+H549</f>
        <v>374.07960000000003</v>
      </c>
      <c r="J549" s="349">
        <f>I549+I552+I553</f>
        <v>392.62536</v>
      </c>
    </row>
    <row r="550" spans="1:10">
      <c r="A550" s="350" t="s">
        <v>258</v>
      </c>
      <c r="B550" s="360">
        <v>90</v>
      </c>
      <c r="C550" s="352">
        <v>67.5</v>
      </c>
      <c r="D550" s="353">
        <f t="shared" si="15"/>
        <v>14.85</v>
      </c>
      <c r="E550" s="353"/>
      <c r="F550" s="353">
        <f t="shared" si="14"/>
        <v>60.75</v>
      </c>
      <c r="G550" s="353"/>
      <c r="H550" s="353"/>
      <c r="I550" s="354"/>
      <c r="J550" s="353"/>
    </row>
    <row r="551" spans="1:10">
      <c r="A551" s="350" t="s">
        <v>337</v>
      </c>
      <c r="B551" s="360">
        <v>90</v>
      </c>
      <c r="C551" s="352">
        <v>51.3</v>
      </c>
      <c r="D551" s="353">
        <f t="shared" si="15"/>
        <v>11.286</v>
      </c>
      <c r="E551" s="353"/>
      <c r="F551" s="353">
        <f t="shared" si="14"/>
        <v>46.17</v>
      </c>
      <c r="G551" s="353"/>
      <c r="H551" s="353"/>
      <c r="I551" s="354"/>
      <c r="J551" s="353"/>
    </row>
    <row r="552" spans="1:10">
      <c r="A552" s="350" t="s">
        <v>385</v>
      </c>
      <c r="B552" s="351">
        <v>12</v>
      </c>
      <c r="C552" s="352">
        <v>6.48</v>
      </c>
      <c r="D552" s="353">
        <f t="shared" si="15"/>
        <v>1.4256000000000002</v>
      </c>
      <c r="E552" s="353"/>
      <c r="F552" s="353">
        <f t="shared" si="14"/>
        <v>5.8320000000000007</v>
      </c>
      <c r="G552" s="353">
        <f>C552+D552+E552+F552</f>
        <v>13.7376</v>
      </c>
      <c r="H552" s="353">
        <f>G552*0.35</f>
        <v>4.80816</v>
      </c>
      <c r="I552" s="354">
        <f>G552+H552</f>
        <v>18.545760000000001</v>
      </c>
      <c r="J552" s="353"/>
    </row>
    <row r="553" spans="1:10">
      <c r="A553" s="350"/>
      <c r="B553" s="351"/>
      <c r="C553" s="352"/>
      <c r="D553" s="353"/>
      <c r="E553" s="353"/>
      <c r="F553" s="353"/>
      <c r="G553" s="353"/>
      <c r="H553" s="353"/>
      <c r="I553" s="354"/>
      <c r="J553" s="353"/>
    </row>
    <row r="554" spans="1:10">
      <c r="A554" s="345" t="s">
        <v>1224</v>
      </c>
      <c r="B554" s="359"/>
      <c r="C554" s="347">
        <v>11.25</v>
      </c>
      <c r="D554" s="347">
        <f t="shared" si="15"/>
        <v>2.4750000000000001</v>
      </c>
      <c r="E554" s="347">
        <v>0.21</v>
      </c>
      <c r="F554" s="347">
        <f t="shared" si="14"/>
        <v>10.125</v>
      </c>
      <c r="G554" s="347">
        <f>C554+D554+E554+F554</f>
        <v>24.060000000000002</v>
      </c>
      <c r="H554" s="347">
        <f>G554*0.35</f>
        <v>8.4209999999999994</v>
      </c>
      <c r="I554" s="348">
        <f>G554+H554</f>
        <v>32.481000000000002</v>
      </c>
      <c r="J554" s="349">
        <f>I554+I557+I556</f>
        <v>44.072100000000006</v>
      </c>
    </row>
    <row r="555" spans="1:10">
      <c r="A555" s="350" t="s">
        <v>337</v>
      </c>
      <c r="B555" s="360">
        <v>15</v>
      </c>
      <c r="C555" s="352">
        <v>11.25</v>
      </c>
      <c r="D555" s="353">
        <f t="shared" si="15"/>
        <v>2.4750000000000001</v>
      </c>
      <c r="E555" s="353"/>
      <c r="F555" s="353">
        <f t="shared" si="14"/>
        <v>10.125</v>
      </c>
      <c r="G555" s="353"/>
      <c r="H555" s="353"/>
      <c r="I555" s="354"/>
      <c r="J555" s="353"/>
    </row>
    <row r="556" spans="1:10">
      <c r="A556" s="350" t="s">
        <v>385</v>
      </c>
      <c r="B556" s="351">
        <v>7.5</v>
      </c>
      <c r="C556" s="352">
        <v>4.05</v>
      </c>
      <c r="D556" s="353">
        <f t="shared" si="15"/>
        <v>0.89100000000000001</v>
      </c>
      <c r="E556" s="353"/>
      <c r="F556" s="353">
        <f t="shared" si="14"/>
        <v>3.645</v>
      </c>
      <c r="G556" s="353">
        <f>C556+D556+E556+F556</f>
        <v>8.5860000000000003</v>
      </c>
      <c r="H556" s="353">
        <f>G556*0.35</f>
        <v>3.0051000000000001</v>
      </c>
      <c r="I556" s="354">
        <f>G556+H556</f>
        <v>11.591100000000001</v>
      </c>
      <c r="J556" s="353"/>
    </row>
    <row r="557" spans="1:10">
      <c r="A557" s="350"/>
      <c r="B557" s="351"/>
      <c r="C557" s="352"/>
      <c r="D557" s="353"/>
      <c r="E557" s="353"/>
      <c r="F557" s="353"/>
      <c r="G557" s="353"/>
      <c r="H557" s="353"/>
      <c r="I557" s="354"/>
      <c r="J557" s="353"/>
    </row>
    <row r="558" spans="1:10">
      <c r="A558" s="358" t="s">
        <v>1225</v>
      </c>
      <c r="B558" s="359"/>
      <c r="C558" s="347">
        <f>C559+C560</f>
        <v>26.4</v>
      </c>
      <c r="D558" s="347">
        <f t="shared" si="15"/>
        <v>5.8079999999999998</v>
      </c>
      <c r="E558" s="347">
        <v>0.21</v>
      </c>
      <c r="F558" s="347">
        <f t="shared" si="14"/>
        <v>23.759999999999998</v>
      </c>
      <c r="G558" s="347">
        <f>C558+D558+E558+F558</f>
        <v>56.177999999999997</v>
      </c>
      <c r="H558" s="347">
        <f>G558*0.35</f>
        <v>19.662299999999998</v>
      </c>
      <c r="I558" s="348">
        <f>G558+H558</f>
        <v>75.840299999999999</v>
      </c>
      <c r="J558" s="349">
        <f>I558+I561+I562</f>
        <v>91.295100000000005</v>
      </c>
    </row>
    <row r="559" spans="1:10">
      <c r="A559" s="355" t="s">
        <v>258</v>
      </c>
      <c r="B559" s="355">
        <v>20</v>
      </c>
      <c r="C559" s="353">
        <v>15</v>
      </c>
      <c r="D559" s="353">
        <f t="shared" si="15"/>
        <v>3.3</v>
      </c>
      <c r="E559" s="353"/>
      <c r="F559" s="353">
        <f t="shared" si="14"/>
        <v>13.5</v>
      </c>
      <c r="G559" s="353"/>
      <c r="H559" s="353"/>
      <c r="I559" s="354"/>
      <c r="J559" s="353"/>
    </row>
    <row r="560" spans="1:10">
      <c r="A560" s="355" t="s">
        <v>337</v>
      </c>
      <c r="B560" s="355">
        <v>20</v>
      </c>
      <c r="C560" s="353">
        <v>11.4</v>
      </c>
      <c r="D560" s="353">
        <f t="shared" si="15"/>
        <v>2.508</v>
      </c>
      <c r="E560" s="353"/>
      <c r="F560" s="353">
        <f t="shared" si="14"/>
        <v>10.26</v>
      </c>
      <c r="G560" s="353"/>
      <c r="H560" s="353"/>
      <c r="I560" s="354"/>
      <c r="J560" s="353"/>
    </row>
    <row r="561" spans="1:23">
      <c r="A561" s="350" t="s">
        <v>385</v>
      </c>
      <c r="B561" s="351">
        <v>10</v>
      </c>
      <c r="C561" s="352">
        <v>5.4</v>
      </c>
      <c r="D561" s="353">
        <f t="shared" si="15"/>
        <v>1.1880000000000002</v>
      </c>
      <c r="E561" s="353"/>
      <c r="F561" s="353">
        <f t="shared" si="14"/>
        <v>4.8600000000000003</v>
      </c>
      <c r="G561" s="353">
        <f>C561+D561+E561+F561</f>
        <v>11.448</v>
      </c>
      <c r="H561" s="353">
        <f>G561*0.35</f>
        <v>4.0068000000000001</v>
      </c>
      <c r="I561" s="354">
        <f>G561+H561</f>
        <v>15.454800000000001</v>
      </c>
      <c r="J561" s="353"/>
    </row>
    <row r="562" spans="1:23">
      <c r="A562" s="350"/>
      <c r="B562" s="351"/>
      <c r="C562" s="352"/>
      <c r="D562" s="353"/>
      <c r="E562" s="353"/>
      <c r="F562" s="353"/>
      <c r="G562" s="353"/>
      <c r="H562" s="353"/>
      <c r="I562" s="354"/>
      <c r="J562" s="353"/>
      <c r="K562" s="371"/>
      <c r="L562" s="371"/>
      <c r="M562" s="371"/>
      <c r="N562" s="371"/>
      <c r="O562" s="371"/>
      <c r="P562" s="371"/>
      <c r="Q562" s="371"/>
      <c r="R562" s="371"/>
      <c r="S562" s="371"/>
      <c r="T562" s="371"/>
      <c r="U562" s="371"/>
      <c r="V562" s="371"/>
      <c r="W562" s="371"/>
    </row>
    <row r="563" spans="1:23" ht="21.75">
      <c r="A563" s="383" t="s">
        <v>1226</v>
      </c>
      <c r="B563" s="384"/>
      <c r="C563" s="347">
        <f>C564+C565</f>
        <v>66</v>
      </c>
      <c r="D563" s="347">
        <f t="shared" si="15"/>
        <v>14.52</v>
      </c>
      <c r="E563" s="347">
        <v>0.21</v>
      </c>
      <c r="F563" s="347">
        <f t="shared" si="14"/>
        <v>59.4</v>
      </c>
      <c r="G563" s="347">
        <f>C563+D563+E563+F563</f>
        <v>140.13</v>
      </c>
      <c r="H563" s="347">
        <f>G563*0.35</f>
        <v>49.045499999999997</v>
      </c>
      <c r="I563" s="348">
        <f>G563+H563</f>
        <v>189.1755</v>
      </c>
      <c r="J563" s="349">
        <f>I563+I567+I566</f>
        <v>207.72126</v>
      </c>
    </row>
    <row r="564" spans="1:23">
      <c r="A564" s="385" t="s">
        <v>258</v>
      </c>
      <c r="B564" s="386">
        <v>50</v>
      </c>
      <c r="C564" s="353">
        <v>37.5</v>
      </c>
      <c r="D564" s="353">
        <f t="shared" si="15"/>
        <v>8.25</v>
      </c>
      <c r="E564" s="353"/>
      <c r="F564" s="353">
        <f t="shared" si="14"/>
        <v>33.75</v>
      </c>
      <c r="G564" s="353"/>
      <c r="H564" s="353"/>
      <c r="I564" s="354"/>
      <c r="J564" s="387"/>
    </row>
    <row r="565" spans="1:23">
      <c r="A565" s="355" t="s">
        <v>337</v>
      </c>
      <c r="B565" s="386">
        <v>50</v>
      </c>
      <c r="C565" s="353">
        <v>28.5</v>
      </c>
      <c r="D565" s="353">
        <f t="shared" si="15"/>
        <v>6.2700000000000005</v>
      </c>
      <c r="E565" s="353"/>
      <c r="F565" s="353">
        <f t="shared" si="14"/>
        <v>25.650000000000002</v>
      </c>
      <c r="G565" s="353"/>
      <c r="H565" s="353"/>
      <c r="I565" s="388"/>
      <c r="J565" s="355"/>
    </row>
    <row r="566" spans="1:23">
      <c r="A566" s="350" t="s">
        <v>385</v>
      </c>
      <c r="B566" s="351">
        <v>12</v>
      </c>
      <c r="C566" s="352">
        <v>6.48</v>
      </c>
      <c r="D566" s="353">
        <f t="shared" si="15"/>
        <v>1.4256000000000002</v>
      </c>
      <c r="E566" s="353"/>
      <c r="F566" s="353">
        <f t="shared" si="14"/>
        <v>5.8320000000000007</v>
      </c>
      <c r="G566" s="353">
        <f>C566+D566+E566+F566</f>
        <v>13.7376</v>
      </c>
      <c r="H566" s="353">
        <f>G566*0.35</f>
        <v>4.80816</v>
      </c>
      <c r="I566" s="354">
        <f>G566+H566</f>
        <v>18.545760000000001</v>
      </c>
      <c r="J566" s="355"/>
    </row>
    <row r="567" spans="1:23">
      <c r="A567" s="350"/>
      <c r="B567" s="351"/>
      <c r="C567" s="352"/>
      <c r="D567" s="353"/>
      <c r="E567" s="353"/>
      <c r="F567" s="353"/>
      <c r="G567" s="353"/>
      <c r="H567" s="353"/>
      <c r="I567" s="354"/>
      <c r="J567" s="355"/>
    </row>
    <row r="568" spans="1:23">
      <c r="A568" s="358" t="s">
        <v>1227</v>
      </c>
      <c r="B568" s="359"/>
      <c r="C568" s="347">
        <f>C569+C570</f>
        <v>39.6</v>
      </c>
      <c r="D568" s="347">
        <f t="shared" si="15"/>
        <v>8.7119999999999997</v>
      </c>
      <c r="E568" s="347">
        <v>0.21</v>
      </c>
      <c r="F568" s="347">
        <f t="shared" si="14"/>
        <v>35.64</v>
      </c>
      <c r="G568" s="347">
        <f>C568+D568+E568+F568</f>
        <v>84.162000000000006</v>
      </c>
      <c r="H568" s="347">
        <f>G568*0.35</f>
        <v>29.456700000000001</v>
      </c>
      <c r="I568" s="348">
        <f>G568+H568</f>
        <v>113.6187</v>
      </c>
      <c r="J568" s="349">
        <f>I568+I571+I572</f>
        <v>136.80090000000001</v>
      </c>
    </row>
    <row r="569" spans="1:23">
      <c r="A569" s="355" t="s">
        <v>258</v>
      </c>
      <c r="B569" s="355">
        <v>30</v>
      </c>
      <c r="C569" s="353">
        <v>22.5</v>
      </c>
      <c r="D569" s="353">
        <f t="shared" si="15"/>
        <v>4.95</v>
      </c>
      <c r="E569" s="353"/>
      <c r="F569" s="353">
        <f t="shared" si="14"/>
        <v>20.25</v>
      </c>
      <c r="G569" s="353"/>
      <c r="H569" s="353"/>
      <c r="I569" s="354"/>
      <c r="J569" s="353"/>
    </row>
    <row r="570" spans="1:23">
      <c r="A570" s="355" t="s">
        <v>337</v>
      </c>
      <c r="B570" s="355">
        <v>30</v>
      </c>
      <c r="C570" s="353">
        <v>17.100000000000001</v>
      </c>
      <c r="D570" s="353">
        <f t="shared" si="15"/>
        <v>3.7620000000000005</v>
      </c>
      <c r="E570" s="353"/>
      <c r="F570" s="353">
        <f t="shared" si="14"/>
        <v>15.390000000000002</v>
      </c>
      <c r="G570" s="353"/>
      <c r="H570" s="353"/>
      <c r="I570" s="354"/>
      <c r="J570" s="353"/>
    </row>
    <row r="571" spans="1:23">
      <c r="A571" s="350" t="s">
        <v>385</v>
      </c>
      <c r="B571" s="351">
        <v>15</v>
      </c>
      <c r="C571" s="352">
        <v>8.1</v>
      </c>
      <c r="D571" s="353">
        <f t="shared" si="15"/>
        <v>1.782</v>
      </c>
      <c r="E571" s="353"/>
      <c r="F571" s="353">
        <f t="shared" si="14"/>
        <v>7.29</v>
      </c>
      <c r="G571" s="353">
        <f>C571+D571+E571+F571</f>
        <v>17.172000000000001</v>
      </c>
      <c r="H571" s="353">
        <f>G571*0.35</f>
        <v>6.0102000000000002</v>
      </c>
      <c r="I571" s="354">
        <f>G571+H571</f>
        <v>23.182200000000002</v>
      </c>
      <c r="J571" s="353"/>
    </row>
    <row r="572" spans="1:23">
      <c r="A572" s="350"/>
      <c r="B572" s="351"/>
      <c r="C572" s="352"/>
      <c r="D572" s="353"/>
      <c r="E572" s="353"/>
      <c r="F572" s="353"/>
      <c r="G572" s="353"/>
      <c r="H572" s="353"/>
      <c r="I572" s="354"/>
      <c r="J572" s="353"/>
    </row>
    <row r="573" spans="1:23">
      <c r="A573" s="345" t="s">
        <v>1228</v>
      </c>
      <c r="B573" s="346"/>
      <c r="C573" s="347">
        <f>C574+C575</f>
        <v>39.6</v>
      </c>
      <c r="D573" s="347">
        <f t="shared" si="15"/>
        <v>8.7119999999999997</v>
      </c>
      <c r="E573" s="347">
        <v>0.21</v>
      </c>
      <c r="F573" s="347">
        <f t="shared" si="14"/>
        <v>35.64</v>
      </c>
      <c r="G573" s="347">
        <f>C573+D573+E573+F573</f>
        <v>84.162000000000006</v>
      </c>
      <c r="H573" s="347">
        <f>G573*0.35</f>
        <v>29.456700000000001</v>
      </c>
      <c r="I573" s="348">
        <f>G573+H573</f>
        <v>113.6187</v>
      </c>
      <c r="J573" s="349">
        <f>I573+I576+I577</f>
        <v>136.80090000000001</v>
      </c>
    </row>
    <row r="574" spans="1:23">
      <c r="A574" s="375" t="s">
        <v>258</v>
      </c>
      <c r="B574" s="375">
        <v>30</v>
      </c>
      <c r="C574" s="353">
        <v>22.5</v>
      </c>
      <c r="D574" s="353">
        <f t="shared" si="15"/>
        <v>4.95</v>
      </c>
      <c r="E574" s="353"/>
      <c r="F574" s="353">
        <f t="shared" si="14"/>
        <v>20.25</v>
      </c>
      <c r="G574" s="353"/>
      <c r="H574" s="353"/>
      <c r="I574" s="354"/>
      <c r="J574" s="353"/>
    </row>
    <row r="575" spans="1:23">
      <c r="A575" s="375" t="s">
        <v>337</v>
      </c>
      <c r="B575" s="375">
        <v>30</v>
      </c>
      <c r="C575" s="353">
        <v>17.100000000000001</v>
      </c>
      <c r="D575" s="353">
        <f t="shared" si="15"/>
        <v>3.7620000000000005</v>
      </c>
      <c r="E575" s="353"/>
      <c r="F575" s="353">
        <f t="shared" si="14"/>
        <v>15.390000000000002</v>
      </c>
      <c r="G575" s="353"/>
      <c r="H575" s="353"/>
      <c r="I575" s="354"/>
      <c r="J575" s="353"/>
    </row>
    <row r="576" spans="1:23">
      <c r="A576" s="350" t="s">
        <v>385</v>
      </c>
      <c r="B576" s="351">
        <v>15</v>
      </c>
      <c r="C576" s="352">
        <v>8.1</v>
      </c>
      <c r="D576" s="353">
        <f t="shared" si="15"/>
        <v>1.782</v>
      </c>
      <c r="E576" s="353"/>
      <c r="F576" s="353">
        <f t="shared" si="14"/>
        <v>7.29</v>
      </c>
      <c r="G576" s="353">
        <f>C576+D576+E576+F576</f>
        <v>17.172000000000001</v>
      </c>
      <c r="H576" s="353">
        <f>G576*0.35</f>
        <v>6.0102000000000002</v>
      </c>
      <c r="I576" s="354">
        <f>G576+H576</f>
        <v>23.182200000000002</v>
      </c>
      <c r="J576" s="353"/>
    </row>
    <row r="577" spans="1:10">
      <c r="A577" s="350"/>
      <c r="B577" s="351"/>
      <c r="C577" s="352"/>
      <c r="D577" s="353"/>
      <c r="E577" s="353"/>
      <c r="F577" s="353"/>
      <c r="G577" s="353"/>
      <c r="H577" s="353"/>
      <c r="I577" s="354"/>
      <c r="J577" s="353"/>
    </row>
    <row r="578" spans="1:10">
      <c r="A578" s="345" t="s">
        <v>1229</v>
      </c>
      <c r="B578" s="346"/>
      <c r="C578" s="347">
        <f>C579+C580</f>
        <v>39.6</v>
      </c>
      <c r="D578" s="347">
        <f t="shared" si="15"/>
        <v>8.7119999999999997</v>
      </c>
      <c r="E578" s="347">
        <v>0.21</v>
      </c>
      <c r="F578" s="347">
        <f t="shared" si="14"/>
        <v>35.64</v>
      </c>
      <c r="G578" s="347">
        <f>C578+D578+E578+F578</f>
        <v>84.162000000000006</v>
      </c>
      <c r="H578" s="347">
        <f>G578*0.35</f>
        <v>29.456700000000001</v>
      </c>
      <c r="I578" s="348">
        <f>G578+H578</f>
        <v>113.6187</v>
      </c>
      <c r="J578" s="349">
        <f>I578+I581</f>
        <v>136.80090000000001</v>
      </c>
    </row>
    <row r="579" spans="1:10">
      <c r="A579" s="375" t="s">
        <v>258</v>
      </c>
      <c r="B579" s="375">
        <v>30</v>
      </c>
      <c r="C579" s="353">
        <v>22.5</v>
      </c>
      <c r="D579" s="353">
        <f t="shared" si="15"/>
        <v>4.95</v>
      </c>
      <c r="E579" s="353"/>
      <c r="F579" s="353">
        <f t="shared" si="14"/>
        <v>20.25</v>
      </c>
      <c r="G579" s="353"/>
      <c r="H579" s="353"/>
      <c r="I579" s="354"/>
      <c r="J579" s="353"/>
    </row>
    <row r="580" spans="1:10">
      <c r="A580" s="375" t="s">
        <v>337</v>
      </c>
      <c r="B580" s="375">
        <v>30</v>
      </c>
      <c r="C580" s="353">
        <v>17.100000000000001</v>
      </c>
      <c r="D580" s="353">
        <f t="shared" si="15"/>
        <v>3.7620000000000005</v>
      </c>
      <c r="E580" s="353"/>
      <c r="F580" s="353">
        <f t="shared" si="14"/>
        <v>15.390000000000002</v>
      </c>
      <c r="G580" s="353"/>
      <c r="H580" s="353"/>
      <c r="I580" s="354"/>
      <c r="J580" s="353"/>
    </row>
    <row r="581" spans="1:10">
      <c r="A581" s="350" t="s">
        <v>385</v>
      </c>
      <c r="B581" s="351">
        <v>15</v>
      </c>
      <c r="C581" s="352">
        <v>8.1</v>
      </c>
      <c r="D581" s="353">
        <f t="shared" si="15"/>
        <v>1.782</v>
      </c>
      <c r="E581" s="353"/>
      <c r="F581" s="353">
        <f t="shared" si="14"/>
        <v>7.29</v>
      </c>
      <c r="G581" s="353">
        <f>C581+D581+E581+F581</f>
        <v>17.172000000000001</v>
      </c>
      <c r="H581" s="353">
        <f>G581*0.35</f>
        <v>6.0102000000000002</v>
      </c>
      <c r="I581" s="354">
        <f>G581+H581</f>
        <v>23.182200000000002</v>
      </c>
      <c r="J581" s="353"/>
    </row>
    <row r="582" spans="1:10">
      <c r="A582" s="350"/>
      <c r="B582" s="351"/>
      <c r="C582" s="352"/>
      <c r="D582" s="353"/>
      <c r="E582" s="353"/>
      <c r="F582" s="353"/>
      <c r="G582" s="353"/>
      <c r="H582" s="353"/>
      <c r="I582" s="354"/>
      <c r="J582" s="353"/>
    </row>
    <row r="583" spans="1:10" ht="21">
      <c r="A583" s="345" t="s">
        <v>1230</v>
      </c>
      <c r="B583" s="346"/>
      <c r="C583" s="347">
        <f>C584+C585</f>
        <v>39.6</v>
      </c>
      <c r="D583" s="347">
        <f t="shared" ref="D583:D586" si="16">C583*0.22</f>
        <v>8.7119999999999997</v>
      </c>
      <c r="E583" s="347">
        <v>0.21</v>
      </c>
      <c r="F583" s="347">
        <f t="shared" ref="F583:F586" si="17">C583*0.9</f>
        <v>35.64</v>
      </c>
      <c r="G583" s="347">
        <f>C583+D583+E583+F583</f>
        <v>84.162000000000006</v>
      </c>
      <c r="H583" s="347">
        <f>G583*0.35</f>
        <v>29.456700000000001</v>
      </c>
      <c r="I583" s="348">
        <f>G583+H583</f>
        <v>113.6187</v>
      </c>
      <c r="J583" s="349">
        <f>I583+I586+I597</f>
        <v>136.80090000000001</v>
      </c>
    </row>
    <row r="584" spans="1:10">
      <c r="A584" s="375" t="s">
        <v>258</v>
      </c>
      <c r="B584" s="375">
        <v>30</v>
      </c>
      <c r="C584" s="353">
        <v>22.5</v>
      </c>
      <c r="D584" s="353">
        <f t="shared" si="16"/>
        <v>4.95</v>
      </c>
      <c r="E584" s="353"/>
      <c r="F584" s="353">
        <f t="shared" si="17"/>
        <v>20.25</v>
      </c>
      <c r="G584" s="353"/>
      <c r="H584" s="353"/>
      <c r="I584" s="354"/>
      <c r="J584" s="353"/>
    </row>
    <row r="585" spans="1:10">
      <c r="A585" s="375" t="s">
        <v>337</v>
      </c>
      <c r="B585" s="375">
        <v>30</v>
      </c>
      <c r="C585" s="353">
        <v>17.100000000000001</v>
      </c>
      <c r="D585" s="353">
        <f t="shared" si="16"/>
        <v>3.7620000000000005</v>
      </c>
      <c r="E585" s="353"/>
      <c r="F585" s="353">
        <f t="shared" si="17"/>
        <v>15.390000000000002</v>
      </c>
      <c r="G585" s="353"/>
      <c r="H585" s="353"/>
      <c r="I585" s="354"/>
      <c r="J585" s="353"/>
    </row>
    <row r="586" spans="1:10">
      <c r="A586" s="350" t="s">
        <v>385</v>
      </c>
      <c r="B586" s="351">
        <v>15</v>
      </c>
      <c r="C586" s="352">
        <v>8.1</v>
      </c>
      <c r="D586" s="353">
        <f t="shared" si="16"/>
        <v>1.782</v>
      </c>
      <c r="E586" s="353"/>
      <c r="F586" s="353">
        <f t="shared" si="17"/>
        <v>7.29</v>
      </c>
      <c r="G586" s="353">
        <f>C586+D586+E586+F586</f>
        <v>17.172000000000001</v>
      </c>
      <c r="H586" s="353">
        <f>G586*0.35</f>
        <v>6.0102000000000002</v>
      </c>
      <c r="I586" s="354">
        <f>G586+H586</f>
        <v>23.182200000000002</v>
      </c>
      <c r="J586" s="353"/>
    </row>
    <row r="587" spans="1:10">
      <c r="A587" s="350"/>
      <c r="B587" s="351"/>
      <c r="C587" s="352"/>
      <c r="D587" s="353"/>
      <c r="E587" s="353"/>
      <c r="F587" s="353"/>
      <c r="G587" s="353"/>
      <c r="H587" s="353"/>
      <c r="I587" s="354"/>
      <c r="J587" s="353"/>
    </row>
    <row r="588" spans="1:10">
      <c r="A588" s="345" t="s">
        <v>1231</v>
      </c>
      <c r="B588" s="346"/>
      <c r="C588" s="347">
        <f>C589+C590</f>
        <v>39.6</v>
      </c>
      <c r="D588" s="347">
        <f t="shared" ref="D588:D591" si="18">C588*0.22</f>
        <v>8.7119999999999997</v>
      </c>
      <c r="E588" s="347">
        <v>0.21</v>
      </c>
      <c r="F588" s="347">
        <f t="shared" ref="F588:F591" si="19">C588*0.9</f>
        <v>35.64</v>
      </c>
      <c r="G588" s="347">
        <f>C588+D588+E588+F588</f>
        <v>84.162000000000006</v>
      </c>
      <c r="H588" s="347">
        <f>G588*0.35</f>
        <v>29.456700000000001</v>
      </c>
      <c r="I588" s="348">
        <f>G588+H588</f>
        <v>113.6187</v>
      </c>
      <c r="J588" s="349">
        <f>I588+I591+I602</f>
        <v>136.80090000000001</v>
      </c>
    </row>
    <row r="589" spans="1:10">
      <c r="A589" s="375" t="s">
        <v>258</v>
      </c>
      <c r="B589" s="375">
        <v>30</v>
      </c>
      <c r="C589" s="353">
        <v>22.5</v>
      </c>
      <c r="D589" s="353">
        <f t="shared" si="18"/>
        <v>4.95</v>
      </c>
      <c r="E589" s="353"/>
      <c r="F589" s="353">
        <f t="shared" si="19"/>
        <v>20.25</v>
      </c>
      <c r="G589" s="353"/>
      <c r="H589" s="353"/>
      <c r="I589" s="354"/>
      <c r="J589" s="353"/>
    </row>
    <row r="590" spans="1:10">
      <c r="A590" s="375" t="s">
        <v>337</v>
      </c>
      <c r="B590" s="375">
        <v>30</v>
      </c>
      <c r="C590" s="353">
        <v>17.100000000000001</v>
      </c>
      <c r="D590" s="353">
        <f t="shared" si="18"/>
        <v>3.7620000000000005</v>
      </c>
      <c r="E590" s="353"/>
      <c r="F590" s="353">
        <f t="shared" si="19"/>
        <v>15.390000000000002</v>
      </c>
      <c r="G590" s="353"/>
      <c r="H590" s="353"/>
      <c r="I590" s="354"/>
      <c r="J590" s="353"/>
    </row>
    <row r="591" spans="1:10">
      <c r="A591" s="350" t="s">
        <v>385</v>
      </c>
      <c r="B591" s="351">
        <v>15</v>
      </c>
      <c r="C591" s="352">
        <v>8.1</v>
      </c>
      <c r="D591" s="353">
        <f t="shared" si="18"/>
        <v>1.782</v>
      </c>
      <c r="E591" s="353"/>
      <c r="F591" s="353">
        <f t="shared" si="19"/>
        <v>7.29</v>
      </c>
      <c r="G591" s="353">
        <f>C591+D591+E591+F591</f>
        <v>17.172000000000001</v>
      </c>
      <c r="H591" s="353">
        <f>G591*0.35</f>
        <v>6.0102000000000002</v>
      </c>
      <c r="I591" s="354">
        <f>G591+H591</f>
        <v>23.182200000000002</v>
      </c>
      <c r="J591" s="353"/>
    </row>
    <row r="592" spans="1:10">
      <c r="A592" s="350"/>
      <c r="B592" s="351"/>
      <c r="C592" s="352"/>
      <c r="D592" s="353"/>
      <c r="E592" s="353"/>
      <c r="F592" s="353"/>
      <c r="G592" s="353"/>
      <c r="H592" s="353"/>
      <c r="I592" s="354"/>
      <c r="J592" s="353"/>
    </row>
    <row r="593" spans="1:10">
      <c r="A593" s="345" t="s">
        <v>1232</v>
      </c>
      <c r="B593" s="346"/>
      <c r="C593" s="347">
        <f>C594+C595</f>
        <v>6.6</v>
      </c>
      <c r="D593" s="347">
        <f t="shared" si="15"/>
        <v>1.452</v>
      </c>
      <c r="E593" s="347">
        <v>0.21</v>
      </c>
      <c r="F593" s="347">
        <f t="shared" si="14"/>
        <v>5.9399999999999995</v>
      </c>
      <c r="G593" s="347">
        <f>C593+D593+E593+F593</f>
        <v>14.202</v>
      </c>
      <c r="H593" s="347">
        <f>G593*0.35</f>
        <v>4.9706999999999999</v>
      </c>
      <c r="I593" s="348">
        <f>G593+H593</f>
        <v>19.172699999999999</v>
      </c>
      <c r="J593" s="349">
        <f>I593+I596+I597</f>
        <v>22.263659999999998</v>
      </c>
    </row>
    <row r="594" spans="1:10">
      <c r="A594" s="375" t="s">
        <v>258</v>
      </c>
      <c r="B594" s="375">
        <v>5</v>
      </c>
      <c r="C594" s="353">
        <v>3.75</v>
      </c>
      <c r="D594" s="353">
        <f t="shared" si="15"/>
        <v>0.82499999999999996</v>
      </c>
      <c r="E594" s="353"/>
      <c r="F594" s="353">
        <f t="shared" si="14"/>
        <v>3.375</v>
      </c>
      <c r="G594" s="353"/>
      <c r="H594" s="353"/>
      <c r="I594" s="354"/>
      <c r="J594" s="353"/>
    </row>
    <row r="595" spans="1:10">
      <c r="A595" s="375" t="s">
        <v>337</v>
      </c>
      <c r="B595" s="375">
        <v>5</v>
      </c>
      <c r="C595" s="353">
        <v>2.85</v>
      </c>
      <c r="D595" s="353">
        <f t="shared" si="15"/>
        <v>0.627</v>
      </c>
      <c r="E595" s="353"/>
      <c r="F595" s="353">
        <f t="shared" si="14"/>
        <v>2.5649999999999999</v>
      </c>
      <c r="G595" s="353"/>
      <c r="H595" s="353"/>
      <c r="I595" s="354"/>
      <c r="J595" s="353"/>
    </row>
    <row r="596" spans="1:10">
      <c r="A596" s="350" t="s">
        <v>385</v>
      </c>
      <c r="B596" s="351">
        <v>2</v>
      </c>
      <c r="C596" s="352">
        <v>1.08</v>
      </c>
      <c r="D596" s="353">
        <f t="shared" si="15"/>
        <v>0.23760000000000001</v>
      </c>
      <c r="E596" s="353"/>
      <c r="F596" s="353">
        <f t="shared" si="14"/>
        <v>0.97200000000000009</v>
      </c>
      <c r="G596" s="353">
        <f>C596+D596+E596+F596</f>
        <v>2.2896000000000001</v>
      </c>
      <c r="H596" s="353">
        <f>G596*0.35</f>
        <v>0.80135999999999996</v>
      </c>
      <c r="I596" s="354">
        <f>G596+H596</f>
        <v>3.0909599999999999</v>
      </c>
      <c r="J596" s="353"/>
    </row>
    <row r="597" spans="1:10">
      <c r="A597" s="350"/>
      <c r="B597" s="351"/>
      <c r="C597" s="352"/>
      <c r="D597" s="353"/>
      <c r="E597" s="353"/>
      <c r="F597" s="353"/>
      <c r="G597" s="353"/>
      <c r="H597" s="353"/>
      <c r="I597" s="354"/>
      <c r="J597" s="353"/>
    </row>
    <row r="598" spans="1:10">
      <c r="A598" s="345" t="s">
        <v>1233</v>
      </c>
      <c r="B598" s="346"/>
      <c r="C598" s="347">
        <f>C599+C600</f>
        <v>39.6</v>
      </c>
      <c r="D598" s="347">
        <f t="shared" si="15"/>
        <v>8.7119999999999997</v>
      </c>
      <c r="E598" s="347">
        <v>4.84</v>
      </c>
      <c r="F598" s="347">
        <f t="shared" ref="F598:F601" si="20">C598*0.9</f>
        <v>35.64</v>
      </c>
      <c r="G598" s="347">
        <f>C598+D598+E598+F598</f>
        <v>88.792000000000002</v>
      </c>
      <c r="H598" s="347">
        <f>G598*0.35</f>
        <v>31.077199999999998</v>
      </c>
      <c r="I598" s="348">
        <f>G598+H598</f>
        <v>119.86920000000001</v>
      </c>
      <c r="J598" s="349">
        <f>I598+I601+I602</f>
        <v>143.0514</v>
      </c>
    </row>
    <row r="599" spans="1:10">
      <c r="A599" s="375" t="s">
        <v>258</v>
      </c>
      <c r="B599" s="375">
        <v>30</v>
      </c>
      <c r="C599" s="353">
        <v>22.5</v>
      </c>
      <c r="D599" s="353">
        <f t="shared" si="15"/>
        <v>4.95</v>
      </c>
      <c r="E599" s="353"/>
      <c r="F599" s="353">
        <f t="shared" si="20"/>
        <v>20.25</v>
      </c>
      <c r="G599" s="353"/>
      <c r="H599" s="353"/>
      <c r="I599" s="354"/>
      <c r="J599" s="355"/>
    </row>
    <row r="600" spans="1:10">
      <c r="A600" s="375" t="s">
        <v>337</v>
      </c>
      <c r="B600" s="375">
        <v>30</v>
      </c>
      <c r="C600" s="353">
        <v>17.100000000000001</v>
      </c>
      <c r="D600" s="353">
        <f t="shared" si="15"/>
        <v>3.7620000000000005</v>
      </c>
      <c r="E600" s="353"/>
      <c r="F600" s="353">
        <f t="shared" si="20"/>
        <v>15.390000000000002</v>
      </c>
      <c r="G600" s="353"/>
      <c r="H600" s="353"/>
      <c r="I600" s="354"/>
      <c r="J600" s="355"/>
    </row>
    <row r="601" spans="1:10">
      <c r="A601" s="350" t="s">
        <v>385</v>
      </c>
      <c r="B601" s="351">
        <v>15</v>
      </c>
      <c r="C601" s="352">
        <v>8.1</v>
      </c>
      <c r="D601" s="353">
        <f t="shared" si="15"/>
        <v>1.782</v>
      </c>
      <c r="E601" s="353"/>
      <c r="F601" s="353">
        <f t="shared" si="20"/>
        <v>7.29</v>
      </c>
      <c r="G601" s="353">
        <f>C601+D601+E601+F601</f>
        <v>17.172000000000001</v>
      </c>
      <c r="H601" s="353">
        <f>G601*0.35</f>
        <v>6.0102000000000002</v>
      </c>
      <c r="I601" s="354">
        <f>G601+H601</f>
        <v>23.182200000000002</v>
      </c>
      <c r="J601" s="355"/>
    </row>
    <row r="602" spans="1:10">
      <c r="A602" s="350"/>
      <c r="B602" s="351"/>
      <c r="C602" s="352"/>
      <c r="D602" s="353"/>
      <c r="E602" s="353"/>
      <c r="F602" s="353"/>
      <c r="G602" s="353"/>
      <c r="H602" s="353"/>
      <c r="I602" s="354"/>
      <c r="J602" s="355"/>
    </row>
    <row r="603" spans="1:10">
      <c r="A603" s="345" t="s">
        <v>1234</v>
      </c>
      <c r="B603" s="359"/>
      <c r="C603" s="347">
        <v>2.85</v>
      </c>
      <c r="D603" s="347">
        <f t="shared" ref="D603" si="21">C603*0.22</f>
        <v>0.627</v>
      </c>
      <c r="E603" s="347">
        <v>0.21</v>
      </c>
      <c r="F603" s="347">
        <f t="shared" ref="F603" si="22">C603*0.9</f>
        <v>2.5649999999999999</v>
      </c>
      <c r="G603" s="347">
        <f>C603+D603+E603+F603</f>
        <v>6.2520000000000007</v>
      </c>
      <c r="H603" s="347">
        <f>G603*0.35</f>
        <v>2.1882000000000001</v>
      </c>
      <c r="I603" s="348">
        <f>G603+H603</f>
        <v>8.4402000000000008</v>
      </c>
      <c r="J603" s="349">
        <f>I603</f>
        <v>8.4402000000000008</v>
      </c>
    </row>
    <row r="604" spans="1:10">
      <c r="A604" s="350" t="s">
        <v>337</v>
      </c>
      <c r="B604" s="360">
        <v>5</v>
      </c>
      <c r="C604" s="352">
        <v>2.85</v>
      </c>
      <c r="D604" s="353"/>
      <c r="E604" s="353"/>
      <c r="F604" s="353"/>
      <c r="G604" s="353"/>
      <c r="H604" s="353"/>
      <c r="I604" s="354"/>
      <c r="J604" s="357"/>
    </row>
    <row r="605" spans="1:10">
      <c r="A605" s="345" t="s">
        <v>1235</v>
      </c>
      <c r="B605" s="359"/>
      <c r="C605" s="347">
        <v>2.85</v>
      </c>
      <c r="D605" s="347">
        <f>C605*0.22</f>
        <v>0.627</v>
      </c>
      <c r="E605" s="347">
        <v>0.21</v>
      </c>
      <c r="F605" s="347">
        <f>C605*0.9</f>
        <v>2.5649999999999999</v>
      </c>
      <c r="G605" s="347">
        <f>C605+D605+E605+F605</f>
        <v>6.2520000000000007</v>
      </c>
      <c r="H605" s="347">
        <f>G605*0.35</f>
        <v>2.1882000000000001</v>
      </c>
      <c r="I605" s="348">
        <f>G605+H605</f>
        <v>8.4402000000000008</v>
      </c>
      <c r="J605" s="349">
        <v>8.16</v>
      </c>
    </row>
    <row r="606" spans="1:10">
      <c r="A606" s="377" t="s">
        <v>337</v>
      </c>
      <c r="B606" s="360">
        <v>5</v>
      </c>
      <c r="C606" s="352">
        <v>2.85</v>
      </c>
      <c r="D606" s="353"/>
      <c r="E606" s="353"/>
      <c r="F606" s="353"/>
      <c r="G606" s="353"/>
      <c r="H606" s="353"/>
      <c r="I606" s="354"/>
      <c r="J606" s="381"/>
    </row>
    <row r="607" spans="1:10">
      <c r="A607" s="345" t="s">
        <v>1236</v>
      </c>
      <c r="B607" s="359"/>
      <c r="C607" s="347">
        <v>5.7</v>
      </c>
      <c r="D607" s="347">
        <f>C607*0.22</f>
        <v>1.254</v>
      </c>
      <c r="E607" s="347">
        <v>0.21</v>
      </c>
      <c r="F607" s="347">
        <f>C607*0.9</f>
        <v>5.13</v>
      </c>
      <c r="G607" s="347">
        <f>C607+D607+E607+F607</f>
        <v>12.294</v>
      </c>
      <c r="H607" s="347">
        <f>G607*0.35</f>
        <v>4.3029000000000002</v>
      </c>
      <c r="I607" s="348">
        <f>G607+H607</f>
        <v>16.596900000000002</v>
      </c>
      <c r="J607" s="349">
        <v>16.309999999999999</v>
      </c>
    </row>
    <row r="608" spans="1:10">
      <c r="A608" s="350" t="s">
        <v>337</v>
      </c>
      <c r="B608" s="360">
        <v>10</v>
      </c>
      <c r="C608" s="352">
        <v>5.7</v>
      </c>
      <c r="D608" s="353"/>
      <c r="E608" s="353"/>
      <c r="F608" s="353"/>
      <c r="G608" s="353"/>
      <c r="H608" s="353"/>
      <c r="I608" s="354"/>
      <c r="J608" s="353"/>
    </row>
    <row r="609" spans="1:10">
      <c r="A609" s="345" t="s">
        <v>1237</v>
      </c>
      <c r="B609" s="359"/>
      <c r="C609" s="347">
        <v>2.85</v>
      </c>
      <c r="D609" s="347">
        <f t="shared" ref="D609" si="23">C609*0.22</f>
        <v>0.627</v>
      </c>
      <c r="E609" s="347">
        <v>0.21</v>
      </c>
      <c r="F609" s="347">
        <f t="shared" ref="F609" si="24">C609*0.9</f>
        <v>2.5649999999999999</v>
      </c>
      <c r="G609" s="347">
        <f>C609+D609+E609+F609</f>
        <v>6.2520000000000007</v>
      </c>
      <c r="H609" s="347">
        <f>G609*0.35</f>
        <v>2.1882000000000001</v>
      </c>
      <c r="I609" s="348">
        <f>G609+H609</f>
        <v>8.4402000000000008</v>
      </c>
      <c r="J609" s="349">
        <f>I609</f>
        <v>8.4402000000000008</v>
      </c>
    </row>
    <row r="610" spans="1:10">
      <c r="A610" s="350" t="s">
        <v>337</v>
      </c>
      <c r="B610" s="360">
        <v>5</v>
      </c>
      <c r="C610" s="352">
        <v>2.85</v>
      </c>
      <c r="D610" s="353"/>
      <c r="E610" s="353"/>
      <c r="F610" s="353"/>
      <c r="G610" s="353"/>
      <c r="H610" s="353"/>
      <c r="I610" s="354"/>
      <c r="J610" s="389"/>
    </row>
    <row r="611" spans="1:10">
      <c r="A611" s="361"/>
      <c r="B611" s="390"/>
      <c r="C611" s="363"/>
      <c r="D611" s="364"/>
      <c r="E611" s="364"/>
      <c r="F611" s="364"/>
      <c r="G611" s="364"/>
      <c r="H611" s="364"/>
      <c r="I611" s="366"/>
      <c r="J611" s="367"/>
    </row>
    <row r="612" spans="1:10" ht="12.75">
      <c r="A612" s="368" t="s">
        <v>1238</v>
      </c>
      <c r="B612" s="369"/>
      <c r="C612" s="369"/>
      <c r="D612" s="369"/>
      <c r="E612" s="369"/>
      <c r="F612" s="369"/>
      <c r="G612" s="369"/>
      <c r="H612" s="369"/>
      <c r="I612" s="369"/>
      <c r="J612" s="370"/>
    </row>
    <row r="613" spans="1:10" ht="21">
      <c r="A613" s="345" t="s">
        <v>1239</v>
      </c>
      <c r="B613" s="346"/>
      <c r="C613" s="347">
        <f>C614+C615</f>
        <v>14.899999999999999</v>
      </c>
      <c r="D613" s="347">
        <f t="shared" ref="D613:D628" si="25">C613*0.22</f>
        <v>3.2779999999999996</v>
      </c>
      <c r="E613" s="347">
        <v>0.09</v>
      </c>
      <c r="F613" s="347">
        <f t="shared" ref="F613:F643" si="26">C613*0.9</f>
        <v>13.409999999999998</v>
      </c>
      <c r="G613" s="347">
        <f>C613+D613+E613+F613</f>
        <v>31.677999999999997</v>
      </c>
      <c r="H613" s="347">
        <f>G613*0.35</f>
        <v>11.087299999999999</v>
      </c>
      <c r="I613" s="348">
        <f>G613+H613</f>
        <v>42.765299999999996</v>
      </c>
      <c r="J613" s="349">
        <f>I613+I616+I617</f>
        <v>50.492699999999999</v>
      </c>
    </row>
    <row r="614" spans="1:10">
      <c r="A614" s="350" t="s">
        <v>258</v>
      </c>
      <c r="B614" s="350">
        <v>10</v>
      </c>
      <c r="C614" s="352">
        <v>9.1999999999999993</v>
      </c>
      <c r="D614" s="353"/>
      <c r="E614" s="352"/>
      <c r="F614" s="353"/>
      <c r="G614" s="353"/>
      <c r="H614" s="353"/>
      <c r="I614" s="354"/>
      <c r="J614" s="353"/>
    </row>
    <row r="615" spans="1:10">
      <c r="A615" s="350" t="s">
        <v>337</v>
      </c>
      <c r="B615" s="350">
        <v>10</v>
      </c>
      <c r="C615" s="352">
        <v>5.7</v>
      </c>
      <c r="D615" s="353"/>
      <c r="E615" s="352"/>
      <c r="F615" s="353"/>
      <c r="G615" s="353"/>
      <c r="H615" s="353"/>
      <c r="I615" s="354"/>
      <c r="J615" s="353"/>
    </row>
    <row r="616" spans="1:10">
      <c r="A616" s="350" t="s">
        <v>385</v>
      </c>
      <c r="B616" s="351">
        <v>5</v>
      </c>
      <c r="C616" s="352">
        <v>2.7</v>
      </c>
      <c r="D616" s="353">
        <f t="shared" si="25"/>
        <v>0.59400000000000008</v>
      </c>
      <c r="E616" s="353"/>
      <c r="F616" s="353">
        <f t="shared" si="26"/>
        <v>2.4300000000000002</v>
      </c>
      <c r="G616" s="353">
        <f>C616+D616+E616+F616</f>
        <v>5.7240000000000002</v>
      </c>
      <c r="H616" s="353">
        <f>G616*0.35</f>
        <v>2.0034000000000001</v>
      </c>
      <c r="I616" s="354">
        <f>G616+H616</f>
        <v>7.7274000000000003</v>
      </c>
      <c r="J616" s="353"/>
    </row>
    <row r="617" spans="1:10">
      <c r="A617" s="350"/>
      <c r="B617" s="351"/>
      <c r="C617" s="352"/>
      <c r="D617" s="353"/>
      <c r="E617" s="353"/>
      <c r="F617" s="353"/>
      <c r="G617" s="353"/>
      <c r="H617" s="353"/>
      <c r="I617" s="354"/>
      <c r="J617" s="353"/>
    </row>
    <row r="618" spans="1:10" ht="21">
      <c r="A618" s="345" t="s">
        <v>1240</v>
      </c>
      <c r="B618" s="346"/>
      <c r="C618" s="347">
        <f>C619+C620</f>
        <v>14.899999999999999</v>
      </c>
      <c r="D618" s="347">
        <f t="shared" si="25"/>
        <v>3.2779999999999996</v>
      </c>
      <c r="E618" s="347">
        <v>0.09</v>
      </c>
      <c r="F618" s="347">
        <f t="shared" si="26"/>
        <v>13.409999999999998</v>
      </c>
      <c r="G618" s="347">
        <f>C618+D618+E618+F618</f>
        <v>31.677999999999997</v>
      </c>
      <c r="H618" s="347">
        <f>G618*0.35</f>
        <v>11.087299999999999</v>
      </c>
      <c r="I618" s="348">
        <f>G618+H618</f>
        <v>42.765299999999996</v>
      </c>
      <c r="J618" s="349">
        <f>I618+I621+I622</f>
        <v>50.492699999999999</v>
      </c>
    </row>
    <row r="619" spans="1:10">
      <c r="A619" s="350" t="s">
        <v>258</v>
      </c>
      <c r="B619" s="350">
        <v>10</v>
      </c>
      <c r="C619" s="352">
        <v>9.1999999999999993</v>
      </c>
      <c r="D619" s="353"/>
      <c r="E619" s="352"/>
      <c r="F619" s="353"/>
      <c r="G619" s="353"/>
      <c r="H619" s="353"/>
      <c r="I619" s="354"/>
      <c r="J619" s="353"/>
    </row>
    <row r="620" spans="1:10">
      <c r="A620" s="350" t="s">
        <v>337</v>
      </c>
      <c r="B620" s="350">
        <v>10</v>
      </c>
      <c r="C620" s="352">
        <v>5.7</v>
      </c>
      <c r="D620" s="353"/>
      <c r="E620" s="352"/>
      <c r="F620" s="353"/>
      <c r="G620" s="353"/>
      <c r="H620" s="353"/>
      <c r="I620" s="354"/>
      <c r="J620" s="353"/>
    </row>
    <row r="621" spans="1:10">
      <c r="A621" s="350" t="s">
        <v>385</v>
      </c>
      <c r="B621" s="351">
        <v>5</v>
      </c>
      <c r="C621" s="352">
        <v>2.7</v>
      </c>
      <c r="D621" s="353">
        <f t="shared" si="25"/>
        <v>0.59400000000000008</v>
      </c>
      <c r="E621" s="353"/>
      <c r="F621" s="353">
        <f t="shared" si="26"/>
        <v>2.4300000000000002</v>
      </c>
      <c r="G621" s="353">
        <f>C621+D621+E621+F621</f>
        <v>5.7240000000000002</v>
      </c>
      <c r="H621" s="353">
        <f>G621*0.35</f>
        <v>2.0034000000000001</v>
      </c>
      <c r="I621" s="354">
        <f>G621+H621</f>
        <v>7.7274000000000003</v>
      </c>
      <c r="J621" s="353"/>
    </row>
    <row r="622" spans="1:10">
      <c r="A622" s="350"/>
      <c r="B622" s="351"/>
      <c r="C622" s="352"/>
      <c r="D622" s="353"/>
      <c r="E622" s="353"/>
      <c r="F622" s="353"/>
      <c r="G622" s="353"/>
      <c r="H622" s="353"/>
      <c r="I622" s="354"/>
      <c r="J622" s="353"/>
    </row>
    <row r="623" spans="1:10" ht="21">
      <c r="A623" s="345" t="s">
        <v>1241</v>
      </c>
      <c r="B623" s="346"/>
      <c r="C623" s="347">
        <f>C624+C625</f>
        <v>14.899999999999999</v>
      </c>
      <c r="D623" s="347">
        <f t="shared" si="25"/>
        <v>3.2779999999999996</v>
      </c>
      <c r="E623" s="347">
        <v>0.09</v>
      </c>
      <c r="F623" s="347">
        <f t="shared" si="26"/>
        <v>13.409999999999998</v>
      </c>
      <c r="G623" s="347">
        <f>C623+D623+E623+F623</f>
        <v>31.677999999999997</v>
      </c>
      <c r="H623" s="347">
        <f>G623*0.35</f>
        <v>11.087299999999999</v>
      </c>
      <c r="I623" s="348">
        <f>G623+H623</f>
        <v>42.765299999999996</v>
      </c>
      <c r="J623" s="349">
        <f>I623+I626+I627</f>
        <v>50.492699999999999</v>
      </c>
    </row>
    <row r="624" spans="1:10">
      <c r="A624" s="350" t="s">
        <v>258</v>
      </c>
      <c r="B624" s="350">
        <v>10</v>
      </c>
      <c r="C624" s="352">
        <v>9.1999999999999993</v>
      </c>
      <c r="D624" s="353"/>
      <c r="E624" s="352"/>
      <c r="F624" s="353"/>
      <c r="G624" s="353"/>
      <c r="H624" s="353"/>
      <c r="I624" s="354"/>
      <c r="J624" s="353"/>
    </row>
    <row r="625" spans="1:10">
      <c r="A625" s="350" t="s">
        <v>337</v>
      </c>
      <c r="B625" s="350">
        <v>10</v>
      </c>
      <c r="C625" s="352">
        <v>5.7</v>
      </c>
      <c r="D625" s="353"/>
      <c r="E625" s="352"/>
      <c r="F625" s="353"/>
      <c r="G625" s="353"/>
      <c r="H625" s="353"/>
      <c r="I625" s="354"/>
      <c r="J625" s="353"/>
    </row>
    <row r="626" spans="1:10">
      <c r="A626" s="350" t="s">
        <v>385</v>
      </c>
      <c r="B626" s="351">
        <v>5</v>
      </c>
      <c r="C626" s="352">
        <v>2.7</v>
      </c>
      <c r="D626" s="353">
        <f t="shared" si="25"/>
        <v>0.59400000000000008</v>
      </c>
      <c r="E626" s="353"/>
      <c r="F626" s="353">
        <f t="shared" si="26"/>
        <v>2.4300000000000002</v>
      </c>
      <c r="G626" s="353">
        <f>C626+D626+E626+F626</f>
        <v>5.7240000000000002</v>
      </c>
      <c r="H626" s="353">
        <f>G626*0.35</f>
        <v>2.0034000000000001</v>
      </c>
      <c r="I626" s="354">
        <f>G626+H626</f>
        <v>7.7274000000000003</v>
      </c>
      <c r="J626" s="353"/>
    </row>
    <row r="627" spans="1:10">
      <c r="A627" s="350"/>
      <c r="B627" s="351"/>
      <c r="C627" s="352"/>
      <c r="D627" s="353"/>
      <c r="E627" s="353"/>
      <c r="F627" s="353"/>
      <c r="G627" s="353"/>
      <c r="H627" s="353"/>
      <c r="I627" s="354"/>
      <c r="J627" s="353"/>
    </row>
    <row r="628" spans="1:10">
      <c r="A628" s="345" t="s">
        <v>1242</v>
      </c>
      <c r="B628" s="346"/>
      <c r="C628" s="347">
        <f>C629+C630</f>
        <v>22.35</v>
      </c>
      <c r="D628" s="347">
        <f t="shared" si="25"/>
        <v>4.9170000000000007</v>
      </c>
      <c r="E628" s="347">
        <v>1.1100000000000001</v>
      </c>
      <c r="F628" s="347">
        <f t="shared" si="26"/>
        <v>20.115000000000002</v>
      </c>
      <c r="G628" s="347">
        <f>C628+D628+E628+F628</f>
        <v>48.492000000000004</v>
      </c>
      <c r="H628" s="347">
        <f>G628*0.35</f>
        <v>16.972200000000001</v>
      </c>
      <c r="I628" s="348">
        <f>G628+H628</f>
        <v>65.464200000000005</v>
      </c>
      <c r="J628" s="349">
        <f>I632+I631+I628</f>
        <v>77.055300000000003</v>
      </c>
    </row>
    <row r="629" spans="1:10">
      <c r="A629" s="350" t="s">
        <v>258</v>
      </c>
      <c r="B629" s="350">
        <v>15</v>
      </c>
      <c r="C629" s="352">
        <v>13.8</v>
      </c>
      <c r="D629" s="353"/>
      <c r="E629" s="353"/>
      <c r="F629" s="353"/>
      <c r="G629" s="353"/>
      <c r="H629" s="353"/>
      <c r="I629" s="354"/>
      <c r="J629" s="381"/>
    </row>
    <row r="630" spans="1:10">
      <c r="A630" s="350" t="s">
        <v>337</v>
      </c>
      <c r="B630" s="350">
        <v>15</v>
      </c>
      <c r="C630" s="352">
        <v>8.5500000000000007</v>
      </c>
      <c r="D630" s="353"/>
      <c r="E630" s="352"/>
      <c r="F630" s="353"/>
      <c r="G630" s="353"/>
      <c r="H630" s="353"/>
      <c r="I630" s="354"/>
      <c r="J630" s="353"/>
    </row>
    <row r="631" spans="1:10">
      <c r="A631" s="350" t="s">
        <v>385</v>
      </c>
      <c r="B631" s="351">
        <v>7.5</v>
      </c>
      <c r="C631" s="352">
        <v>4.05</v>
      </c>
      <c r="D631" s="353">
        <f t="shared" ref="D631:D661" si="27">C631*0.22</f>
        <v>0.89100000000000001</v>
      </c>
      <c r="E631" s="353"/>
      <c r="F631" s="353">
        <f t="shared" si="26"/>
        <v>3.645</v>
      </c>
      <c r="G631" s="353">
        <f>C631+D631+E631+F631</f>
        <v>8.5860000000000003</v>
      </c>
      <c r="H631" s="353">
        <f>G631*0.35</f>
        <v>3.0051000000000001</v>
      </c>
      <c r="I631" s="354">
        <f>G631+H631</f>
        <v>11.591100000000001</v>
      </c>
      <c r="J631" s="353"/>
    </row>
    <row r="632" spans="1:10">
      <c r="A632" s="350"/>
      <c r="B632" s="351"/>
      <c r="C632" s="352"/>
      <c r="D632" s="353"/>
      <c r="E632" s="353"/>
      <c r="F632" s="353"/>
      <c r="G632" s="353"/>
      <c r="H632" s="353"/>
      <c r="I632" s="354"/>
      <c r="J632" s="353"/>
    </row>
    <row r="633" spans="1:10">
      <c r="A633" s="345" t="s">
        <v>1243</v>
      </c>
      <c r="B633" s="346"/>
      <c r="C633" s="347">
        <f>C634+C635</f>
        <v>22.35</v>
      </c>
      <c r="D633" s="347">
        <f t="shared" si="27"/>
        <v>4.9170000000000007</v>
      </c>
      <c r="E633" s="347">
        <v>0.09</v>
      </c>
      <c r="F633" s="347">
        <f t="shared" si="26"/>
        <v>20.115000000000002</v>
      </c>
      <c r="G633" s="347">
        <f>C633+D633+E633+F633</f>
        <v>47.472000000000008</v>
      </c>
      <c r="H633" s="347">
        <f>G633*0.35</f>
        <v>16.615200000000002</v>
      </c>
      <c r="I633" s="348">
        <f>G633+H633</f>
        <v>64.08720000000001</v>
      </c>
      <c r="J633" s="349">
        <f>I633+I636+I637</f>
        <v>75.678300000000007</v>
      </c>
    </row>
    <row r="634" spans="1:10">
      <c r="A634" s="350" t="s">
        <v>258</v>
      </c>
      <c r="B634" s="350">
        <v>15</v>
      </c>
      <c r="C634" s="352">
        <v>13.8</v>
      </c>
      <c r="D634" s="353"/>
      <c r="E634" s="352"/>
      <c r="F634" s="353"/>
      <c r="G634" s="353"/>
      <c r="H634" s="353"/>
      <c r="I634" s="354"/>
      <c r="J634" s="353"/>
    </row>
    <row r="635" spans="1:10">
      <c r="A635" s="350" t="s">
        <v>337</v>
      </c>
      <c r="B635" s="350">
        <v>15</v>
      </c>
      <c r="C635" s="352">
        <v>8.5500000000000007</v>
      </c>
      <c r="D635" s="353"/>
      <c r="E635" s="352"/>
      <c r="F635" s="353"/>
      <c r="G635" s="353"/>
      <c r="H635" s="353"/>
      <c r="I635" s="354"/>
      <c r="J635" s="353"/>
    </row>
    <row r="636" spans="1:10">
      <c r="A636" s="350" t="s">
        <v>385</v>
      </c>
      <c r="B636" s="351">
        <v>7.5</v>
      </c>
      <c r="C636" s="352">
        <v>4.05</v>
      </c>
      <c r="D636" s="353">
        <f t="shared" si="27"/>
        <v>0.89100000000000001</v>
      </c>
      <c r="E636" s="353"/>
      <c r="F636" s="353">
        <f t="shared" si="26"/>
        <v>3.645</v>
      </c>
      <c r="G636" s="353">
        <f>C636+D636+E636+F636</f>
        <v>8.5860000000000003</v>
      </c>
      <c r="H636" s="353">
        <f>G636*0.35</f>
        <v>3.0051000000000001</v>
      </c>
      <c r="I636" s="354">
        <f>G636+H636</f>
        <v>11.591100000000001</v>
      </c>
      <c r="J636" s="353"/>
    </row>
    <row r="637" spans="1:10">
      <c r="A637" s="350"/>
      <c r="B637" s="351"/>
      <c r="C637" s="352"/>
      <c r="D637" s="353"/>
      <c r="E637" s="353"/>
      <c r="F637" s="353"/>
      <c r="G637" s="353"/>
      <c r="H637" s="353"/>
      <c r="I637" s="354"/>
      <c r="J637" s="353"/>
    </row>
    <row r="638" spans="1:10">
      <c r="A638" s="345" t="s">
        <v>1244</v>
      </c>
      <c r="B638" s="346"/>
      <c r="C638" s="347">
        <f>C639+C640</f>
        <v>22.35</v>
      </c>
      <c r="D638" s="347">
        <f t="shared" si="27"/>
        <v>4.9170000000000007</v>
      </c>
      <c r="E638" s="347">
        <v>1.1100000000000001</v>
      </c>
      <c r="F638" s="347">
        <f t="shared" si="26"/>
        <v>20.115000000000002</v>
      </c>
      <c r="G638" s="347">
        <f>C638+D638+E638+F638</f>
        <v>48.492000000000004</v>
      </c>
      <c r="H638" s="347">
        <f>G638*0.35</f>
        <v>16.972200000000001</v>
      </c>
      <c r="I638" s="348">
        <f>G638+H638</f>
        <v>65.464200000000005</v>
      </c>
      <c r="J638" s="349">
        <f>I638+I641+I642</f>
        <v>77.055300000000003</v>
      </c>
    </row>
    <row r="639" spans="1:10">
      <c r="A639" s="350" t="s">
        <v>258</v>
      </c>
      <c r="B639" s="350">
        <v>15</v>
      </c>
      <c r="C639" s="352">
        <v>13.8</v>
      </c>
      <c r="D639" s="353"/>
      <c r="E639" s="352"/>
      <c r="F639" s="353"/>
      <c r="G639" s="353"/>
      <c r="H639" s="353"/>
      <c r="I639" s="354"/>
      <c r="J639" s="353"/>
    </row>
    <row r="640" spans="1:10">
      <c r="A640" s="350" t="s">
        <v>337</v>
      </c>
      <c r="B640" s="350">
        <v>15</v>
      </c>
      <c r="C640" s="352">
        <v>8.5500000000000007</v>
      </c>
      <c r="D640" s="353"/>
      <c r="E640" s="352"/>
      <c r="F640" s="353"/>
      <c r="G640" s="353"/>
      <c r="H640" s="353"/>
      <c r="I640" s="354"/>
      <c r="J640" s="353"/>
    </row>
    <row r="641" spans="1:10">
      <c r="A641" s="350" t="s">
        <v>385</v>
      </c>
      <c r="B641" s="351">
        <v>7.5</v>
      </c>
      <c r="C641" s="352">
        <v>4.05</v>
      </c>
      <c r="D641" s="353">
        <f t="shared" si="27"/>
        <v>0.89100000000000001</v>
      </c>
      <c r="E641" s="353"/>
      <c r="F641" s="353">
        <f t="shared" si="26"/>
        <v>3.645</v>
      </c>
      <c r="G641" s="353">
        <f>C641+D641+E641+F641</f>
        <v>8.5860000000000003</v>
      </c>
      <c r="H641" s="353">
        <f>G641*0.35</f>
        <v>3.0051000000000001</v>
      </c>
      <c r="I641" s="354">
        <f>G641+H641</f>
        <v>11.591100000000001</v>
      </c>
      <c r="J641" s="353"/>
    </row>
    <row r="642" spans="1:10">
      <c r="A642" s="350"/>
      <c r="B642" s="351"/>
      <c r="C642" s="352"/>
      <c r="D642" s="353"/>
      <c r="E642" s="353"/>
      <c r="F642" s="353"/>
      <c r="G642" s="353"/>
      <c r="H642" s="353"/>
      <c r="I642" s="354"/>
      <c r="J642" s="353"/>
    </row>
    <row r="643" spans="1:10">
      <c r="A643" s="345" t="s">
        <v>1245</v>
      </c>
      <c r="B643" s="346"/>
      <c r="C643" s="347">
        <f>C644+C645</f>
        <v>22.35</v>
      </c>
      <c r="D643" s="347">
        <f t="shared" si="27"/>
        <v>4.9170000000000007</v>
      </c>
      <c r="E643" s="347">
        <v>0.09</v>
      </c>
      <c r="F643" s="347">
        <f t="shared" si="26"/>
        <v>20.115000000000002</v>
      </c>
      <c r="G643" s="347">
        <f>C643+D643+E643+F643</f>
        <v>47.472000000000008</v>
      </c>
      <c r="H643" s="347">
        <f>G643*0.35</f>
        <v>16.615200000000002</v>
      </c>
      <c r="I643" s="348">
        <f>G643+H643</f>
        <v>64.08720000000001</v>
      </c>
      <c r="J643" s="349">
        <f>I643+I646+I647</f>
        <v>75.678300000000007</v>
      </c>
    </row>
    <row r="644" spans="1:10">
      <c r="A644" s="350" t="s">
        <v>258</v>
      </c>
      <c r="B644" s="350">
        <v>15</v>
      </c>
      <c r="C644" s="352">
        <v>13.8</v>
      </c>
      <c r="D644" s="353"/>
      <c r="E644" s="353"/>
      <c r="F644" s="353"/>
      <c r="G644" s="353"/>
      <c r="H644" s="353"/>
      <c r="I644" s="354"/>
      <c r="J644" s="355"/>
    </row>
    <row r="645" spans="1:10">
      <c r="A645" s="350" t="s">
        <v>337</v>
      </c>
      <c r="B645" s="350">
        <v>15</v>
      </c>
      <c r="C645" s="352">
        <v>8.5500000000000007</v>
      </c>
      <c r="D645" s="353"/>
      <c r="E645" s="353"/>
      <c r="F645" s="353"/>
      <c r="G645" s="353"/>
      <c r="H645" s="353"/>
      <c r="I645" s="354"/>
      <c r="J645" s="355"/>
    </row>
    <row r="646" spans="1:10">
      <c r="A646" s="350" t="s">
        <v>385</v>
      </c>
      <c r="B646" s="351">
        <v>7.5</v>
      </c>
      <c r="C646" s="352">
        <v>4.05</v>
      </c>
      <c r="D646" s="353">
        <f t="shared" si="27"/>
        <v>0.89100000000000001</v>
      </c>
      <c r="E646" s="353"/>
      <c r="F646" s="353">
        <f t="shared" ref="F646:F676" si="28">C646*0.9</f>
        <v>3.645</v>
      </c>
      <c r="G646" s="353">
        <f t="shared" ref="G646:G658" si="29">C646+D646+E646+F646</f>
        <v>8.5860000000000003</v>
      </c>
      <c r="H646" s="353">
        <f t="shared" ref="H646:H658" si="30">G646*0.35</f>
        <v>3.0051000000000001</v>
      </c>
      <c r="I646" s="354">
        <f t="shared" ref="I646:I658" si="31">G646+H646</f>
        <v>11.591100000000001</v>
      </c>
      <c r="J646" s="355"/>
    </row>
    <row r="647" spans="1:10">
      <c r="A647" s="350"/>
      <c r="B647" s="351"/>
      <c r="C647" s="352"/>
      <c r="D647" s="353"/>
      <c r="E647" s="353"/>
      <c r="F647" s="353"/>
      <c r="G647" s="353"/>
      <c r="H647" s="353"/>
      <c r="I647" s="354"/>
      <c r="J647" s="355"/>
    </row>
    <row r="648" spans="1:10">
      <c r="A648" s="345" t="s">
        <v>1246</v>
      </c>
      <c r="B648" s="346"/>
      <c r="C648" s="347">
        <f>C649+C650</f>
        <v>29.799999999999997</v>
      </c>
      <c r="D648" s="347">
        <f t="shared" si="27"/>
        <v>6.5559999999999992</v>
      </c>
      <c r="E648" s="347">
        <v>0.09</v>
      </c>
      <c r="F648" s="347">
        <f t="shared" si="28"/>
        <v>26.819999999999997</v>
      </c>
      <c r="G648" s="347">
        <f t="shared" si="29"/>
        <v>63.265999999999991</v>
      </c>
      <c r="H648" s="347">
        <f t="shared" si="30"/>
        <v>22.143099999999997</v>
      </c>
      <c r="I648" s="348">
        <f t="shared" si="31"/>
        <v>85.409099999999995</v>
      </c>
      <c r="J648" s="349">
        <f>I648+I651+I652</f>
        <v>100.8639</v>
      </c>
    </row>
    <row r="649" spans="1:10">
      <c r="A649" s="350" t="s">
        <v>258</v>
      </c>
      <c r="B649" s="350">
        <v>20</v>
      </c>
      <c r="C649" s="352">
        <v>18.399999999999999</v>
      </c>
      <c r="D649" s="353"/>
      <c r="E649" s="353"/>
      <c r="F649" s="353"/>
      <c r="G649" s="353"/>
      <c r="H649" s="353"/>
      <c r="I649" s="354"/>
      <c r="J649" s="353"/>
    </row>
    <row r="650" spans="1:10">
      <c r="A650" s="350" t="s">
        <v>337</v>
      </c>
      <c r="B650" s="350">
        <v>20</v>
      </c>
      <c r="C650" s="352">
        <v>11.4</v>
      </c>
      <c r="D650" s="353"/>
      <c r="E650" s="353"/>
      <c r="F650" s="353"/>
      <c r="G650" s="353"/>
      <c r="H650" s="353"/>
      <c r="I650" s="354"/>
      <c r="J650" s="353"/>
    </row>
    <row r="651" spans="1:10">
      <c r="A651" s="350" t="s">
        <v>385</v>
      </c>
      <c r="B651" s="351">
        <v>10</v>
      </c>
      <c r="C651" s="352">
        <v>5.4</v>
      </c>
      <c r="D651" s="353">
        <f t="shared" si="27"/>
        <v>1.1880000000000002</v>
      </c>
      <c r="E651" s="353"/>
      <c r="F651" s="353">
        <f t="shared" si="28"/>
        <v>4.8600000000000003</v>
      </c>
      <c r="G651" s="353">
        <f t="shared" si="29"/>
        <v>11.448</v>
      </c>
      <c r="H651" s="353">
        <f t="shared" si="30"/>
        <v>4.0068000000000001</v>
      </c>
      <c r="I651" s="354">
        <f t="shared" si="31"/>
        <v>15.454800000000001</v>
      </c>
      <c r="J651" s="353"/>
    </row>
    <row r="652" spans="1:10">
      <c r="A652" s="350"/>
      <c r="B652" s="351"/>
      <c r="C652" s="352"/>
      <c r="D652" s="353"/>
      <c r="E652" s="353"/>
      <c r="F652" s="353"/>
      <c r="G652" s="353"/>
      <c r="H652" s="353"/>
      <c r="I652" s="354"/>
      <c r="J652" s="353"/>
    </row>
    <row r="653" spans="1:10">
      <c r="A653" s="345" t="s">
        <v>1247</v>
      </c>
      <c r="B653" s="346"/>
      <c r="C653" s="347">
        <f>C654+C655</f>
        <v>10.43</v>
      </c>
      <c r="D653" s="347">
        <f t="shared" si="27"/>
        <v>2.2946</v>
      </c>
      <c r="E653" s="347">
        <v>0.09</v>
      </c>
      <c r="F653" s="347">
        <f t="shared" si="28"/>
        <v>9.3870000000000005</v>
      </c>
      <c r="G653" s="347">
        <f t="shared" si="29"/>
        <v>22.201599999999999</v>
      </c>
      <c r="H653" s="347">
        <f t="shared" si="30"/>
        <v>7.7705599999999988</v>
      </c>
      <c r="I653" s="348">
        <f t="shared" si="31"/>
        <v>29.972159999999999</v>
      </c>
      <c r="J653" s="349">
        <f>I653+I656+I657</f>
        <v>35.381340000000002</v>
      </c>
    </row>
    <row r="654" spans="1:10">
      <c r="A654" s="350" t="s">
        <v>258</v>
      </c>
      <c r="B654" s="350">
        <v>7</v>
      </c>
      <c r="C654" s="352">
        <v>6.44</v>
      </c>
      <c r="D654" s="353"/>
      <c r="E654" s="353"/>
      <c r="F654" s="353"/>
      <c r="G654" s="353"/>
      <c r="H654" s="353"/>
      <c r="I654" s="354"/>
      <c r="J654" s="353"/>
    </row>
    <row r="655" spans="1:10">
      <c r="A655" s="350" t="s">
        <v>337</v>
      </c>
      <c r="B655" s="350">
        <v>7</v>
      </c>
      <c r="C655" s="352">
        <v>3.99</v>
      </c>
      <c r="D655" s="353"/>
      <c r="E655" s="353"/>
      <c r="F655" s="353"/>
      <c r="G655" s="353"/>
      <c r="H655" s="353"/>
      <c r="I655" s="354"/>
      <c r="J655" s="353"/>
    </row>
    <row r="656" spans="1:10">
      <c r="A656" s="350" t="s">
        <v>385</v>
      </c>
      <c r="B656" s="351">
        <v>3.5</v>
      </c>
      <c r="C656" s="352">
        <v>1.89</v>
      </c>
      <c r="D656" s="353">
        <f t="shared" si="27"/>
        <v>0.4158</v>
      </c>
      <c r="E656" s="353"/>
      <c r="F656" s="353">
        <f t="shared" si="28"/>
        <v>1.7009999999999998</v>
      </c>
      <c r="G656" s="353">
        <f t="shared" si="29"/>
        <v>4.0068000000000001</v>
      </c>
      <c r="H656" s="353">
        <f t="shared" si="30"/>
        <v>1.40238</v>
      </c>
      <c r="I656" s="354">
        <f t="shared" si="31"/>
        <v>5.4091800000000001</v>
      </c>
      <c r="J656" s="353"/>
    </row>
    <row r="657" spans="1:10">
      <c r="A657" s="350"/>
      <c r="B657" s="351"/>
      <c r="C657" s="352"/>
      <c r="D657" s="353"/>
      <c r="E657" s="353"/>
      <c r="F657" s="353"/>
      <c r="G657" s="353"/>
      <c r="H657" s="353"/>
      <c r="I657" s="354"/>
      <c r="J657" s="353"/>
    </row>
    <row r="658" spans="1:10">
      <c r="A658" s="345" t="s">
        <v>1248</v>
      </c>
      <c r="B658" s="346"/>
      <c r="C658" s="347">
        <f>C659+C660</f>
        <v>22.35</v>
      </c>
      <c r="D658" s="347">
        <f t="shared" si="27"/>
        <v>4.9170000000000007</v>
      </c>
      <c r="E658" s="347">
        <v>0.09</v>
      </c>
      <c r="F658" s="347">
        <f t="shared" si="28"/>
        <v>20.115000000000002</v>
      </c>
      <c r="G658" s="347">
        <f t="shared" si="29"/>
        <v>47.472000000000008</v>
      </c>
      <c r="H658" s="347">
        <f t="shared" si="30"/>
        <v>16.615200000000002</v>
      </c>
      <c r="I658" s="348">
        <f t="shared" si="31"/>
        <v>64.08720000000001</v>
      </c>
      <c r="J658" s="349">
        <f>I658+I661+I662</f>
        <v>75.678300000000007</v>
      </c>
    </row>
    <row r="659" spans="1:10">
      <c r="A659" s="350" t="s">
        <v>258</v>
      </c>
      <c r="B659" s="350">
        <v>15</v>
      </c>
      <c r="C659" s="352">
        <v>13.8</v>
      </c>
      <c r="D659" s="353"/>
      <c r="E659" s="353"/>
      <c r="F659" s="353"/>
      <c r="G659" s="353"/>
      <c r="H659" s="353"/>
      <c r="I659" s="354"/>
      <c r="J659" s="353"/>
    </row>
    <row r="660" spans="1:10">
      <c r="A660" s="350" t="s">
        <v>337</v>
      </c>
      <c r="B660" s="350">
        <v>15</v>
      </c>
      <c r="C660" s="352">
        <v>8.5500000000000007</v>
      </c>
      <c r="D660" s="353"/>
      <c r="E660" s="353"/>
      <c r="F660" s="353"/>
      <c r="G660" s="353"/>
      <c r="H660" s="353"/>
      <c r="I660" s="354"/>
      <c r="J660" s="353"/>
    </row>
    <row r="661" spans="1:10">
      <c r="A661" s="350" t="s">
        <v>385</v>
      </c>
      <c r="B661" s="351">
        <v>7.5</v>
      </c>
      <c r="C661" s="352">
        <v>4.05</v>
      </c>
      <c r="D661" s="353">
        <f t="shared" si="27"/>
        <v>0.89100000000000001</v>
      </c>
      <c r="E661" s="353"/>
      <c r="F661" s="353">
        <f t="shared" si="28"/>
        <v>3.645</v>
      </c>
      <c r="G661" s="353">
        <f t="shared" ref="G661:G668" si="32">C661+D661+E661+F661</f>
        <v>8.5860000000000003</v>
      </c>
      <c r="H661" s="353">
        <f t="shared" ref="H661:H668" si="33">G661*0.35</f>
        <v>3.0051000000000001</v>
      </c>
      <c r="I661" s="354">
        <f t="shared" ref="I661:I668" si="34">G661+H661</f>
        <v>11.591100000000001</v>
      </c>
      <c r="J661" s="353"/>
    </row>
    <row r="662" spans="1:10">
      <c r="A662" s="350"/>
      <c r="B662" s="351"/>
      <c r="C662" s="352"/>
      <c r="D662" s="353"/>
      <c r="E662" s="353"/>
      <c r="F662" s="353"/>
      <c r="G662" s="353"/>
      <c r="H662" s="353"/>
      <c r="I662" s="354"/>
      <c r="J662" s="353"/>
    </row>
    <row r="663" spans="1:10" ht="21">
      <c r="A663" s="345" t="s">
        <v>1249</v>
      </c>
      <c r="B663" s="346"/>
      <c r="C663" s="347">
        <f>C664+C665</f>
        <v>14.899999999999999</v>
      </c>
      <c r="D663" s="347">
        <f t="shared" ref="D663:D693" si="35">C663*0.22</f>
        <v>3.2779999999999996</v>
      </c>
      <c r="E663" s="347">
        <v>0.09</v>
      </c>
      <c r="F663" s="347">
        <f t="shared" si="28"/>
        <v>13.409999999999998</v>
      </c>
      <c r="G663" s="347">
        <f t="shared" si="32"/>
        <v>31.677999999999997</v>
      </c>
      <c r="H663" s="347">
        <f t="shared" si="33"/>
        <v>11.087299999999999</v>
      </c>
      <c r="I663" s="348">
        <f t="shared" si="34"/>
        <v>42.765299999999996</v>
      </c>
      <c r="J663" s="349">
        <f>I663+I666+I667</f>
        <v>50.492699999999999</v>
      </c>
    </row>
    <row r="664" spans="1:10">
      <c r="A664" s="350" t="s">
        <v>258</v>
      </c>
      <c r="B664" s="350">
        <v>10</v>
      </c>
      <c r="C664" s="352">
        <v>9.1999999999999993</v>
      </c>
      <c r="D664" s="353"/>
      <c r="E664" s="353"/>
      <c r="F664" s="353"/>
      <c r="G664" s="353"/>
      <c r="H664" s="353"/>
      <c r="I664" s="354"/>
      <c r="J664" s="353"/>
    </row>
    <row r="665" spans="1:10">
      <c r="A665" s="350" t="s">
        <v>337</v>
      </c>
      <c r="B665" s="350">
        <v>10</v>
      </c>
      <c r="C665" s="352">
        <v>5.7</v>
      </c>
      <c r="D665" s="353"/>
      <c r="E665" s="353"/>
      <c r="F665" s="353"/>
      <c r="G665" s="353"/>
      <c r="H665" s="353"/>
      <c r="I665" s="354"/>
      <c r="J665" s="353"/>
    </row>
    <row r="666" spans="1:10">
      <c r="A666" s="350" t="s">
        <v>385</v>
      </c>
      <c r="B666" s="351">
        <v>5</v>
      </c>
      <c r="C666" s="352">
        <v>2.7</v>
      </c>
      <c r="D666" s="353">
        <f t="shared" si="35"/>
        <v>0.59400000000000008</v>
      </c>
      <c r="E666" s="353"/>
      <c r="F666" s="353">
        <f t="shared" si="28"/>
        <v>2.4300000000000002</v>
      </c>
      <c r="G666" s="353">
        <f t="shared" si="32"/>
        <v>5.7240000000000002</v>
      </c>
      <c r="H666" s="353">
        <f t="shared" si="33"/>
        <v>2.0034000000000001</v>
      </c>
      <c r="I666" s="354">
        <f t="shared" si="34"/>
        <v>7.7274000000000003</v>
      </c>
      <c r="J666" s="353"/>
    </row>
    <row r="667" spans="1:10">
      <c r="A667" s="350"/>
      <c r="B667" s="351"/>
      <c r="C667" s="352"/>
      <c r="D667" s="353"/>
      <c r="E667" s="353"/>
      <c r="F667" s="353"/>
      <c r="G667" s="353"/>
      <c r="H667" s="353"/>
      <c r="I667" s="354"/>
      <c r="J667" s="353"/>
    </row>
    <row r="668" spans="1:10">
      <c r="A668" s="345" t="s">
        <v>1250</v>
      </c>
      <c r="B668" s="346"/>
      <c r="C668" s="347">
        <f>C669+C670</f>
        <v>14.899999999999999</v>
      </c>
      <c r="D668" s="347">
        <f t="shared" si="35"/>
        <v>3.2779999999999996</v>
      </c>
      <c r="E668" s="347">
        <v>1.05</v>
      </c>
      <c r="F668" s="347">
        <f t="shared" si="28"/>
        <v>13.409999999999998</v>
      </c>
      <c r="G668" s="347">
        <f t="shared" si="32"/>
        <v>32.637999999999998</v>
      </c>
      <c r="H668" s="347">
        <f t="shared" si="33"/>
        <v>11.423299999999999</v>
      </c>
      <c r="I668" s="348">
        <f t="shared" si="34"/>
        <v>44.061299999999996</v>
      </c>
      <c r="J668" s="349">
        <f>I668+I672+I671</f>
        <v>51.788699999999999</v>
      </c>
    </row>
    <row r="669" spans="1:10">
      <c r="A669" s="350" t="s">
        <v>258</v>
      </c>
      <c r="B669" s="350">
        <v>10</v>
      </c>
      <c r="C669" s="352">
        <v>9.1999999999999993</v>
      </c>
      <c r="D669" s="353"/>
      <c r="E669" s="353"/>
      <c r="F669" s="353"/>
      <c r="G669" s="353"/>
      <c r="H669" s="353"/>
      <c r="I669" s="354"/>
      <c r="J669" s="353"/>
    </row>
    <row r="670" spans="1:10">
      <c r="A670" s="350" t="s">
        <v>337</v>
      </c>
      <c r="B670" s="350">
        <v>10</v>
      </c>
      <c r="C670" s="352">
        <v>5.7</v>
      </c>
      <c r="D670" s="353"/>
      <c r="E670" s="353"/>
      <c r="F670" s="353"/>
      <c r="G670" s="353"/>
      <c r="H670" s="353"/>
      <c r="I670" s="354"/>
      <c r="J670" s="353"/>
    </row>
    <row r="671" spans="1:10">
      <c r="A671" s="350" t="s">
        <v>385</v>
      </c>
      <c r="B671" s="351">
        <v>5</v>
      </c>
      <c r="C671" s="352">
        <v>2.7</v>
      </c>
      <c r="D671" s="353">
        <f t="shared" si="35"/>
        <v>0.59400000000000008</v>
      </c>
      <c r="E671" s="353"/>
      <c r="F671" s="353">
        <f t="shared" si="28"/>
        <v>2.4300000000000002</v>
      </c>
      <c r="G671" s="353">
        <f>C671+D671+E671+F671</f>
        <v>5.7240000000000002</v>
      </c>
      <c r="H671" s="353">
        <f>G671*0.35</f>
        <v>2.0034000000000001</v>
      </c>
      <c r="I671" s="354">
        <f>G671+H671</f>
        <v>7.7274000000000003</v>
      </c>
      <c r="J671" s="353"/>
    </row>
    <row r="672" spans="1:10">
      <c r="A672" s="350"/>
      <c r="B672" s="351"/>
      <c r="C672" s="352"/>
      <c r="D672" s="353"/>
      <c r="E672" s="353"/>
      <c r="F672" s="353"/>
      <c r="G672" s="353"/>
      <c r="H672" s="353"/>
      <c r="I672" s="354"/>
      <c r="J672" s="353"/>
    </row>
    <row r="673" spans="1:10" ht="21">
      <c r="A673" s="345" t="s">
        <v>1251</v>
      </c>
      <c r="B673" s="346"/>
      <c r="C673" s="347">
        <f>C674+C675</f>
        <v>22.35</v>
      </c>
      <c r="D673" s="347">
        <f t="shared" si="35"/>
        <v>4.9170000000000007</v>
      </c>
      <c r="E673" s="347">
        <v>11.62</v>
      </c>
      <c r="F673" s="347">
        <f t="shared" si="28"/>
        <v>20.115000000000002</v>
      </c>
      <c r="G673" s="347">
        <f>C673+D673+E673+F673</f>
        <v>59.002000000000002</v>
      </c>
      <c r="H673" s="347">
        <f>G673*0.35</f>
        <v>20.650700000000001</v>
      </c>
      <c r="I673" s="348">
        <f>G673+H673</f>
        <v>79.65270000000001</v>
      </c>
      <c r="J673" s="349">
        <f>I673+I676+I677</f>
        <v>91.243800000000007</v>
      </c>
    </row>
    <row r="674" spans="1:10">
      <c r="A674" s="350" t="s">
        <v>258</v>
      </c>
      <c r="B674" s="350">
        <v>15</v>
      </c>
      <c r="C674" s="352">
        <v>13.8</v>
      </c>
      <c r="D674" s="353"/>
      <c r="E674" s="353"/>
      <c r="F674" s="353"/>
      <c r="G674" s="353"/>
      <c r="H674" s="353"/>
      <c r="I674" s="354"/>
      <c r="J674" s="355"/>
    </row>
    <row r="675" spans="1:10">
      <c r="A675" s="350" t="s">
        <v>337</v>
      </c>
      <c r="B675" s="350">
        <v>15</v>
      </c>
      <c r="C675" s="352">
        <v>8.5500000000000007</v>
      </c>
      <c r="D675" s="353"/>
      <c r="E675" s="353"/>
      <c r="F675" s="353"/>
      <c r="G675" s="353"/>
      <c r="H675" s="353"/>
      <c r="I675" s="354"/>
      <c r="J675" s="355"/>
    </row>
    <row r="676" spans="1:10">
      <c r="A676" s="350" t="s">
        <v>385</v>
      </c>
      <c r="B676" s="351">
        <v>7.5</v>
      </c>
      <c r="C676" s="352">
        <v>4.05</v>
      </c>
      <c r="D676" s="353">
        <f t="shared" si="35"/>
        <v>0.89100000000000001</v>
      </c>
      <c r="E676" s="353"/>
      <c r="F676" s="353">
        <f t="shared" si="28"/>
        <v>3.645</v>
      </c>
      <c r="G676" s="353">
        <f>C676+D676+E676+F676</f>
        <v>8.5860000000000003</v>
      </c>
      <c r="H676" s="353">
        <f>G676*0.35</f>
        <v>3.0051000000000001</v>
      </c>
      <c r="I676" s="354">
        <f>G676+H676</f>
        <v>11.591100000000001</v>
      </c>
      <c r="J676" s="355"/>
    </row>
    <row r="677" spans="1:10">
      <c r="A677" s="350"/>
      <c r="B677" s="351"/>
      <c r="C677" s="352"/>
      <c r="D677" s="353"/>
      <c r="E677" s="353"/>
      <c r="F677" s="353"/>
      <c r="G677" s="353"/>
      <c r="H677" s="353"/>
      <c r="I677" s="354"/>
      <c r="J677" s="355"/>
    </row>
    <row r="678" spans="1:10">
      <c r="A678" s="345" t="s">
        <v>1252</v>
      </c>
      <c r="B678" s="346"/>
      <c r="C678" s="347">
        <f>C679+C680</f>
        <v>14.899999999999999</v>
      </c>
      <c r="D678" s="347">
        <f t="shared" si="35"/>
        <v>3.2779999999999996</v>
      </c>
      <c r="E678" s="347">
        <v>4.74</v>
      </c>
      <c r="F678" s="347">
        <f t="shared" ref="F678:F703" si="36">C678*0.9</f>
        <v>13.409999999999998</v>
      </c>
      <c r="G678" s="347">
        <f>C678+D678+E678+F678</f>
        <v>36.327999999999996</v>
      </c>
      <c r="H678" s="347">
        <f>G678*0.35</f>
        <v>12.714799999999999</v>
      </c>
      <c r="I678" s="348">
        <f>G678+H678</f>
        <v>49.042799999999993</v>
      </c>
      <c r="J678" s="349">
        <f>I678+I682+I681</f>
        <v>56.770199999999996</v>
      </c>
    </row>
    <row r="679" spans="1:10">
      <c r="A679" s="350" t="s">
        <v>258</v>
      </c>
      <c r="B679" s="350">
        <v>10</v>
      </c>
      <c r="C679" s="352">
        <v>9.1999999999999993</v>
      </c>
      <c r="D679" s="353"/>
      <c r="E679" s="353"/>
      <c r="F679" s="353"/>
      <c r="G679" s="353"/>
      <c r="H679" s="353"/>
      <c r="I679" s="354"/>
      <c r="J679" s="353"/>
    </row>
    <row r="680" spans="1:10">
      <c r="A680" s="350" t="s">
        <v>337</v>
      </c>
      <c r="B680" s="350">
        <v>10</v>
      </c>
      <c r="C680" s="352">
        <v>5.7</v>
      </c>
      <c r="D680" s="353"/>
      <c r="E680" s="353"/>
      <c r="F680" s="353"/>
      <c r="G680" s="353"/>
      <c r="H680" s="353"/>
      <c r="I680" s="354"/>
      <c r="J680" s="353"/>
    </row>
    <row r="681" spans="1:10">
      <c r="A681" s="350" t="s">
        <v>385</v>
      </c>
      <c r="B681" s="351">
        <v>5</v>
      </c>
      <c r="C681" s="352">
        <v>2.7</v>
      </c>
      <c r="D681" s="353">
        <f t="shared" si="35"/>
        <v>0.59400000000000008</v>
      </c>
      <c r="E681" s="353"/>
      <c r="F681" s="353">
        <f t="shared" si="36"/>
        <v>2.4300000000000002</v>
      </c>
      <c r="G681" s="353">
        <f>C681+D681+E681+F681</f>
        <v>5.7240000000000002</v>
      </c>
      <c r="H681" s="353">
        <f>G681*0.35</f>
        <v>2.0034000000000001</v>
      </c>
      <c r="I681" s="354">
        <f>G681+H681</f>
        <v>7.7274000000000003</v>
      </c>
      <c r="J681" s="353"/>
    </row>
    <row r="682" spans="1:10">
      <c r="A682" s="350"/>
      <c r="B682" s="351"/>
      <c r="C682" s="352"/>
      <c r="D682" s="353"/>
      <c r="E682" s="353"/>
      <c r="F682" s="353"/>
      <c r="G682" s="353"/>
      <c r="H682" s="353"/>
      <c r="I682" s="354"/>
      <c r="J682" s="353"/>
    </row>
    <row r="683" spans="1:10">
      <c r="A683" s="345" t="s">
        <v>1253</v>
      </c>
      <c r="B683" s="346"/>
      <c r="C683" s="347">
        <f>C684+C685</f>
        <v>14.899999999999999</v>
      </c>
      <c r="D683" s="347">
        <f t="shared" si="35"/>
        <v>3.2779999999999996</v>
      </c>
      <c r="E683" s="347">
        <v>0.09</v>
      </c>
      <c r="F683" s="347">
        <f t="shared" si="36"/>
        <v>13.409999999999998</v>
      </c>
      <c r="G683" s="347">
        <f>C683+D683+E683+F683</f>
        <v>31.677999999999997</v>
      </c>
      <c r="H683" s="347">
        <f>G683*0.35</f>
        <v>11.087299999999999</v>
      </c>
      <c r="I683" s="348">
        <f>G683+H683</f>
        <v>42.765299999999996</v>
      </c>
      <c r="J683" s="349">
        <f>I683+I687+I686</f>
        <v>50.492699999999999</v>
      </c>
    </row>
    <row r="684" spans="1:10">
      <c r="A684" s="350" t="s">
        <v>258</v>
      </c>
      <c r="B684" s="350">
        <v>10</v>
      </c>
      <c r="C684" s="352">
        <v>9.1999999999999993</v>
      </c>
      <c r="D684" s="353"/>
      <c r="E684" s="353"/>
      <c r="F684" s="353"/>
      <c r="G684" s="353"/>
      <c r="H684" s="353"/>
      <c r="I684" s="354"/>
      <c r="J684" s="353"/>
    </row>
    <row r="685" spans="1:10">
      <c r="A685" s="350" t="s">
        <v>337</v>
      </c>
      <c r="B685" s="350">
        <v>10</v>
      </c>
      <c r="C685" s="352">
        <v>5.7</v>
      </c>
      <c r="D685" s="353"/>
      <c r="E685" s="353"/>
      <c r="F685" s="353"/>
      <c r="G685" s="353"/>
      <c r="H685" s="353"/>
      <c r="I685" s="354"/>
      <c r="J685" s="353"/>
    </row>
    <row r="686" spans="1:10">
      <c r="A686" s="350" t="s">
        <v>385</v>
      </c>
      <c r="B686" s="351">
        <v>5</v>
      </c>
      <c r="C686" s="352">
        <v>2.7</v>
      </c>
      <c r="D686" s="353">
        <f t="shared" si="35"/>
        <v>0.59400000000000008</v>
      </c>
      <c r="E686" s="353"/>
      <c r="F686" s="353">
        <f t="shared" si="36"/>
        <v>2.4300000000000002</v>
      </c>
      <c r="G686" s="353">
        <f>C686+D686+E686+F686</f>
        <v>5.7240000000000002</v>
      </c>
      <c r="H686" s="353">
        <f>G686*0.35</f>
        <v>2.0034000000000001</v>
      </c>
      <c r="I686" s="354">
        <f>G686+H686</f>
        <v>7.7274000000000003</v>
      </c>
      <c r="J686" s="353"/>
    </row>
    <row r="687" spans="1:10">
      <c r="A687" s="350"/>
      <c r="B687" s="351"/>
      <c r="C687" s="352"/>
      <c r="D687" s="353"/>
      <c r="E687" s="353"/>
      <c r="F687" s="353"/>
      <c r="G687" s="353"/>
      <c r="H687" s="353"/>
      <c r="I687" s="354"/>
      <c r="J687" s="353"/>
    </row>
    <row r="688" spans="1:10">
      <c r="A688" s="345" t="s">
        <v>1254</v>
      </c>
      <c r="B688" s="346"/>
      <c r="C688" s="347">
        <f>C689+C690</f>
        <v>14.899999999999999</v>
      </c>
      <c r="D688" s="347">
        <f t="shared" si="35"/>
        <v>3.2779999999999996</v>
      </c>
      <c r="E688" s="347">
        <v>0.09</v>
      </c>
      <c r="F688" s="347">
        <f t="shared" si="36"/>
        <v>13.409999999999998</v>
      </c>
      <c r="G688" s="347">
        <f>C688+D688+E688+F688</f>
        <v>31.677999999999997</v>
      </c>
      <c r="H688" s="347">
        <f>G688*0.35</f>
        <v>11.087299999999999</v>
      </c>
      <c r="I688" s="348">
        <f>G688+H688</f>
        <v>42.765299999999996</v>
      </c>
      <c r="J688" s="349">
        <f>I688+I692+I691</f>
        <v>50.492699999999999</v>
      </c>
    </row>
    <row r="689" spans="1:10">
      <c r="A689" s="350" t="s">
        <v>258</v>
      </c>
      <c r="B689" s="350">
        <v>10</v>
      </c>
      <c r="C689" s="352">
        <v>9.1999999999999993</v>
      </c>
      <c r="D689" s="353"/>
      <c r="E689" s="353"/>
      <c r="F689" s="353"/>
      <c r="G689" s="353"/>
      <c r="H689" s="353"/>
      <c r="I689" s="354"/>
      <c r="J689" s="353"/>
    </row>
    <row r="690" spans="1:10">
      <c r="A690" s="350" t="s">
        <v>337</v>
      </c>
      <c r="B690" s="350">
        <v>10</v>
      </c>
      <c r="C690" s="352">
        <v>5.7</v>
      </c>
      <c r="D690" s="353"/>
      <c r="E690" s="353"/>
      <c r="F690" s="353"/>
      <c r="G690" s="353"/>
      <c r="H690" s="353"/>
      <c r="I690" s="354"/>
      <c r="J690" s="353"/>
    </row>
    <row r="691" spans="1:10">
      <c r="A691" s="350" t="s">
        <v>385</v>
      </c>
      <c r="B691" s="351">
        <v>5</v>
      </c>
      <c r="C691" s="352">
        <v>2.7</v>
      </c>
      <c r="D691" s="353">
        <f t="shared" si="35"/>
        <v>0.59400000000000008</v>
      </c>
      <c r="E691" s="353"/>
      <c r="F691" s="353">
        <f t="shared" si="36"/>
        <v>2.4300000000000002</v>
      </c>
      <c r="G691" s="353">
        <f>C691+D691+E691+F691</f>
        <v>5.7240000000000002</v>
      </c>
      <c r="H691" s="353">
        <f>G691*0.35</f>
        <v>2.0034000000000001</v>
      </c>
      <c r="I691" s="354">
        <f>G691+H691</f>
        <v>7.7274000000000003</v>
      </c>
      <c r="J691" s="353"/>
    </row>
    <row r="692" spans="1:10">
      <c r="A692" s="350"/>
      <c r="B692" s="351"/>
      <c r="C692" s="352"/>
      <c r="D692" s="353"/>
      <c r="E692" s="353"/>
      <c r="F692" s="353"/>
      <c r="G692" s="353"/>
      <c r="H692" s="353"/>
      <c r="I692" s="354"/>
      <c r="J692" s="353"/>
    </row>
    <row r="693" spans="1:10">
      <c r="A693" s="345" t="s">
        <v>1255</v>
      </c>
      <c r="B693" s="346"/>
      <c r="C693" s="347">
        <f>C694+C695</f>
        <v>22.35</v>
      </c>
      <c r="D693" s="347">
        <f t="shared" si="35"/>
        <v>4.9170000000000007</v>
      </c>
      <c r="E693" s="347">
        <v>5.34</v>
      </c>
      <c r="F693" s="347">
        <f t="shared" si="36"/>
        <v>20.115000000000002</v>
      </c>
      <c r="G693" s="347">
        <f>C693+D693+E693+F693</f>
        <v>52.722000000000001</v>
      </c>
      <c r="H693" s="347">
        <f>G693*0.35</f>
        <v>18.4527</v>
      </c>
      <c r="I693" s="348">
        <f>G693+H693</f>
        <v>71.174700000000001</v>
      </c>
      <c r="J693" s="349">
        <f>I693+I696+I697</f>
        <v>82.765799999999999</v>
      </c>
    </row>
    <row r="694" spans="1:10">
      <c r="A694" s="350" t="s">
        <v>258</v>
      </c>
      <c r="B694" s="350">
        <v>15</v>
      </c>
      <c r="C694" s="352">
        <v>13.8</v>
      </c>
      <c r="D694" s="353"/>
      <c r="E694" s="353"/>
      <c r="F694" s="353"/>
      <c r="G694" s="353"/>
      <c r="H694" s="353"/>
      <c r="I694" s="354"/>
      <c r="J694" s="353"/>
    </row>
    <row r="695" spans="1:10">
      <c r="A695" s="350" t="s">
        <v>337</v>
      </c>
      <c r="B695" s="350">
        <v>15</v>
      </c>
      <c r="C695" s="352">
        <v>8.5500000000000007</v>
      </c>
      <c r="D695" s="353"/>
      <c r="E695" s="353"/>
      <c r="F695" s="353"/>
      <c r="G695" s="353"/>
      <c r="H695" s="353"/>
      <c r="I695" s="354"/>
      <c r="J695" s="353"/>
    </row>
    <row r="696" spans="1:10">
      <c r="A696" s="350" t="s">
        <v>385</v>
      </c>
      <c r="B696" s="351">
        <v>7.5</v>
      </c>
      <c r="C696" s="352">
        <v>4.05</v>
      </c>
      <c r="D696" s="353">
        <f t="shared" ref="D696:D718" si="37">C696*0.22</f>
        <v>0.89100000000000001</v>
      </c>
      <c r="E696" s="353"/>
      <c r="F696" s="353">
        <f t="shared" si="36"/>
        <v>3.645</v>
      </c>
      <c r="G696" s="353">
        <f t="shared" ref="G696:G723" si="38">C696+D696+E696+F696</f>
        <v>8.5860000000000003</v>
      </c>
      <c r="H696" s="353">
        <f t="shared" ref="H696:H723" si="39">G696*0.35</f>
        <v>3.0051000000000001</v>
      </c>
      <c r="I696" s="354">
        <f t="shared" ref="I696:I723" si="40">G696+H696</f>
        <v>11.591100000000001</v>
      </c>
      <c r="J696" s="353"/>
    </row>
    <row r="697" spans="1:10">
      <c r="A697" s="350"/>
      <c r="B697" s="351"/>
      <c r="C697" s="352"/>
      <c r="D697" s="353"/>
      <c r="E697" s="353"/>
      <c r="F697" s="353"/>
      <c r="G697" s="353"/>
      <c r="H697" s="353"/>
      <c r="I697" s="354"/>
      <c r="J697" s="353"/>
    </row>
    <row r="698" spans="1:10">
      <c r="A698" s="345" t="s">
        <v>1256</v>
      </c>
      <c r="B698" s="346"/>
      <c r="C698" s="347">
        <f>C699+C700</f>
        <v>29.799999999999997</v>
      </c>
      <c r="D698" s="347">
        <f t="shared" si="37"/>
        <v>6.5559999999999992</v>
      </c>
      <c r="E698" s="347">
        <v>0.09</v>
      </c>
      <c r="F698" s="347">
        <f t="shared" si="36"/>
        <v>26.819999999999997</v>
      </c>
      <c r="G698" s="347">
        <f t="shared" si="38"/>
        <v>63.265999999999991</v>
      </c>
      <c r="H698" s="347">
        <f t="shared" si="39"/>
        <v>22.143099999999997</v>
      </c>
      <c r="I698" s="348">
        <f t="shared" si="40"/>
        <v>85.409099999999995</v>
      </c>
      <c r="J698" s="349">
        <f>I698+I701+I702</f>
        <v>100.8639</v>
      </c>
    </row>
    <row r="699" spans="1:10">
      <c r="A699" s="350" t="s">
        <v>258</v>
      </c>
      <c r="B699" s="350">
        <v>20</v>
      </c>
      <c r="C699" s="352">
        <v>18.399999999999999</v>
      </c>
      <c r="D699" s="353"/>
      <c r="E699" s="353"/>
      <c r="F699" s="353"/>
      <c r="G699" s="353"/>
      <c r="H699" s="353"/>
      <c r="I699" s="354"/>
      <c r="J699" s="355"/>
    </row>
    <row r="700" spans="1:10">
      <c r="A700" s="350" t="s">
        <v>337</v>
      </c>
      <c r="B700" s="350">
        <v>20</v>
      </c>
      <c r="C700" s="352">
        <v>11.4</v>
      </c>
      <c r="D700" s="353"/>
      <c r="E700" s="353"/>
      <c r="F700" s="353"/>
      <c r="G700" s="353"/>
      <c r="H700" s="353"/>
      <c r="I700" s="354"/>
      <c r="J700" s="355"/>
    </row>
    <row r="701" spans="1:10">
      <c r="A701" s="350" t="s">
        <v>385</v>
      </c>
      <c r="B701" s="351">
        <v>10</v>
      </c>
      <c r="C701" s="352">
        <v>5.4</v>
      </c>
      <c r="D701" s="353">
        <f t="shared" si="37"/>
        <v>1.1880000000000002</v>
      </c>
      <c r="E701" s="353"/>
      <c r="F701" s="353">
        <f t="shared" si="36"/>
        <v>4.8600000000000003</v>
      </c>
      <c r="G701" s="353">
        <f t="shared" si="38"/>
        <v>11.448</v>
      </c>
      <c r="H701" s="353">
        <f t="shared" si="39"/>
        <v>4.0068000000000001</v>
      </c>
      <c r="I701" s="354">
        <f t="shared" si="40"/>
        <v>15.454800000000001</v>
      </c>
      <c r="J701" s="355"/>
    </row>
    <row r="702" spans="1:10">
      <c r="A702" s="350"/>
      <c r="B702" s="351"/>
      <c r="C702" s="352"/>
      <c r="D702" s="353"/>
      <c r="E702" s="353"/>
      <c r="F702" s="353"/>
      <c r="G702" s="353"/>
      <c r="H702" s="353"/>
      <c r="I702" s="354"/>
      <c r="J702" s="355"/>
    </row>
    <row r="703" spans="1:10">
      <c r="A703" s="345" t="s">
        <v>1257</v>
      </c>
      <c r="B703" s="346"/>
      <c r="C703" s="347">
        <f>C704+C705</f>
        <v>29.799999999999997</v>
      </c>
      <c r="D703" s="347">
        <f t="shared" si="37"/>
        <v>6.5559999999999992</v>
      </c>
      <c r="E703" s="347">
        <v>0.09</v>
      </c>
      <c r="F703" s="347">
        <f t="shared" si="36"/>
        <v>26.819999999999997</v>
      </c>
      <c r="G703" s="347">
        <f t="shared" si="38"/>
        <v>63.265999999999991</v>
      </c>
      <c r="H703" s="347">
        <f t="shared" si="39"/>
        <v>22.143099999999997</v>
      </c>
      <c r="I703" s="348">
        <f t="shared" si="40"/>
        <v>85.409099999999995</v>
      </c>
      <c r="J703" s="349">
        <f>I703+I706+I707</f>
        <v>100.8639</v>
      </c>
    </row>
    <row r="704" spans="1:10">
      <c r="A704" s="350" t="s">
        <v>258</v>
      </c>
      <c r="B704" s="350">
        <v>20</v>
      </c>
      <c r="C704" s="352">
        <v>18.399999999999999</v>
      </c>
      <c r="D704" s="353"/>
      <c r="E704" s="353"/>
      <c r="F704" s="353"/>
      <c r="G704" s="353"/>
      <c r="H704" s="353"/>
      <c r="I704" s="354"/>
      <c r="J704" s="353"/>
    </row>
    <row r="705" spans="1:10">
      <c r="A705" s="350" t="s">
        <v>337</v>
      </c>
      <c r="B705" s="350">
        <v>20</v>
      </c>
      <c r="C705" s="352">
        <v>11.4</v>
      </c>
      <c r="D705" s="353"/>
      <c r="E705" s="353"/>
      <c r="F705" s="353"/>
      <c r="G705" s="353"/>
      <c r="H705" s="353"/>
      <c r="I705" s="354"/>
      <c r="J705" s="353"/>
    </row>
    <row r="706" spans="1:10">
      <c r="A706" s="350" t="s">
        <v>385</v>
      </c>
      <c r="B706" s="351">
        <v>10</v>
      </c>
      <c r="C706" s="352">
        <v>5.4</v>
      </c>
      <c r="D706" s="353">
        <f t="shared" si="37"/>
        <v>1.1880000000000002</v>
      </c>
      <c r="E706" s="353"/>
      <c r="F706" s="353">
        <f t="shared" ref="F706:F733" si="41">C706*0.9</f>
        <v>4.8600000000000003</v>
      </c>
      <c r="G706" s="353">
        <f t="shared" si="38"/>
        <v>11.448</v>
      </c>
      <c r="H706" s="353">
        <f t="shared" si="39"/>
        <v>4.0068000000000001</v>
      </c>
      <c r="I706" s="354">
        <f t="shared" si="40"/>
        <v>15.454800000000001</v>
      </c>
      <c r="J706" s="353"/>
    </row>
    <row r="707" spans="1:10">
      <c r="A707" s="350"/>
      <c r="B707" s="351"/>
      <c r="C707" s="352"/>
      <c r="D707" s="353"/>
      <c r="E707" s="353"/>
      <c r="F707" s="353"/>
      <c r="G707" s="353"/>
      <c r="H707" s="353"/>
      <c r="I707" s="354"/>
      <c r="J707" s="353"/>
    </row>
    <row r="708" spans="1:10">
      <c r="A708" s="345" t="s">
        <v>1258</v>
      </c>
      <c r="B708" s="346"/>
      <c r="C708" s="347">
        <f>C709+C710</f>
        <v>29.799999999999997</v>
      </c>
      <c r="D708" s="347">
        <f t="shared" si="37"/>
        <v>6.5559999999999992</v>
      </c>
      <c r="E708" s="347">
        <v>18.850000000000001</v>
      </c>
      <c r="F708" s="347">
        <f t="shared" si="41"/>
        <v>26.819999999999997</v>
      </c>
      <c r="G708" s="347">
        <f t="shared" si="38"/>
        <v>82.025999999999996</v>
      </c>
      <c r="H708" s="347">
        <f t="shared" si="39"/>
        <v>28.709099999999996</v>
      </c>
      <c r="I708" s="348">
        <f t="shared" si="40"/>
        <v>110.73509999999999</v>
      </c>
      <c r="J708" s="349">
        <f>I708+I711+I712</f>
        <v>126.18989999999999</v>
      </c>
    </row>
    <row r="709" spans="1:10">
      <c r="A709" s="350" t="s">
        <v>258</v>
      </c>
      <c r="B709" s="350">
        <v>20</v>
      </c>
      <c r="C709" s="352">
        <v>18.399999999999999</v>
      </c>
      <c r="D709" s="353"/>
      <c r="E709" s="353"/>
      <c r="F709" s="353"/>
      <c r="G709" s="353"/>
      <c r="H709" s="353"/>
      <c r="I709" s="354"/>
      <c r="J709" s="353"/>
    </row>
    <row r="710" spans="1:10">
      <c r="A710" s="350" t="s">
        <v>337</v>
      </c>
      <c r="B710" s="350">
        <v>20</v>
      </c>
      <c r="C710" s="352">
        <v>11.4</v>
      </c>
      <c r="D710" s="353"/>
      <c r="E710" s="353"/>
      <c r="F710" s="353"/>
      <c r="G710" s="353"/>
      <c r="H710" s="353"/>
      <c r="I710" s="354"/>
      <c r="J710" s="353"/>
    </row>
    <row r="711" spans="1:10">
      <c r="A711" s="350" t="s">
        <v>385</v>
      </c>
      <c r="B711" s="351">
        <v>10</v>
      </c>
      <c r="C711" s="352">
        <v>5.4</v>
      </c>
      <c r="D711" s="353">
        <f t="shared" si="37"/>
        <v>1.1880000000000002</v>
      </c>
      <c r="E711" s="353"/>
      <c r="F711" s="353">
        <f t="shared" si="41"/>
        <v>4.8600000000000003</v>
      </c>
      <c r="G711" s="353">
        <f t="shared" si="38"/>
        <v>11.448</v>
      </c>
      <c r="H711" s="353">
        <f t="shared" si="39"/>
        <v>4.0068000000000001</v>
      </c>
      <c r="I711" s="354">
        <f t="shared" si="40"/>
        <v>15.454800000000001</v>
      </c>
      <c r="J711" s="353"/>
    </row>
    <row r="712" spans="1:10">
      <c r="A712" s="350"/>
      <c r="B712" s="351"/>
      <c r="C712" s="352"/>
      <c r="D712" s="353"/>
      <c r="E712" s="353"/>
      <c r="F712" s="353"/>
      <c r="G712" s="353"/>
      <c r="H712" s="353"/>
      <c r="I712" s="354"/>
      <c r="J712" s="353"/>
    </row>
    <row r="713" spans="1:10">
      <c r="A713" s="345" t="s">
        <v>1259</v>
      </c>
      <c r="B713" s="346"/>
      <c r="C713" s="347">
        <f>C714+C715</f>
        <v>14.899999999999999</v>
      </c>
      <c r="D713" s="347">
        <f t="shared" si="37"/>
        <v>3.2779999999999996</v>
      </c>
      <c r="E713" s="347">
        <v>18.850000000000001</v>
      </c>
      <c r="F713" s="347">
        <f t="shared" si="41"/>
        <v>13.409999999999998</v>
      </c>
      <c r="G713" s="347">
        <f t="shared" si="38"/>
        <v>50.437999999999995</v>
      </c>
      <c r="H713" s="347">
        <f t="shared" si="39"/>
        <v>17.653299999999998</v>
      </c>
      <c r="I713" s="348">
        <f t="shared" si="40"/>
        <v>68.09129999999999</v>
      </c>
      <c r="J713" s="349">
        <f>I713+I716+I717</f>
        <v>75.818699999999993</v>
      </c>
    </row>
    <row r="714" spans="1:10">
      <c r="A714" s="350" t="s">
        <v>258</v>
      </c>
      <c r="B714" s="350">
        <v>10</v>
      </c>
      <c r="C714" s="352">
        <v>9.1999999999999993</v>
      </c>
      <c r="D714" s="353"/>
      <c r="E714" s="353"/>
      <c r="F714" s="353"/>
      <c r="G714" s="353"/>
      <c r="H714" s="353"/>
      <c r="I714" s="354"/>
      <c r="J714" s="353"/>
    </row>
    <row r="715" spans="1:10">
      <c r="A715" s="350" t="s">
        <v>337</v>
      </c>
      <c r="B715" s="350">
        <v>10</v>
      </c>
      <c r="C715" s="352">
        <v>5.7</v>
      </c>
      <c r="D715" s="353"/>
      <c r="E715" s="353"/>
      <c r="F715" s="353"/>
      <c r="G715" s="353"/>
      <c r="H715" s="353"/>
      <c r="I715" s="354"/>
      <c r="J715" s="353"/>
    </row>
    <row r="716" spans="1:10">
      <c r="A716" s="350" t="s">
        <v>385</v>
      </c>
      <c r="B716" s="351">
        <v>5</v>
      </c>
      <c r="C716" s="352">
        <v>2.7</v>
      </c>
      <c r="D716" s="353">
        <f t="shared" si="37"/>
        <v>0.59400000000000008</v>
      </c>
      <c r="E716" s="353"/>
      <c r="F716" s="353">
        <f t="shared" si="41"/>
        <v>2.4300000000000002</v>
      </c>
      <c r="G716" s="353">
        <f t="shared" si="38"/>
        <v>5.7240000000000002</v>
      </c>
      <c r="H716" s="353">
        <f t="shared" si="39"/>
        <v>2.0034000000000001</v>
      </c>
      <c r="I716" s="354">
        <f t="shared" si="40"/>
        <v>7.7274000000000003</v>
      </c>
      <c r="J716" s="353"/>
    </row>
    <row r="717" spans="1:10">
      <c r="A717" s="350"/>
      <c r="B717" s="351"/>
      <c r="C717" s="352"/>
      <c r="D717" s="353"/>
      <c r="E717" s="353"/>
      <c r="F717" s="353"/>
      <c r="G717" s="353"/>
      <c r="H717" s="353"/>
      <c r="I717" s="354"/>
      <c r="J717" s="353"/>
    </row>
    <row r="718" spans="1:10">
      <c r="A718" s="345" t="s">
        <v>1260</v>
      </c>
      <c r="B718" s="346"/>
      <c r="C718" s="347">
        <f>C719+C720</f>
        <v>14.899999999999999</v>
      </c>
      <c r="D718" s="347">
        <f t="shared" si="37"/>
        <v>3.2779999999999996</v>
      </c>
      <c r="E718" s="347">
        <v>18.850000000000001</v>
      </c>
      <c r="F718" s="347">
        <f t="shared" si="41"/>
        <v>13.409999999999998</v>
      </c>
      <c r="G718" s="347">
        <f t="shared" si="38"/>
        <v>50.437999999999995</v>
      </c>
      <c r="H718" s="347">
        <f t="shared" si="39"/>
        <v>17.653299999999998</v>
      </c>
      <c r="I718" s="348">
        <f t="shared" si="40"/>
        <v>68.09129999999999</v>
      </c>
      <c r="J718" s="349">
        <f>I718+I721+I722</f>
        <v>75.818699999999993</v>
      </c>
    </row>
    <row r="719" spans="1:10">
      <c r="A719" s="350" t="s">
        <v>258</v>
      </c>
      <c r="B719" s="350">
        <v>10</v>
      </c>
      <c r="C719" s="352">
        <v>9.1999999999999993</v>
      </c>
      <c r="D719" s="353"/>
      <c r="E719" s="353"/>
      <c r="F719" s="353"/>
      <c r="G719" s="353"/>
      <c r="H719" s="353"/>
      <c r="I719" s="354"/>
      <c r="J719" s="353"/>
    </row>
    <row r="720" spans="1:10">
      <c r="A720" s="350" t="s">
        <v>337</v>
      </c>
      <c r="B720" s="350">
        <v>10</v>
      </c>
      <c r="C720" s="352">
        <v>5.7</v>
      </c>
      <c r="D720" s="353"/>
      <c r="E720" s="353"/>
      <c r="F720" s="353"/>
      <c r="G720" s="353"/>
      <c r="H720" s="353"/>
      <c r="I720" s="354"/>
      <c r="J720" s="353"/>
    </row>
    <row r="721" spans="1:10">
      <c r="A721" s="350" t="s">
        <v>385</v>
      </c>
      <c r="B721" s="351">
        <v>5</v>
      </c>
      <c r="C721" s="352">
        <v>2.7</v>
      </c>
      <c r="D721" s="353">
        <f t="shared" ref="D721:D751" si="42">C721*0.22</f>
        <v>0.59400000000000008</v>
      </c>
      <c r="E721" s="353"/>
      <c r="F721" s="353">
        <f t="shared" si="41"/>
        <v>2.4300000000000002</v>
      </c>
      <c r="G721" s="353">
        <f t="shared" si="38"/>
        <v>5.7240000000000002</v>
      </c>
      <c r="H721" s="353">
        <f t="shared" si="39"/>
        <v>2.0034000000000001</v>
      </c>
      <c r="I721" s="354">
        <f t="shared" si="40"/>
        <v>7.7274000000000003</v>
      </c>
      <c r="J721" s="353"/>
    </row>
    <row r="722" spans="1:10">
      <c r="A722" s="350"/>
      <c r="B722" s="351"/>
      <c r="C722" s="352"/>
      <c r="D722" s="353"/>
      <c r="E722" s="353"/>
      <c r="F722" s="353"/>
      <c r="G722" s="353"/>
      <c r="H722" s="353"/>
      <c r="I722" s="354"/>
      <c r="J722" s="353"/>
    </row>
    <row r="723" spans="1:10">
      <c r="A723" s="345" t="s">
        <v>1261</v>
      </c>
      <c r="B723" s="346"/>
      <c r="C723" s="347">
        <f>C724+C725</f>
        <v>22.35</v>
      </c>
      <c r="D723" s="347">
        <f t="shared" si="42"/>
        <v>4.9170000000000007</v>
      </c>
      <c r="E723" s="347">
        <v>18.850000000000001</v>
      </c>
      <c r="F723" s="347">
        <f t="shared" si="41"/>
        <v>20.115000000000002</v>
      </c>
      <c r="G723" s="347">
        <f t="shared" si="38"/>
        <v>66.231999999999999</v>
      </c>
      <c r="H723" s="347">
        <f t="shared" si="39"/>
        <v>23.181199999999997</v>
      </c>
      <c r="I723" s="348">
        <f t="shared" si="40"/>
        <v>89.413199999999989</v>
      </c>
      <c r="J723" s="349">
        <f>I723+I726+I727</f>
        <v>101.00429999999999</v>
      </c>
    </row>
    <row r="724" spans="1:10">
      <c r="A724" s="350" t="s">
        <v>258</v>
      </c>
      <c r="B724" s="350">
        <v>15</v>
      </c>
      <c r="C724" s="352">
        <v>13.8</v>
      </c>
      <c r="D724" s="353"/>
      <c r="E724" s="353"/>
      <c r="F724" s="353"/>
      <c r="G724" s="353"/>
      <c r="H724" s="353"/>
      <c r="I724" s="354"/>
      <c r="J724" s="353"/>
    </row>
    <row r="725" spans="1:10">
      <c r="A725" s="350" t="s">
        <v>337</v>
      </c>
      <c r="B725" s="350">
        <v>15</v>
      </c>
      <c r="C725" s="352">
        <v>8.5500000000000007</v>
      </c>
      <c r="D725" s="353"/>
      <c r="E725" s="353"/>
      <c r="F725" s="353"/>
      <c r="G725" s="353"/>
      <c r="H725" s="353"/>
      <c r="I725" s="354"/>
      <c r="J725" s="353"/>
    </row>
    <row r="726" spans="1:10">
      <c r="A726" s="350" t="s">
        <v>385</v>
      </c>
      <c r="B726" s="351">
        <v>7.5</v>
      </c>
      <c r="C726" s="352">
        <v>4.05</v>
      </c>
      <c r="D726" s="353">
        <f t="shared" si="42"/>
        <v>0.89100000000000001</v>
      </c>
      <c r="E726" s="353"/>
      <c r="F726" s="353">
        <f t="shared" si="41"/>
        <v>3.645</v>
      </c>
      <c r="G726" s="353">
        <f t="shared" ref="G726:G743" si="43">C726+D726+E726+F726</f>
        <v>8.5860000000000003</v>
      </c>
      <c r="H726" s="353">
        <f t="shared" ref="H726:H743" si="44">G726*0.35</f>
        <v>3.0051000000000001</v>
      </c>
      <c r="I726" s="354">
        <f t="shared" ref="I726:I743" si="45">G726+H726</f>
        <v>11.591100000000001</v>
      </c>
      <c r="J726" s="353"/>
    </row>
    <row r="727" spans="1:10">
      <c r="A727" s="350"/>
      <c r="B727" s="351"/>
      <c r="C727" s="352"/>
      <c r="D727" s="353"/>
      <c r="E727" s="353"/>
      <c r="F727" s="353"/>
      <c r="G727" s="353"/>
      <c r="H727" s="353"/>
      <c r="I727" s="354"/>
      <c r="J727" s="353"/>
    </row>
    <row r="728" spans="1:10">
      <c r="A728" s="345" t="s">
        <v>1262</v>
      </c>
      <c r="B728" s="346"/>
      <c r="C728" s="347">
        <f>C729+C730</f>
        <v>14.899999999999999</v>
      </c>
      <c r="D728" s="347">
        <f t="shared" si="42"/>
        <v>3.2779999999999996</v>
      </c>
      <c r="E728" s="347">
        <v>18.850000000000001</v>
      </c>
      <c r="F728" s="347">
        <f t="shared" si="41"/>
        <v>13.409999999999998</v>
      </c>
      <c r="G728" s="347">
        <f t="shared" si="43"/>
        <v>50.437999999999995</v>
      </c>
      <c r="H728" s="347">
        <f t="shared" si="44"/>
        <v>17.653299999999998</v>
      </c>
      <c r="I728" s="348">
        <f t="shared" si="45"/>
        <v>68.09129999999999</v>
      </c>
      <c r="J728" s="349">
        <f>I728+I731+I732</f>
        <v>75.818699999999993</v>
      </c>
    </row>
    <row r="729" spans="1:10">
      <c r="A729" s="350" t="s">
        <v>258</v>
      </c>
      <c r="B729" s="350">
        <v>10</v>
      </c>
      <c r="C729" s="352">
        <v>9.1999999999999993</v>
      </c>
      <c r="D729" s="353"/>
      <c r="E729" s="353"/>
      <c r="F729" s="353"/>
      <c r="G729" s="353"/>
      <c r="H729" s="353"/>
      <c r="I729" s="354"/>
      <c r="J729" s="355"/>
    </row>
    <row r="730" spans="1:10">
      <c r="A730" s="350" t="s">
        <v>337</v>
      </c>
      <c r="B730" s="350">
        <v>10</v>
      </c>
      <c r="C730" s="352">
        <v>5.7</v>
      </c>
      <c r="D730" s="353"/>
      <c r="E730" s="353"/>
      <c r="F730" s="353"/>
      <c r="G730" s="353"/>
      <c r="H730" s="353"/>
      <c r="I730" s="354"/>
      <c r="J730" s="355"/>
    </row>
    <row r="731" spans="1:10">
      <c r="A731" s="350" t="s">
        <v>385</v>
      </c>
      <c r="B731" s="351">
        <v>5</v>
      </c>
      <c r="C731" s="352">
        <v>2.7</v>
      </c>
      <c r="D731" s="353">
        <f t="shared" si="42"/>
        <v>0.59400000000000008</v>
      </c>
      <c r="E731" s="353"/>
      <c r="F731" s="353">
        <f t="shared" si="41"/>
        <v>2.4300000000000002</v>
      </c>
      <c r="G731" s="353">
        <f t="shared" si="43"/>
        <v>5.7240000000000002</v>
      </c>
      <c r="H731" s="353">
        <f t="shared" si="44"/>
        <v>2.0034000000000001</v>
      </c>
      <c r="I731" s="354">
        <f t="shared" si="45"/>
        <v>7.7274000000000003</v>
      </c>
      <c r="J731" s="355"/>
    </row>
    <row r="732" spans="1:10">
      <c r="A732" s="350"/>
      <c r="B732" s="351"/>
      <c r="C732" s="352"/>
      <c r="D732" s="353"/>
      <c r="E732" s="353"/>
      <c r="F732" s="353"/>
      <c r="G732" s="353"/>
      <c r="H732" s="353"/>
      <c r="I732" s="354"/>
      <c r="J732" s="355"/>
    </row>
    <row r="733" spans="1:10">
      <c r="A733" s="345" t="s">
        <v>1263</v>
      </c>
      <c r="B733" s="346"/>
      <c r="C733" s="347">
        <f>C734+C735</f>
        <v>29.799999999999997</v>
      </c>
      <c r="D733" s="347">
        <f t="shared" si="42"/>
        <v>6.5559999999999992</v>
      </c>
      <c r="E733" s="347">
        <v>18.850000000000001</v>
      </c>
      <c r="F733" s="347">
        <f t="shared" si="41"/>
        <v>26.819999999999997</v>
      </c>
      <c r="G733" s="347">
        <f t="shared" si="43"/>
        <v>82.025999999999996</v>
      </c>
      <c r="H733" s="347">
        <f t="shared" si="44"/>
        <v>28.709099999999996</v>
      </c>
      <c r="I733" s="348">
        <f t="shared" si="45"/>
        <v>110.73509999999999</v>
      </c>
      <c r="J733" s="349">
        <f>I733+I736+I737</f>
        <v>126.18989999999999</v>
      </c>
    </row>
    <row r="734" spans="1:10">
      <c r="A734" s="350" t="s">
        <v>258</v>
      </c>
      <c r="B734" s="350">
        <v>20</v>
      </c>
      <c r="C734" s="352">
        <v>18.399999999999999</v>
      </c>
      <c r="D734" s="353"/>
      <c r="E734" s="353"/>
      <c r="F734" s="353"/>
      <c r="G734" s="353"/>
      <c r="H734" s="353"/>
      <c r="I734" s="354"/>
      <c r="J734" s="353"/>
    </row>
    <row r="735" spans="1:10">
      <c r="A735" s="350" t="s">
        <v>337</v>
      </c>
      <c r="B735" s="350">
        <v>20</v>
      </c>
      <c r="C735" s="352">
        <v>11.4</v>
      </c>
      <c r="D735" s="353"/>
      <c r="E735" s="353"/>
      <c r="F735" s="353"/>
      <c r="G735" s="353"/>
      <c r="H735" s="353"/>
      <c r="I735" s="354"/>
      <c r="J735" s="353"/>
    </row>
    <row r="736" spans="1:10">
      <c r="A736" s="350" t="s">
        <v>385</v>
      </c>
      <c r="B736" s="351">
        <v>10</v>
      </c>
      <c r="C736" s="352">
        <v>5.4</v>
      </c>
      <c r="D736" s="353">
        <f t="shared" si="42"/>
        <v>1.1880000000000002</v>
      </c>
      <c r="E736" s="353"/>
      <c r="F736" s="353">
        <f t="shared" ref="F736:F766" si="46">C736*0.9</f>
        <v>4.8600000000000003</v>
      </c>
      <c r="G736" s="353">
        <f t="shared" si="43"/>
        <v>11.448</v>
      </c>
      <c r="H736" s="353">
        <f t="shared" si="44"/>
        <v>4.0068000000000001</v>
      </c>
      <c r="I736" s="354">
        <f t="shared" si="45"/>
        <v>15.454800000000001</v>
      </c>
      <c r="J736" s="353"/>
    </row>
    <row r="737" spans="1:10">
      <c r="A737" s="350"/>
      <c r="B737" s="351"/>
      <c r="C737" s="352"/>
      <c r="D737" s="353"/>
      <c r="E737" s="353"/>
      <c r="F737" s="353"/>
      <c r="G737" s="353"/>
      <c r="H737" s="353"/>
      <c r="I737" s="354"/>
      <c r="J737" s="353"/>
    </row>
    <row r="738" spans="1:10">
      <c r="A738" s="345" t="s">
        <v>1264</v>
      </c>
      <c r="B738" s="346"/>
      <c r="C738" s="347">
        <f>C739+C740</f>
        <v>14.899999999999999</v>
      </c>
      <c r="D738" s="347">
        <f t="shared" si="42"/>
        <v>3.2779999999999996</v>
      </c>
      <c r="E738" s="347">
        <v>0.09</v>
      </c>
      <c r="F738" s="347">
        <f t="shared" si="46"/>
        <v>13.409999999999998</v>
      </c>
      <c r="G738" s="347">
        <f t="shared" si="43"/>
        <v>31.677999999999997</v>
      </c>
      <c r="H738" s="347">
        <f t="shared" si="44"/>
        <v>11.087299999999999</v>
      </c>
      <c r="I738" s="348">
        <f t="shared" si="45"/>
        <v>42.765299999999996</v>
      </c>
      <c r="J738" s="349">
        <f>I738+I741+I742</f>
        <v>50.492699999999999</v>
      </c>
    </row>
    <row r="739" spans="1:10">
      <c r="A739" s="350" t="s">
        <v>258</v>
      </c>
      <c r="B739" s="350">
        <v>10</v>
      </c>
      <c r="C739" s="352">
        <v>9.1999999999999993</v>
      </c>
      <c r="D739" s="353"/>
      <c r="E739" s="353"/>
      <c r="F739" s="353"/>
      <c r="G739" s="353"/>
      <c r="H739" s="353"/>
      <c r="I739" s="354"/>
      <c r="J739" s="353"/>
    </row>
    <row r="740" spans="1:10">
      <c r="A740" s="350" t="s">
        <v>337</v>
      </c>
      <c r="B740" s="350">
        <v>10</v>
      </c>
      <c r="C740" s="352">
        <v>5.7</v>
      </c>
      <c r="D740" s="353"/>
      <c r="E740" s="353"/>
      <c r="F740" s="353"/>
      <c r="G740" s="353"/>
      <c r="H740" s="353"/>
      <c r="I740" s="354"/>
      <c r="J740" s="353"/>
    </row>
    <row r="741" spans="1:10">
      <c r="A741" s="350" t="s">
        <v>385</v>
      </c>
      <c r="B741" s="351">
        <v>5</v>
      </c>
      <c r="C741" s="352">
        <v>2.7</v>
      </c>
      <c r="D741" s="353">
        <f t="shared" si="42"/>
        <v>0.59400000000000008</v>
      </c>
      <c r="E741" s="353"/>
      <c r="F741" s="353">
        <f t="shared" si="46"/>
        <v>2.4300000000000002</v>
      </c>
      <c r="G741" s="353">
        <f t="shared" si="43"/>
        <v>5.7240000000000002</v>
      </c>
      <c r="H741" s="353">
        <f t="shared" si="44"/>
        <v>2.0034000000000001</v>
      </c>
      <c r="I741" s="354">
        <f t="shared" si="45"/>
        <v>7.7274000000000003</v>
      </c>
      <c r="J741" s="353"/>
    </row>
    <row r="742" spans="1:10">
      <c r="A742" s="350"/>
      <c r="B742" s="351"/>
      <c r="C742" s="352"/>
      <c r="D742" s="353"/>
      <c r="E742" s="353"/>
      <c r="F742" s="353"/>
      <c r="G742" s="353"/>
      <c r="H742" s="353"/>
      <c r="I742" s="354"/>
      <c r="J742" s="353"/>
    </row>
    <row r="743" spans="1:10">
      <c r="A743" s="345" t="s">
        <v>1265</v>
      </c>
      <c r="B743" s="346"/>
      <c r="C743" s="347">
        <f>C744+C745</f>
        <v>22.35</v>
      </c>
      <c r="D743" s="347">
        <f t="shared" si="42"/>
        <v>4.9170000000000007</v>
      </c>
      <c r="E743" s="347">
        <v>18.850000000000001</v>
      </c>
      <c r="F743" s="347">
        <f t="shared" si="46"/>
        <v>20.115000000000002</v>
      </c>
      <c r="G743" s="347">
        <f t="shared" si="43"/>
        <v>66.231999999999999</v>
      </c>
      <c r="H743" s="347">
        <f t="shared" si="44"/>
        <v>23.181199999999997</v>
      </c>
      <c r="I743" s="348">
        <f t="shared" si="45"/>
        <v>89.413199999999989</v>
      </c>
      <c r="J743" s="349">
        <f>I743+I746+I747</f>
        <v>101.00429999999999</v>
      </c>
    </row>
    <row r="744" spans="1:10">
      <c r="A744" s="350" t="s">
        <v>258</v>
      </c>
      <c r="B744" s="350">
        <v>15</v>
      </c>
      <c r="C744" s="352">
        <v>13.8</v>
      </c>
      <c r="D744" s="353"/>
      <c r="E744" s="353"/>
      <c r="F744" s="353"/>
      <c r="G744" s="353"/>
      <c r="H744" s="353"/>
      <c r="I744" s="354"/>
      <c r="J744" s="353"/>
    </row>
    <row r="745" spans="1:10">
      <c r="A745" s="350" t="s">
        <v>337</v>
      </c>
      <c r="B745" s="350">
        <v>15</v>
      </c>
      <c r="C745" s="352">
        <v>8.5500000000000007</v>
      </c>
      <c r="D745" s="353"/>
      <c r="E745" s="353"/>
      <c r="F745" s="353"/>
      <c r="G745" s="353"/>
      <c r="H745" s="353"/>
      <c r="I745" s="354"/>
      <c r="J745" s="353"/>
    </row>
    <row r="746" spans="1:10">
      <c r="A746" s="350" t="s">
        <v>385</v>
      </c>
      <c r="B746" s="351">
        <v>7.5</v>
      </c>
      <c r="C746" s="352">
        <v>4.05</v>
      </c>
      <c r="D746" s="353">
        <f t="shared" si="42"/>
        <v>0.89100000000000001</v>
      </c>
      <c r="E746" s="353"/>
      <c r="F746" s="353">
        <f t="shared" si="46"/>
        <v>3.645</v>
      </c>
      <c r="G746" s="353">
        <f>C746+D746+E746+F746</f>
        <v>8.5860000000000003</v>
      </c>
      <c r="H746" s="353">
        <f>G746*0.35</f>
        <v>3.0051000000000001</v>
      </c>
      <c r="I746" s="354">
        <f>G746+H746</f>
        <v>11.591100000000001</v>
      </c>
      <c r="J746" s="353"/>
    </row>
    <row r="747" spans="1:10">
      <c r="A747" s="350"/>
      <c r="B747" s="351"/>
      <c r="C747" s="352"/>
      <c r="D747" s="353"/>
      <c r="E747" s="353"/>
      <c r="F747" s="353"/>
      <c r="G747" s="353"/>
      <c r="H747" s="353"/>
      <c r="I747" s="354"/>
      <c r="J747" s="353"/>
    </row>
    <row r="748" spans="1:10">
      <c r="A748" s="345" t="s">
        <v>1266</v>
      </c>
      <c r="B748" s="346"/>
      <c r="C748" s="347">
        <f>C749+C750</f>
        <v>22.35</v>
      </c>
      <c r="D748" s="347">
        <f t="shared" si="42"/>
        <v>4.9170000000000007</v>
      </c>
      <c r="E748" s="347">
        <v>18.850000000000001</v>
      </c>
      <c r="F748" s="347">
        <f t="shared" si="46"/>
        <v>20.115000000000002</v>
      </c>
      <c r="G748" s="347">
        <f>C748+D748+E748+F748</f>
        <v>66.231999999999999</v>
      </c>
      <c r="H748" s="347">
        <f>G748*0.35</f>
        <v>23.181199999999997</v>
      </c>
      <c r="I748" s="348">
        <f>G748+H748</f>
        <v>89.413199999999989</v>
      </c>
      <c r="J748" s="349">
        <f>I748+I751+I752</f>
        <v>101.00429999999999</v>
      </c>
    </row>
    <row r="749" spans="1:10">
      <c r="A749" s="350" t="s">
        <v>258</v>
      </c>
      <c r="B749" s="350">
        <v>15</v>
      </c>
      <c r="C749" s="352">
        <v>13.8</v>
      </c>
      <c r="D749" s="353"/>
      <c r="E749" s="353"/>
      <c r="F749" s="353"/>
      <c r="G749" s="353"/>
      <c r="H749" s="353"/>
      <c r="I749" s="354"/>
      <c r="J749" s="353"/>
    </row>
    <row r="750" spans="1:10">
      <c r="A750" s="350" t="s">
        <v>337</v>
      </c>
      <c r="B750" s="350">
        <v>15</v>
      </c>
      <c r="C750" s="352">
        <v>8.5500000000000007</v>
      </c>
      <c r="D750" s="353"/>
      <c r="E750" s="353"/>
      <c r="F750" s="353"/>
      <c r="G750" s="353"/>
      <c r="H750" s="353"/>
      <c r="I750" s="354"/>
      <c r="J750" s="353"/>
    </row>
    <row r="751" spans="1:10">
      <c r="A751" s="350" t="s">
        <v>385</v>
      </c>
      <c r="B751" s="351">
        <v>7.5</v>
      </c>
      <c r="C751" s="352">
        <v>4.05</v>
      </c>
      <c r="D751" s="353">
        <f t="shared" si="42"/>
        <v>0.89100000000000001</v>
      </c>
      <c r="E751" s="353"/>
      <c r="F751" s="353">
        <f t="shared" si="46"/>
        <v>3.645</v>
      </c>
      <c r="G751" s="353">
        <f t="shared" ref="G751:G758" si="47">C751+D751+E751+F751</f>
        <v>8.5860000000000003</v>
      </c>
      <c r="H751" s="353">
        <f t="shared" ref="H751:H758" si="48">G751*0.35</f>
        <v>3.0051000000000001</v>
      </c>
      <c r="I751" s="354">
        <f t="shared" ref="I751:I758" si="49">G751+H751</f>
        <v>11.591100000000001</v>
      </c>
      <c r="J751" s="353"/>
    </row>
    <row r="752" spans="1:10">
      <c r="A752" s="350"/>
      <c r="B752" s="351"/>
      <c r="C752" s="352"/>
      <c r="D752" s="353"/>
      <c r="E752" s="353"/>
      <c r="F752" s="353"/>
      <c r="G752" s="353"/>
      <c r="H752" s="353"/>
      <c r="I752" s="354"/>
      <c r="J752" s="353"/>
    </row>
    <row r="753" spans="1:10">
      <c r="A753" s="345" t="s">
        <v>1267</v>
      </c>
      <c r="B753" s="346"/>
      <c r="C753" s="347">
        <f>C754+C755</f>
        <v>14.899999999999999</v>
      </c>
      <c r="D753" s="347">
        <f t="shared" ref="D753:D783" si="50">C753*0.22</f>
        <v>3.2779999999999996</v>
      </c>
      <c r="E753" s="347">
        <v>18.850000000000001</v>
      </c>
      <c r="F753" s="347">
        <f t="shared" si="46"/>
        <v>13.409999999999998</v>
      </c>
      <c r="G753" s="347">
        <f t="shared" si="47"/>
        <v>50.437999999999995</v>
      </c>
      <c r="H753" s="347">
        <f t="shared" si="48"/>
        <v>17.653299999999998</v>
      </c>
      <c r="I753" s="348">
        <f t="shared" si="49"/>
        <v>68.09129999999999</v>
      </c>
      <c r="J753" s="349">
        <f>I753+I756+I757</f>
        <v>75.818699999999993</v>
      </c>
    </row>
    <row r="754" spans="1:10">
      <c r="A754" s="350" t="s">
        <v>258</v>
      </c>
      <c r="B754" s="350">
        <v>10</v>
      </c>
      <c r="C754" s="352">
        <v>9.1999999999999993</v>
      </c>
      <c r="D754" s="353"/>
      <c r="E754" s="353"/>
      <c r="F754" s="353"/>
      <c r="G754" s="353"/>
      <c r="H754" s="353"/>
      <c r="I754" s="354"/>
      <c r="J754" s="353"/>
    </row>
    <row r="755" spans="1:10">
      <c r="A755" s="350" t="s">
        <v>337</v>
      </c>
      <c r="B755" s="350">
        <v>10</v>
      </c>
      <c r="C755" s="352">
        <v>5.7</v>
      </c>
      <c r="D755" s="353"/>
      <c r="E755" s="353"/>
      <c r="F755" s="353"/>
      <c r="G755" s="353"/>
      <c r="H755" s="353"/>
      <c r="I755" s="354"/>
      <c r="J755" s="353"/>
    </row>
    <row r="756" spans="1:10">
      <c r="A756" s="350" t="s">
        <v>385</v>
      </c>
      <c r="B756" s="351">
        <v>5</v>
      </c>
      <c r="C756" s="352">
        <v>2.7</v>
      </c>
      <c r="D756" s="353">
        <f t="shared" si="50"/>
        <v>0.59400000000000008</v>
      </c>
      <c r="E756" s="353"/>
      <c r="F756" s="353">
        <f t="shared" si="46"/>
        <v>2.4300000000000002</v>
      </c>
      <c r="G756" s="353">
        <f t="shared" si="47"/>
        <v>5.7240000000000002</v>
      </c>
      <c r="H756" s="353">
        <f t="shared" si="48"/>
        <v>2.0034000000000001</v>
      </c>
      <c r="I756" s="354">
        <f t="shared" si="49"/>
        <v>7.7274000000000003</v>
      </c>
      <c r="J756" s="353"/>
    </row>
    <row r="757" spans="1:10">
      <c r="A757" s="350"/>
      <c r="B757" s="351"/>
      <c r="C757" s="352"/>
      <c r="D757" s="353"/>
      <c r="E757" s="353"/>
      <c r="F757" s="353"/>
      <c r="G757" s="353"/>
      <c r="H757" s="353"/>
      <c r="I757" s="354"/>
      <c r="J757" s="353"/>
    </row>
    <row r="758" spans="1:10">
      <c r="A758" s="345" t="s">
        <v>1268</v>
      </c>
      <c r="B758" s="346"/>
      <c r="C758" s="347">
        <f>C759+C760</f>
        <v>22.35</v>
      </c>
      <c r="D758" s="347">
        <f t="shared" si="50"/>
        <v>4.9170000000000007</v>
      </c>
      <c r="E758" s="347">
        <v>0.09</v>
      </c>
      <c r="F758" s="347">
        <f t="shared" si="46"/>
        <v>20.115000000000002</v>
      </c>
      <c r="G758" s="347">
        <f t="shared" si="47"/>
        <v>47.472000000000008</v>
      </c>
      <c r="H758" s="347">
        <f t="shared" si="48"/>
        <v>16.615200000000002</v>
      </c>
      <c r="I758" s="348">
        <f t="shared" si="49"/>
        <v>64.08720000000001</v>
      </c>
      <c r="J758" s="349">
        <f>I758+I761+I762</f>
        <v>75.678300000000007</v>
      </c>
    </row>
    <row r="759" spans="1:10">
      <c r="A759" s="350" t="s">
        <v>258</v>
      </c>
      <c r="B759" s="350">
        <v>15</v>
      </c>
      <c r="C759" s="352">
        <v>13.8</v>
      </c>
      <c r="D759" s="353"/>
      <c r="E759" s="353"/>
      <c r="F759" s="353"/>
      <c r="G759" s="353"/>
      <c r="H759" s="353"/>
      <c r="I759" s="354"/>
      <c r="J759" s="355"/>
    </row>
    <row r="760" spans="1:10">
      <c r="A760" s="350" t="s">
        <v>337</v>
      </c>
      <c r="B760" s="350">
        <v>15</v>
      </c>
      <c r="C760" s="352">
        <v>8.5500000000000007</v>
      </c>
      <c r="D760" s="353"/>
      <c r="E760" s="353"/>
      <c r="F760" s="353"/>
      <c r="G760" s="353"/>
      <c r="H760" s="353"/>
      <c r="I760" s="354"/>
      <c r="J760" s="355"/>
    </row>
    <row r="761" spans="1:10">
      <c r="A761" s="350" t="s">
        <v>385</v>
      </c>
      <c r="B761" s="351">
        <v>7.5</v>
      </c>
      <c r="C761" s="352">
        <v>4.05</v>
      </c>
      <c r="D761" s="353">
        <f t="shared" si="50"/>
        <v>0.89100000000000001</v>
      </c>
      <c r="E761" s="353"/>
      <c r="F761" s="353">
        <f t="shared" si="46"/>
        <v>3.645</v>
      </c>
      <c r="G761" s="353">
        <f>C761+D761+E761+F761</f>
        <v>8.5860000000000003</v>
      </c>
      <c r="H761" s="353">
        <f>G761*0.35</f>
        <v>3.0051000000000001</v>
      </c>
      <c r="I761" s="354">
        <f>G761+H761</f>
        <v>11.591100000000001</v>
      </c>
      <c r="J761" s="355"/>
    </row>
    <row r="762" spans="1:10">
      <c r="A762" s="350"/>
      <c r="B762" s="351"/>
      <c r="C762" s="352"/>
      <c r="D762" s="353"/>
      <c r="E762" s="353"/>
      <c r="F762" s="353"/>
      <c r="G762" s="353"/>
      <c r="H762" s="353"/>
      <c r="I762" s="354"/>
      <c r="J762" s="355"/>
    </row>
    <row r="763" spans="1:10">
      <c r="A763" s="345" t="s">
        <v>1269</v>
      </c>
      <c r="B763" s="346"/>
      <c r="C763" s="347">
        <f>C764+C765</f>
        <v>22.35</v>
      </c>
      <c r="D763" s="347">
        <f t="shared" si="50"/>
        <v>4.9170000000000007</v>
      </c>
      <c r="E763" s="347">
        <v>18.850000000000001</v>
      </c>
      <c r="F763" s="347">
        <f t="shared" si="46"/>
        <v>20.115000000000002</v>
      </c>
      <c r="G763" s="347">
        <f>C763+D763+E763+F763</f>
        <v>66.231999999999999</v>
      </c>
      <c r="H763" s="347">
        <f>G763*0.35</f>
        <v>23.181199999999997</v>
      </c>
      <c r="I763" s="348">
        <f>G763+H763</f>
        <v>89.413199999999989</v>
      </c>
      <c r="J763" s="349">
        <f>I763+I766+I767</f>
        <v>101.00429999999999</v>
      </c>
    </row>
    <row r="764" spans="1:10">
      <c r="A764" s="350" t="s">
        <v>258</v>
      </c>
      <c r="B764" s="350">
        <v>15</v>
      </c>
      <c r="C764" s="352">
        <v>13.8</v>
      </c>
      <c r="D764" s="353"/>
      <c r="E764" s="353"/>
      <c r="F764" s="353"/>
      <c r="G764" s="353"/>
      <c r="H764" s="353"/>
      <c r="I764" s="354"/>
      <c r="J764" s="353"/>
    </row>
    <row r="765" spans="1:10">
      <c r="A765" s="350" t="s">
        <v>337</v>
      </c>
      <c r="B765" s="350">
        <v>15</v>
      </c>
      <c r="C765" s="352">
        <v>8.5500000000000007</v>
      </c>
      <c r="D765" s="353"/>
      <c r="E765" s="353"/>
      <c r="F765" s="353"/>
      <c r="G765" s="353"/>
      <c r="H765" s="353"/>
      <c r="I765" s="354"/>
      <c r="J765" s="353"/>
    </row>
    <row r="766" spans="1:10">
      <c r="A766" s="350" t="s">
        <v>385</v>
      </c>
      <c r="B766" s="351">
        <v>7.5</v>
      </c>
      <c r="C766" s="352">
        <v>4.05</v>
      </c>
      <c r="D766" s="353">
        <f t="shared" si="50"/>
        <v>0.89100000000000001</v>
      </c>
      <c r="E766" s="353"/>
      <c r="F766" s="353">
        <f t="shared" si="46"/>
        <v>3.645</v>
      </c>
      <c r="G766" s="353">
        <f t="shared" ref="G766:G798" si="51">C766+D766+E766+F766</f>
        <v>8.5860000000000003</v>
      </c>
      <c r="H766" s="353">
        <f t="shared" ref="H766:H798" si="52">G766*0.35</f>
        <v>3.0051000000000001</v>
      </c>
      <c r="I766" s="354">
        <f t="shared" ref="I766:I798" si="53">G766+H766</f>
        <v>11.591100000000001</v>
      </c>
      <c r="J766" s="353"/>
    </row>
    <row r="767" spans="1:10">
      <c r="A767" s="350"/>
      <c r="B767" s="351"/>
      <c r="C767" s="352"/>
      <c r="D767" s="353"/>
      <c r="E767" s="353"/>
      <c r="F767" s="353"/>
      <c r="G767" s="353"/>
      <c r="H767" s="353"/>
      <c r="I767" s="354"/>
      <c r="J767" s="353"/>
    </row>
    <row r="768" spans="1:10" ht="21">
      <c r="A768" s="345" t="s">
        <v>1270</v>
      </c>
      <c r="B768" s="346"/>
      <c r="C768" s="347">
        <f>C769+C770</f>
        <v>29.799999999999997</v>
      </c>
      <c r="D768" s="347">
        <f t="shared" si="50"/>
        <v>6.5559999999999992</v>
      </c>
      <c r="E768" s="347">
        <v>18.850000000000001</v>
      </c>
      <c r="F768" s="347">
        <f t="shared" ref="F768:F798" si="54">C768*0.9</f>
        <v>26.819999999999997</v>
      </c>
      <c r="G768" s="347">
        <f t="shared" si="51"/>
        <v>82.025999999999996</v>
      </c>
      <c r="H768" s="347">
        <f t="shared" si="52"/>
        <v>28.709099999999996</v>
      </c>
      <c r="I768" s="348">
        <f t="shared" si="53"/>
        <v>110.73509999999999</v>
      </c>
      <c r="J768" s="349">
        <f>I768+I771+I772</f>
        <v>126.18989999999999</v>
      </c>
    </row>
    <row r="769" spans="1:10">
      <c r="A769" s="350" t="s">
        <v>258</v>
      </c>
      <c r="B769" s="350">
        <v>20</v>
      </c>
      <c r="C769" s="352">
        <v>18.399999999999999</v>
      </c>
      <c r="D769" s="353"/>
      <c r="E769" s="353"/>
      <c r="F769" s="353"/>
      <c r="G769" s="353"/>
      <c r="H769" s="353"/>
      <c r="I769" s="354"/>
      <c r="J769" s="353"/>
    </row>
    <row r="770" spans="1:10">
      <c r="A770" s="350" t="s">
        <v>337</v>
      </c>
      <c r="B770" s="350">
        <v>20</v>
      </c>
      <c r="C770" s="352">
        <v>11.4</v>
      </c>
      <c r="D770" s="353"/>
      <c r="E770" s="353"/>
      <c r="F770" s="353"/>
      <c r="G770" s="353"/>
      <c r="H770" s="353"/>
      <c r="I770" s="354"/>
      <c r="J770" s="353"/>
    </row>
    <row r="771" spans="1:10">
      <c r="A771" s="350" t="s">
        <v>385</v>
      </c>
      <c r="B771" s="351">
        <v>10</v>
      </c>
      <c r="C771" s="352">
        <v>5.4</v>
      </c>
      <c r="D771" s="353">
        <f t="shared" si="50"/>
        <v>1.1880000000000002</v>
      </c>
      <c r="E771" s="353"/>
      <c r="F771" s="353">
        <f t="shared" si="54"/>
        <v>4.8600000000000003</v>
      </c>
      <c r="G771" s="353">
        <f t="shared" si="51"/>
        <v>11.448</v>
      </c>
      <c r="H771" s="353">
        <f t="shared" si="52"/>
        <v>4.0068000000000001</v>
      </c>
      <c r="I771" s="354">
        <f t="shared" si="53"/>
        <v>15.454800000000001</v>
      </c>
      <c r="J771" s="353"/>
    </row>
    <row r="772" spans="1:10">
      <c r="A772" s="350"/>
      <c r="B772" s="351"/>
      <c r="C772" s="352"/>
      <c r="D772" s="353"/>
      <c r="E772" s="353"/>
      <c r="F772" s="353"/>
      <c r="G772" s="353"/>
      <c r="H772" s="353"/>
      <c r="I772" s="354"/>
      <c r="J772" s="353"/>
    </row>
    <row r="773" spans="1:10">
      <c r="A773" s="345" t="s">
        <v>1271</v>
      </c>
      <c r="B773" s="346"/>
      <c r="C773" s="347">
        <f>C774+C775</f>
        <v>14.899999999999999</v>
      </c>
      <c r="D773" s="347">
        <f t="shared" si="50"/>
        <v>3.2779999999999996</v>
      </c>
      <c r="E773" s="347">
        <v>0.09</v>
      </c>
      <c r="F773" s="347">
        <f t="shared" si="54"/>
        <v>13.409999999999998</v>
      </c>
      <c r="G773" s="347">
        <f t="shared" si="51"/>
        <v>31.677999999999997</v>
      </c>
      <c r="H773" s="347">
        <f t="shared" si="52"/>
        <v>11.087299999999999</v>
      </c>
      <c r="I773" s="348">
        <f t="shared" si="53"/>
        <v>42.765299999999996</v>
      </c>
      <c r="J773" s="349">
        <f>I773+I776+I777</f>
        <v>50.492699999999999</v>
      </c>
    </row>
    <row r="774" spans="1:10">
      <c r="A774" s="350" t="s">
        <v>258</v>
      </c>
      <c r="B774" s="350">
        <v>10</v>
      </c>
      <c r="C774" s="352">
        <v>9.1999999999999993</v>
      </c>
      <c r="D774" s="353"/>
      <c r="E774" s="353"/>
      <c r="F774" s="353"/>
      <c r="G774" s="353"/>
      <c r="H774" s="353"/>
      <c r="I774" s="354"/>
      <c r="J774" s="353"/>
    </row>
    <row r="775" spans="1:10">
      <c r="A775" s="350" t="s">
        <v>337</v>
      </c>
      <c r="B775" s="350">
        <v>10</v>
      </c>
      <c r="C775" s="352">
        <v>5.7</v>
      </c>
      <c r="D775" s="353"/>
      <c r="E775" s="353"/>
      <c r="F775" s="353"/>
      <c r="G775" s="353"/>
      <c r="H775" s="353"/>
      <c r="I775" s="354"/>
      <c r="J775" s="353"/>
    </row>
    <row r="776" spans="1:10">
      <c r="A776" s="350" t="s">
        <v>385</v>
      </c>
      <c r="B776" s="351">
        <v>5</v>
      </c>
      <c r="C776" s="352">
        <v>2.7</v>
      </c>
      <c r="D776" s="353">
        <f t="shared" si="50"/>
        <v>0.59400000000000008</v>
      </c>
      <c r="E776" s="353"/>
      <c r="F776" s="353">
        <f t="shared" si="54"/>
        <v>2.4300000000000002</v>
      </c>
      <c r="G776" s="353">
        <f t="shared" si="51"/>
        <v>5.7240000000000002</v>
      </c>
      <c r="H776" s="353">
        <f t="shared" si="52"/>
        <v>2.0034000000000001</v>
      </c>
      <c r="I776" s="354">
        <f t="shared" si="53"/>
        <v>7.7274000000000003</v>
      </c>
      <c r="J776" s="353"/>
    </row>
    <row r="777" spans="1:10">
      <c r="A777" s="350"/>
      <c r="B777" s="351"/>
      <c r="C777" s="352"/>
      <c r="D777" s="353"/>
      <c r="E777" s="353"/>
      <c r="F777" s="353"/>
      <c r="G777" s="353"/>
      <c r="H777" s="353"/>
      <c r="I777" s="354"/>
      <c r="J777" s="353"/>
    </row>
    <row r="778" spans="1:10">
      <c r="A778" s="345" t="s">
        <v>1272</v>
      </c>
      <c r="B778" s="346"/>
      <c r="C778" s="347">
        <f>C779+C780</f>
        <v>14.899999999999999</v>
      </c>
      <c r="D778" s="347">
        <f t="shared" si="50"/>
        <v>3.2779999999999996</v>
      </c>
      <c r="E778" s="347">
        <v>18.850000000000001</v>
      </c>
      <c r="F778" s="347">
        <f t="shared" si="54"/>
        <v>13.409999999999998</v>
      </c>
      <c r="G778" s="347">
        <f t="shared" si="51"/>
        <v>50.437999999999995</v>
      </c>
      <c r="H778" s="347">
        <f t="shared" si="52"/>
        <v>17.653299999999998</v>
      </c>
      <c r="I778" s="348">
        <f t="shared" si="53"/>
        <v>68.09129999999999</v>
      </c>
      <c r="J778" s="349">
        <f>I778+I781+I782</f>
        <v>75.818699999999993</v>
      </c>
    </row>
    <row r="779" spans="1:10">
      <c r="A779" s="350" t="s">
        <v>258</v>
      </c>
      <c r="B779" s="350">
        <v>10</v>
      </c>
      <c r="C779" s="352">
        <v>9.1999999999999993</v>
      </c>
      <c r="D779" s="353"/>
      <c r="E779" s="353"/>
      <c r="F779" s="353"/>
      <c r="G779" s="353"/>
      <c r="H779" s="353"/>
      <c r="I779" s="354"/>
      <c r="J779" s="355"/>
    </row>
    <row r="780" spans="1:10">
      <c r="A780" s="350" t="s">
        <v>337</v>
      </c>
      <c r="B780" s="350">
        <v>10</v>
      </c>
      <c r="C780" s="352">
        <v>5.7</v>
      </c>
      <c r="D780" s="353"/>
      <c r="E780" s="353"/>
      <c r="F780" s="353"/>
      <c r="G780" s="353"/>
      <c r="H780" s="353"/>
      <c r="I780" s="354"/>
      <c r="J780" s="355"/>
    </row>
    <row r="781" spans="1:10">
      <c r="A781" s="350" t="s">
        <v>385</v>
      </c>
      <c r="B781" s="351">
        <v>5</v>
      </c>
      <c r="C781" s="352">
        <v>2.7</v>
      </c>
      <c r="D781" s="353">
        <f t="shared" si="50"/>
        <v>0.59400000000000008</v>
      </c>
      <c r="E781" s="353"/>
      <c r="F781" s="353">
        <f t="shared" si="54"/>
        <v>2.4300000000000002</v>
      </c>
      <c r="G781" s="353">
        <f t="shared" si="51"/>
        <v>5.7240000000000002</v>
      </c>
      <c r="H781" s="353">
        <f t="shared" si="52"/>
        <v>2.0034000000000001</v>
      </c>
      <c r="I781" s="354">
        <f t="shared" si="53"/>
        <v>7.7274000000000003</v>
      </c>
      <c r="J781" s="355"/>
    </row>
    <row r="782" spans="1:10">
      <c r="A782" s="350"/>
      <c r="B782" s="351"/>
      <c r="C782" s="352"/>
      <c r="D782" s="353"/>
      <c r="E782" s="353"/>
      <c r="F782" s="353"/>
      <c r="G782" s="353"/>
      <c r="H782" s="353"/>
      <c r="I782" s="354"/>
      <c r="J782" s="355"/>
    </row>
    <row r="783" spans="1:10" ht="21">
      <c r="A783" s="345" t="s">
        <v>1273</v>
      </c>
      <c r="B783" s="346"/>
      <c r="C783" s="347">
        <f>C784+C785</f>
        <v>14.899999999999999</v>
      </c>
      <c r="D783" s="347">
        <f t="shared" si="50"/>
        <v>3.2779999999999996</v>
      </c>
      <c r="E783" s="347">
        <v>0.09</v>
      </c>
      <c r="F783" s="347">
        <f t="shared" si="54"/>
        <v>13.409999999999998</v>
      </c>
      <c r="G783" s="347">
        <f t="shared" si="51"/>
        <v>31.677999999999997</v>
      </c>
      <c r="H783" s="347">
        <f t="shared" si="52"/>
        <v>11.087299999999999</v>
      </c>
      <c r="I783" s="348">
        <f t="shared" si="53"/>
        <v>42.765299999999996</v>
      </c>
      <c r="J783" s="349">
        <f>I783+I786+I787</f>
        <v>50.492699999999999</v>
      </c>
    </row>
    <row r="784" spans="1:10">
      <c r="A784" s="350" t="s">
        <v>258</v>
      </c>
      <c r="B784" s="350">
        <v>10</v>
      </c>
      <c r="C784" s="352">
        <v>9.1999999999999993</v>
      </c>
      <c r="D784" s="353"/>
      <c r="E784" s="357"/>
      <c r="F784" s="353"/>
      <c r="G784" s="353"/>
      <c r="H784" s="353"/>
      <c r="I784" s="354"/>
      <c r="J784" s="353"/>
    </row>
    <row r="785" spans="1:10">
      <c r="A785" s="350" t="s">
        <v>337</v>
      </c>
      <c r="B785" s="350">
        <v>10</v>
      </c>
      <c r="C785" s="352">
        <v>5.7</v>
      </c>
      <c r="D785" s="353"/>
      <c r="E785" s="353"/>
      <c r="F785" s="353"/>
      <c r="G785" s="353"/>
      <c r="H785" s="353"/>
      <c r="I785" s="354"/>
      <c r="J785" s="353"/>
    </row>
    <row r="786" spans="1:10">
      <c r="A786" s="350" t="s">
        <v>385</v>
      </c>
      <c r="B786" s="351">
        <v>5</v>
      </c>
      <c r="C786" s="352">
        <v>2.7</v>
      </c>
      <c r="D786" s="353">
        <f t="shared" ref="D786:D806" si="55">C786*0.22</f>
        <v>0.59400000000000008</v>
      </c>
      <c r="E786" s="353"/>
      <c r="F786" s="353">
        <f t="shared" si="54"/>
        <v>2.4300000000000002</v>
      </c>
      <c r="G786" s="353">
        <f t="shared" si="51"/>
        <v>5.7240000000000002</v>
      </c>
      <c r="H786" s="353">
        <f t="shared" si="52"/>
        <v>2.0034000000000001</v>
      </c>
      <c r="I786" s="354">
        <f t="shared" si="53"/>
        <v>7.7274000000000003</v>
      </c>
      <c r="J786" s="353"/>
    </row>
    <row r="787" spans="1:10">
      <c r="A787" s="350"/>
      <c r="B787" s="351"/>
      <c r="C787" s="352"/>
      <c r="D787" s="353"/>
      <c r="E787" s="353"/>
      <c r="F787" s="353"/>
      <c r="G787" s="353"/>
      <c r="H787" s="353"/>
      <c r="I787" s="354"/>
      <c r="J787" s="353"/>
    </row>
    <row r="788" spans="1:10">
      <c r="A788" s="345" t="s">
        <v>1274</v>
      </c>
      <c r="B788" s="346"/>
      <c r="C788" s="347">
        <f>C789+C790</f>
        <v>14.899999999999999</v>
      </c>
      <c r="D788" s="347">
        <f t="shared" si="55"/>
        <v>3.2779999999999996</v>
      </c>
      <c r="E788" s="347">
        <v>0.09</v>
      </c>
      <c r="F788" s="347">
        <f t="shared" si="54"/>
        <v>13.409999999999998</v>
      </c>
      <c r="G788" s="347">
        <f t="shared" si="51"/>
        <v>31.677999999999997</v>
      </c>
      <c r="H788" s="347">
        <f t="shared" si="52"/>
        <v>11.087299999999999</v>
      </c>
      <c r="I788" s="348">
        <f t="shared" si="53"/>
        <v>42.765299999999996</v>
      </c>
      <c r="J788" s="349">
        <f>I788+I791+I792</f>
        <v>50.492699999999999</v>
      </c>
    </row>
    <row r="789" spans="1:10">
      <c r="A789" s="350" t="s">
        <v>258</v>
      </c>
      <c r="B789" s="350">
        <v>10</v>
      </c>
      <c r="C789" s="352">
        <v>9.1999999999999993</v>
      </c>
      <c r="D789" s="353"/>
      <c r="E789" s="353"/>
      <c r="F789" s="353"/>
      <c r="G789" s="353"/>
      <c r="H789" s="353"/>
      <c r="I789" s="354"/>
      <c r="J789" s="353"/>
    </row>
    <row r="790" spans="1:10">
      <c r="A790" s="350" t="s">
        <v>337</v>
      </c>
      <c r="B790" s="350">
        <v>10</v>
      </c>
      <c r="C790" s="352">
        <v>5.7</v>
      </c>
      <c r="D790" s="353"/>
      <c r="E790" s="353"/>
      <c r="F790" s="353"/>
      <c r="G790" s="353"/>
      <c r="H790" s="353"/>
      <c r="I790" s="354"/>
      <c r="J790" s="353"/>
    </row>
    <row r="791" spans="1:10">
      <c r="A791" s="350" t="s">
        <v>385</v>
      </c>
      <c r="B791" s="351">
        <v>5</v>
      </c>
      <c r="C791" s="352">
        <v>2.7</v>
      </c>
      <c r="D791" s="353">
        <f t="shared" si="55"/>
        <v>0.59400000000000008</v>
      </c>
      <c r="E791" s="353"/>
      <c r="F791" s="353">
        <f t="shared" si="54"/>
        <v>2.4300000000000002</v>
      </c>
      <c r="G791" s="353">
        <f t="shared" si="51"/>
        <v>5.7240000000000002</v>
      </c>
      <c r="H791" s="353">
        <f t="shared" si="52"/>
        <v>2.0034000000000001</v>
      </c>
      <c r="I791" s="354">
        <f t="shared" si="53"/>
        <v>7.7274000000000003</v>
      </c>
      <c r="J791" s="353"/>
    </row>
    <row r="792" spans="1:10">
      <c r="A792" s="350"/>
      <c r="B792" s="351"/>
      <c r="C792" s="352"/>
      <c r="D792" s="353"/>
      <c r="E792" s="353"/>
      <c r="F792" s="353"/>
      <c r="G792" s="353"/>
      <c r="H792" s="353"/>
      <c r="I792" s="354"/>
      <c r="J792" s="353"/>
    </row>
    <row r="793" spans="1:10">
      <c r="A793" s="345" t="s">
        <v>1275</v>
      </c>
      <c r="B793" s="346"/>
      <c r="C793" s="347">
        <f>C794+C795</f>
        <v>14.899999999999999</v>
      </c>
      <c r="D793" s="347">
        <f t="shared" si="55"/>
        <v>3.2779999999999996</v>
      </c>
      <c r="E793" s="347">
        <v>1.34</v>
      </c>
      <c r="F793" s="347">
        <f t="shared" si="54"/>
        <v>13.409999999999998</v>
      </c>
      <c r="G793" s="347">
        <f t="shared" si="51"/>
        <v>32.927999999999997</v>
      </c>
      <c r="H793" s="347">
        <f t="shared" si="52"/>
        <v>11.524799999999999</v>
      </c>
      <c r="I793" s="348">
        <f t="shared" si="53"/>
        <v>44.452799999999996</v>
      </c>
      <c r="J793" s="349">
        <f>I793+I796+I797</f>
        <v>52.180199999999999</v>
      </c>
    </row>
    <row r="794" spans="1:10">
      <c r="A794" s="350" t="s">
        <v>258</v>
      </c>
      <c r="B794" s="350">
        <v>10</v>
      </c>
      <c r="C794" s="352">
        <v>9.1999999999999993</v>
      </c>
      <c r="D794" s="353"/>
      <c r="E794" s="353"/>
      <c r="F794" s="353"/>
      <c r="G794" s="353"/>
      <c r="H794" s="353"/>
      <c r="I794" s="354"/>
      <c r="J794" s="353"/>
    </row>
    <row r="795" spans="1:10">
      <c r="A795" s="350" t="s">
        <v>337</v>
      </c>
      <c r="B795" s="350">
        <v>10</v>
      </c>
      <c r="C795" s="352">
        <v>5.7</v>
      </c>
      <c r="D795" s="353"/>
      <c r="E795" s="353"/>
      <c r="F795" s="353"/>
      <c r="G795" s="353"/>
      <c r="H795" s="353"/>
      <c r="I795" s="354"/>
      <c r="J795" s="353"/>
    </row>
    <row r="796" spans="1:10">
      <c r="A796" s="350" t="s">
        <v>385</v>
      </c>
      <c r="B796" s="351">
        <v>5</v>
      </c>
      <c r="C796" s="352">
        <v>2.7</v>
      </c>
      <c r="D796" s="353">
        <f t="shared" si="55"/>
        <v>0.59400000000000008</v>
      </c>
      <c r="E796" s="353"/>
      <c r="F796" s="353">
        <f t="shared" si="54"/>
        <v>2.4300000000000002</v>
      </c>
      <c r="G796" s="353">
        <f t="shared" si="51"/>
        <v>5.7240000000000002</v>
      </c>
      <c r="H796" s="353">
        <f t="shared" si="52"/>
        <v>2.0034000000000001</v>
      </c>
      <c r="I796" s="354">
        <f t="shared" si="53"/>
        <v>7.7274000000000003</v>
      </c>
      <c r="J796" s="353"/>
    </row>
    <row r="797" spans="1:10">
      <c r="A797" s="350"/>
      <c r="B797" s="351"/>
      <c r="C797" s="352"/>
      <c r="D797" s="353"/>
      <c r="E797" s="353"/>
      <c r="F797" s="353"/>
      <c r="G797" s="353"/>
      <c r="H797" s="353"/>
      <c r="I797" s="354"/>
      <c r="J797" s="353"/>
    </row>
    <row r="798" spans="1:10">
      <c r="A798" s="345" t="s">
        <v>1276</v>
      </c>
      <c r="B798" s="346"/>
      <c r="C798" s="347">
        <f>C799+C800</f>
        <v>22.35</v>
      </c>
      <c r="D798" s="347">
        <f t="shared" si="55"/>
        <v>4.9170000000000007</v>
      </c>
      <c r="E798" s="347">
        <v>0.09</v>
      </c>
      <c r="F798" s="347">
        <f t="shared" si="54"/>
        <v>20.115000000000002</v>
      </c>
      <c r="G798" s="347">
        <f t="shared" si="51"/>
        <v>47.472000000000008</v>
      </c>
      <c r="H798" s="347">
        <f t="shared" si="52"/>
        <v>16.615200000000002</v>
      </c>
      <c r="I798" s="348">
        <f t="shared" si="53"/>
        <v>64.08720000000001</v>
      </c>
      <c r="J798" s="349">
        <f>I798+I801+I802</f>
        <v>75.678300000000007</v>
      </c>
    </row>
    <row r="799" spans="1:10">
      <c r="A799" s="350" t="s">
        <v>258</v>
      </c>
      <c r="B799" s="350">
        <v>15</v>
      </c>
      <c r="C799" s="352">
        <v>13.8</v>
      </c>
      <c r="D799" s="353"/>
      <c r="E799" s="353"/>
      <c r="F799" s="353"/>
      <c r="G799" s="353"/>
      <c r="H799" s="353"/>
      <c r="I799" s="354"/>
      <c r="J799" s="353"/>
    </row>
    <row r="800" spans="1:10">
      <c r="A800" s="350" t="s">
        <v>337</v>
      </c>
      <c r="B800" s="350">
        <v>15</v>
      </c>
      <c r="C800" s="352">
        <v>8.5500000000000007</v>
      </c>
      <c r="D800" s="353"/>
      <c r="E800" s="353"/>
      <c r="F800" s="353"/>
      <c r="G800" s="353"/>
      <c r="H800" s="353"/>
      <c r="I800" s="354"/>
      <c r="J800" s="353"/>
    </row>
    <row r="801" spans="1:10">
      <c r="A801" s="350" t="s">
        <v>385</v>
      </c>
      <c r="B801" s="351">
        <v>7.5</v>
      </c>
      <c r="C801" s="352">
        <v>4.05</v>
      </c>
      <c r="D801" s="353">
        <f t="shared" si="55"/>
        <v>0.89100000000000001</v>
      </c>
      <c r="E801" s="353"/>
      <c r="F801" s="353">
        <f t="shared" ref="F801:F806" si="56">C801*0.9</f>
        <v>3.645</v>
      </c>
      <c r="G801" s="353">
        <f t="shared" ref="G801:G806" si="57">C801+D801+E801+F801</f>
        <v>8.5860000000000003</v>
      </c>
      <c r="H801" s="353">
        <f t="shared" ref="H801:H806" si="58">G801*0.35</f>
        <v>3.0051000000000001</v>
      </c>
      <c r="I801" s="354">
        <f t="shared" ref="I801:I806" si="59">G801+H801</f>
        <v>11.591100000000001</v>
      </c>
      <c r="J801" s="353"/>
    </row>
    <row r="802" spans="1:10">
      <c r="A802" s="350"/>
      <c r="B802" s="351"/>
      <c r="C802" s="352"/>
      <c r="D802" s="353"/>
      <c r="E802" s="353"/>
      <c r="F802" s="353"/>
      <c r="G802" s="353"/>
      <c r="H802" s="353"/>
      <c r="I802" s="354"/>
      <c r="J802" s="353"/>
    </row>
    <row r="803" spans="1:10">
      <c r="A803" s="345" t="s">
        <v>1277</v>
      </c>
      <c r="B803" s="346"/>
      <c r="C803" s="347">
        <f>C804+C805</f>
        <v>29.799999999999997</v>
      </c>
      <c r="D803" s="347">
        <f t="shared" si="55"/>
        <v>6.5559999999999992</v>
      </c>
      <c r="E803" s="347">
        <v>0.09</v>
      </c>
      <c r="F803" s="347">
        <f t="shared" si="56"/>
        <v>26.819999999999997</v>
      </c>
      <c r="G803" s="347">
        <f t="shared" si="57"/>
        <v>63.265999999999991</v>
      </c>
      <c r="H803" s="347">
        <f t="shared" si="58"/>
        <v>22.143099999999997</v>
      </c>
      <c r="I803" s="348">
        <f t="shared" si="59"/>
        <v>85.409099999999995</v>
      </c>
      <c r="J803" s="349">
        <f>I803+I806</f>
        <v>100.8639</v>
      </c>
    </row>
    <row r="804" spans="1:10">
      <c r="A804" s="350" t="s">
        <v>258</v>
      </c>
      <c r="B804" s="350">
        <v>20</v>
      </c>
      <c r="C804" s="352">
        <v>18.399999999999999</v>
      </c>
      <c r="D804" s="353"/>
      <c r="E804" s="353"/>
      <c r="F804" s="353"/>
      <c r="G804" s="353"/>
      <c r="H804" s="353"/>
      <c r="I804" s="354"/>
      <c r="J804" s="353"/>
    </row>
    <row r="805" spans="1:10">
      <c r="A805" s="350" t="s">
        <v>337</v>
      </c>
      <c r="B805" s="350">
        <v>20</v>
      </c>
      <c r="C805" s="352">
        <v>11.4</v>
      </c>
      <c r="D805" s="353"/>
      <c r="E805" s="353"/>
      <c r="F805" s="353"/>
      <c r="G805" s="353"/>
      <c r="H805" s="353"/>
      <c r="I805" s="354"/>
      <c r="J805" s="353"/>
    </row>
    <row r="806" spans="1:10">
      <c r="A806" s="350" t="s">
        <v>385</v>
      </c>
      <c r="B806" s="351">
        <v>10</v>
      </c>
      <c r="C806" s="352">
        <v>5.4</v>
      </c>
      <c r="D806" s="353">
        <f t="shared" si="55"/>
        <v>1.1880000000000002</v>
      </c>
      <c r="E806" s="353"/>
      <c r="F806" s="353">
        <f t="shared" si="56"/>
        <v>4.8600000000000003</v>
      </c>
      <c r="G806" s="353">
        <f t="shared" si="57"/>
        <v>11.448</v>
      </c>
      <c r="H806" s="353">
        <f t="shared" si="58"/>
        <v>4.0068000000000001</v>
      </c>
      <c r="I806" s="354">
        <f t="shared" si="59"/>
        <v>15.454800000000001</v>
      </c>
      <c r="J806" s="353"/>
    </row>
    <row r="807" spans="1:10">
      <c r="A807" s="350"/>
      <c r="B807" s="351"/>
      <c r="C807" s="352"/>
      <c r="D807" s="353"/>
      <c r="E807" s="353"/>
      <c r="F807" s="353"/>
      <c r="G807" s="353"/>
      <c r="H807" s="353"/>
      <c r="I807" s="354"/>
      <c r="J807" s="353"/>
    </row>
    <row r="808" spans="1:10">
      <c r="A808" s="345" t="s">
        <v>1278</v>
      </c>
      <c r="B808" s="346"/>
      <c r="C808" s="347">
        <f>C809+C810</f>
        <v>29.799999999999997</v>
      </c>
      <c r="D808" s="347">
        <f t="shared" ref="D808" si="60">C808*0.22</f>
        <v>6.5559999999999992</v>
      </c>
      <c r="E808" s="347">
        <v>0.09</v>
      </c>
      <c r="F808" s="347">
        <f t="shared" ref="F808" si="61">C808*0.9</f>
        <v>26.819999999999997</v>
      </c>
      <c r="G808" s="347">
        <f t="shared" ref="G808" si="62">C808+D808+E808+F808</f>
        <v>63.265999999999991</v>
      </c>
      <c r="H808" s="347">
        <f t="shared" ref="H808" si="63">G808*0.35</f>
        <v>22.143099999999997</v>
      </c>
      <c r="I808" s="348">
        <f t="shared" ref="I808" si="64">G808+H808</f>
        <v>85.409099999999995</v>
      </c>
      <c r="J808" s="349">
        <f>I808+I811+I837</f>
        <v>147.22829999999999</v>
      </c>
    </row>
    <row r="809" spans="1:10">
      <c r="A809" s="350" t="s">
        <v>258</v>
      </c>
      <c r="B809" s="350">
        <v>20</v>
      </c>
      <c r="C809" s="352">
        <v>18.399999999999999</v>
      </c>
      <c r="D809" s="353"/>
      <c r="E809" s="353"/>
      <c r="F809" s="353"/>
      <c r="G809" s="353"/>
      <c r="H809" s="353"/>
      <c r="I809" s="354"/>
      <c r="J809" s="355"/>
    </row>
    <row r="810" spans="1:10">
      <c r="A810" s="350" t="s">
        <v>337</v>
      </c>
      <c r="B810" s="350">
        <v>20</v>
      </c>
      <c r="C810" s="352">
        <v>11.4</v>
      </c>
      <c r="D810" s="353"/>
      <c r="E810" s="353"/>
      <c r="F810" s="353"/>
      <c r="G810" s="353"/>
      <c r="H810" s="353"/>
      <c r="I810" s="354"/>
      <c r="J810" s="355"/>
    </row>
    <row r="811" spans="1:10">
      <c r="A811" s="350" t="s">
        <v>385</v>
      </c>
      <c r="B811" s="351">
        <v>10</v>
      </c>
      <c r="C811" s="352">
        <v>5.4</v>
      </c>
      <c r="D811" s="353">
        <f t="shared" ref="D811" si="65">C811*0.22</f>
        <v>1.1880000000000002</v>
      </c>
      <c r="E811" s="353"/>
      <c r="F811" s="353">
        <f t="shared" ref="F811" si="66">C811*0.9</f>
        <v>4.8600000000000003</v>
      </c>
      <c r="G811" s="353">
        <f t="shared" ref="G811" si="67">C811+D811+E811+F811</f>
        <v>11.448</v>
      </c>
      <c r="H811" s="353">
        <f t="shared" ref="H811" si="68">G811*0.35</f>
        <v>4.0068000000000001</v>
      </c>
      <c r="I811" s="354">
        <f t="shared" ref="I811" si="69">G811+H811</f>
        <v>15.454800000000001</v>
      </c>
      <c r="J811" s="355"/>
    </row>
    <row r="812" spans="1:10">
      <c r="A812" s="350"/>
      <c r="B812" s="351"/>
      <c r="C812" s="352"/>
      <c r="D812" s="353"/>
      <c r="E812" s="353"/>
      <c r="F812" s="353"/>
      <c r="G812" s="353"/>
      <c r="H812" s="353"/>
      <c r="I812" s="354"/>
      <c r="J812" s="355"/>
    </row>
    <row r="813" spans="1:10">
      <c r="A813" s="345" t="s">
        <v>1279</v>
      </c>
      <c r="B813" s="346"/>
      <c r="C813" s="347">
        <f>C814+C815</f>
        <v>29.799999999999997</v>
      </c>
      <c r="D813" s="347">
        <f t="shared" ref="D813" si="70">C813*0.22</f>
        <v>6.5559999999999992</v>
      </c>
      <c r="E813" s="347">
        <v>0.09</v>
      </c>
      <c r="F813" s="347">
        <f t="shared" ref="F813" si="71">C813*0.9</f>
        <v>26.819999999999997</v>
      </c>
      <c r="G813" s="347">
        <f t="shared" ref="G813" si="72">C813+D813+E813+F813</f>
        <v>63.265999999999991</v>
      </c>
      <c r="H813" s="347">
        <f t="shared" ref="H813" si="73">G813*0.35</f>
        <v>22.143099999999997</v>
      </c>
      <c r="I813" s="348">
        <f t="shared" ref="I813" si="74">G813+H813</f>
        <v>85.409099999999995</v>
      </c>
      <c r="J813" s="349">
        <f>I813+I816+I842</f>
        <v>108.5913</v>
      </c>
    </row>
    <row r="814" spans="1:10">
      <c r="A814" s="350" t="s">
        <v>258</v>
      </c>
      <c r="B814" s="350">
        <v>20</v>
      </c>
      <c r="C814" s="352">
        <v>18.399999999999999</v>
      </c>
      <c r="D814" s="353"/>
      <c r="E814" s="353"/>
      <c r="F814" s="353"/>
      <c r="G814" s="353"/>
      <c r="H814" s="353"/>
      <c r="I814" s="354"/>
      <c r="J814" s="353"/>
    </row>
    <row r="815" spans="1:10">
      <c r="A815" s="350" t="s">
        <v>337</v>
      </c>
      <c r="B815" s="350">
        <v>20</v>
      </c>
      <c r="C815" s="352">
        <v>11.4</v>
      </c>
      <c r="D815" s="353"/>
      <c r="E815" s="353"/>
      <c r="F815" s="353"/>
      <c r="G815" s="353"/>
      <c r="H815" s="353"/>
      <c r="I815" s="354"/>
      <c r="J815" s="353"/>
    </row>
    <row r="816" spans="1:10">
      <c r="A816" s="350" t="s">
        <v>385</v>
      </c>
      <c r="B816" s="351">
        <v>10</v>
      </c>
      <c r="C816" s="352">
        <v>5.4</v>
      </c>
      <c r="D816" s="353">
        <f t="shared" ref="D816" si="75">C816*0.22</f>
        <v>1.1880000000000002</v>
      </c>
      <c r="E816" s="353"/>
      <c r="F816" s="353">
        <f t="shared" ref="F816" si="76">C816*0.9</f>
        <v>4.8600000000000003</v>
      </c>
      <c r="G816" s="353">
        <f t="shared" ref="G816" si="77">C816+D816+E816+F816</f>
        <v>11.448</v>
      </c>
      <c r="H816" s="353">
        <f t="shared" ref="H816" si="78">G816*0.35</f>
        <v>4.0068000000000001</v>
      </c>
      <c r="I816" s="354">
        <f t="shared" ref="I816" si="79">G816+H816</f>
        <v>15.454800000000001</v>
      </c>
      <c r="J816" s="353"/>
    </row>
    <row r="817" spans="1:10">
      <c r="A817" s="350"/>
      <c r="B817" s="351"/>
      <c r="C817" s="352"/>
      <c r="D817" s="353"/>
      <c r="E817" s="353"/>
      <c r="F817" s="353"/>
      <c r="G817" s="353"/>
      <c r="H817" s="353"/>
      <c r="I817" s="354"/>
      <c r="J817" s="353"/>
    </row>
    <row r="818" spans="1:10">
      <c r="A818" s="345" t="s">
        <v>1280</v>
      </c>
      <c r="B818" s="346"/>
      <c r="C818" s="347">
        <f>C819+C820</f>
        <v>22.35</v>
      </c>
      <c r="D818" s="347">
        <f t="shared" ref="D818" si="80">C818*0.22</f>
        <v>4.9170000000000007</v>
      </c>
      <c r="E818" s="347">
        <v>0.09</v>
      </c>
      <c r="F818" s="347">
        <f t="shared" ref="F818" si="81">C818*0.9</f>
        <v>20.115000000000002</v>
      </c>
      <c r="G818" s="347">
        <f t="shared" ref="G818" si="82">C818+D818+E818+F818</f>
        <v>47.472000000000008</v>
      </c>
      <c r="H818" s="347">
        <f t="shared" ref="H818" si="83">G818*0.35</f>
        <v>16.615200000000002</v>
      </c>
      <c r="I818" s="348">
        <f t="shared" ref="I818" si="84">G818+H818</f>
        <v>64.08720000000001</v>
      </c>
      <c r="J818" s="349">
        <f>I818+I821+I822</f>
        <v>75.678300000000007</v>
      </c>
    </row>
    <row r="819" spans="1:10">
      <c r="A819" s="350" t="s">
        <v>258</v>
      </c>
      <c r="B819" s="350">
        <v>15</v>
      </c>
      <c r="C819" s="352">
        <v>13.8</v>
      </c>
      <c r="D819" s="353"/>
      <c r="E819" s="353"/>
      <c r="F819" s="353"/>
      <c r="G819" s="353"/>
      <c r="H819" s="353"/>
      <c r="I819" s="354"/>
      <c r="J819" s="353"/>
    </row>
    <row r="820" spans="1:10">
      <c r="A820" s="350" t="s">
        <v>337</v>
      </c>
      <c r="B820" s="350">
        <v>15</v>
      </c>
      <c r="C820" s="352">
        <v>8.5500000000000007</v>
      </c>
      <c r="D820" s="353"/>
      <c r="E820" s="353"/>
      <c r="F820" s="353"/>
      <c r="G820" s="353"/>
      <c r="H820" s="353"/>
      <c r="I820" s="354"/>
      <c r="J820" s="353"/>
    </row>
    <row r="821" spans="1:10">
      <c r="A821" s="350" t="s">
        <v>385</v>
      </c>
      <c r="B821" s="351">
        <v>7.5</v>
      </c>
      <c r="C821" s="352">
        <v>4.05</v>
      </c>
      <c r="D821" s="353">
        <f t="shared" ref="D821" si="85">C821*0.22</f>
        <v>0.89100000000000001</v>
      </c>
      <c r="E821" s="353"/>
      <c r="F821" s="353">
        <f t="shared" ref="F821" si="86">C821*0.9</f>
        <v>3.645</v>
      </c>
      <c r="G821" s="353">
        <f t="shared" ref="G821" si="87">C821+D821+E821+F821</f>
        <v>8.5860000000000003</v>
      </c>
      <c r="H821" s="353">
        <f t="shared" ref="H821" si="88">G821*0.35</f>
        <v>3.0051000000000001</v>
      </c>
      <c r="I821" s="354">
        <f t="shared" ref="I821" si="89">G821+H821</f>
        <v>11.591100000000001</v>
      </c>
      <c r="J821" s="353"/>
    </row>
    <row r="822" spans="1:10">
      <c r="A822" s="350"/>
      <c r="B822" s="351"/>
      <c r="C822" s="352"/>
      <c r="D822" s="353"/>
      <c r="E822" s="353"/>
      <c r="F822" s="353"/>
      <c r="G822" s="353"/>
      <c r="H822" s="353"/>
      <c r="I822" s="354"/>
      <c r="J822" s="353"/>
    </row>
    <row r="823" spans="1:10">
      <c r="A823" s="345" t="s">
        <v>1281</v>
      </c>
      <c r="B823" s="346"/>
      <c r="C823" s="347">
        <f>C824+C825</f>
        <v>14.899999999999999</v>
      </c>
      <c r="D823" s="347">
        <f t="shared" ref="D823" si="90">C823*0.22</f>
        <v>3.2779999999999996</v>
      </c>
      <c r="E823" s="347">
        <v>0.09</v>
      </c>
      <c r="F823" s="347">
        <f t="shared" ref="F823" si="91">C823*0.9</f>
        <v>13.409999999999998</v>
      </c>
      <c r="G823" s="347">
        <f t="shared" ref="G823" si="92">C823+D823+E823+F823</f>
        <v>31.677999999999997</v>
      </c>
      <c r="H823" s="347">
        <f t="shared" ref="H823" si="93">G823*0.35</f>
        <v>11.087299999999999</v>
      </c>
      <c r="I823" s="348">
        <f t="shared" ref="I823" si="94">G823+H823</f>
        <v>42.765299999999996</v>
      </c>
      <c r="J823" s="349">
        <f>I823+I826+I827</f>
        <v>50.492699999999999</v>
      </c>
    </row>
    <row r="824" spans="1:10">
      <c r="A824" s="350" t="s">
        <v>258</v>
      </c>
      <c r="B824" s="350">
        <v>10</v>
      </c>
      <c r="C824" s="352">
        <v>9.1999999999999993</v>
      </c>
      <c r="D824" s="353"/>
      <c r="E824" s="353"/>
      <c r="F824" s="353"/>
      <c r="G824" s="353"/>
      <c r="H824" s="353"/>
      <c r="I824" s="354"/>
      <c r="J824" s="353"/>
    </row>
    <row r="825" spans="1:10">
      <c r="A825" s="350" t="s">
        <v>337</v>
      </c>
      <c r="B825" s="350">
        <v>10</v>
      </c>
      <c r="C825" s="352">
        <v>5.7</v>
      </c>
      <c r="D825" s="353"/>
      <c r="E825" s="353"/>
      <c r="F825" s="353"/>
      <c r="G825" s="353"/>
      <c r="H825" s="353"/>
      <c r="I825" s="354"/>
      <c r="J825" s="353"/>
    </row>
    <row r="826" spans="1:10">
      <c r="A826" s="350" t="s">
        <v>385</v>
      </c>
      <c r="B826" s="351">
        <v>5</v>
      </c>
      <c r="C826" s="352">
        <v>2.7</v>
      </c>
      <c r="D826" s="353">
        <f t="shared" ref="D826" si="95">C826*0.22</f>
        <v>0.59400000000000008</v>
      </c>
      <c r="E826" s="353"/>
      <c r="F826" s="353">
        <f t="shared" ref="F826" si="96">C826*0.9</f>
        <v>2.4300000000000002</v>
      </c>
      <c r="G826" s="353">
        <f t="shared" ref="G826" si="97">C826+D826+E826+F826</f>
        <v>5.7240000000000002</v>
      </c>
      <c r="H826" s="353">
        <f t="shared" ref="H826" si="98">G826*0.35</f>
        <v>2.0034000000000001</v>
      </c>
      <c r="I826" s="354">
        <f t="shared" ref="I826" si="99">G826+H826</f>
        <v>7.7274000000000003</v>
      </c>
      <c r="J826" s="353"/>
    </row>
    <row r="827" spans="1:10">
      <c r="A827" s="350"/>
      <c r="B827" s="351"/>
      <c r="C827" s="352"/>
      <c r="D827" s="353"/>
      <c r="E827" s="353"/>
      <c r="F827" s="353"/>
      <c r="G827" s="353"/>
      <c r="H827" s="353"/>
      <c r="I827" s="354"/>
      <c r="J827" s="353"/>
    </row>
    <row r="828" spans="1:10">
      <c r="A828" s="345" t="s">
        <v>1282</v>
      </c>
      <c r="B828" s="346"/>
      <c r="C828" s="347">
        <f>C829+C830</f>
        <v>44.7</v>
      </c>
      <c r="D828" s="347">
        <f t="shared" ref="D828" si="100">C828*0.22</f>
        <v>9.8340000000000014</v>
      </c>
      <c r="E828" s="347">
        <v>0.09</v>
      </c>
      <c r="F828" s="347">
        <f t="shared" ref="F828" si="101">C828*0.9</f>
        <v>40.230000000000004</v>
      </c>
      <c r="G828" s="347">
        <f t="shared" ref="G828" si="102">C828+D828+E828+F828</f>
        <v>94.854000000000013</v>
      </c>
      <c r="H828" s="347">
        <f t="shared" ref="H828" si="103">G828*0.35</f>
        <v>33.198900000000002</v>
      </c>
      <c r="I828" s="348">
        <f t="shared" ref="I828" si="104">G828+H828</f>
        <v>128.05290000000002</v>
      </c>
      <c r="J828" s="349">
        <f>I828+I831+I857</f>
        <v>158.96250000000001</v>
      </c>
    </row>
    <row r="829" spans="1:10">
      <c r="A829" s="350" t="s">
        <v>258</v>
      </c>
      <c r="B829" s="350">
        <v>30</v>
      </c>
      <c r="C829" s="352">
        <v>27.6</v>
      </c>
      <c r="D829" s="353"/>
      <c r="E829" s="353"/>
      <c r="F829" s="353"/>
      <c r="G829" s="353"/>
      <c r="H829" s="353"/>
      <c r="I829" s="354"/>
      <c r="J829" s="355"/>
    </row>
    <row r="830" spans="1:10">
      <c r="A830" s="350" t="s">
        <v>337</v>
      </c>
      <c r="B830" s="350">
        <v>30</v>
      </c>
      <c r="C830" s="352">
        <v>17.100000000000001</v>
      </c>
      <c r="D830" s="353"/>
      <c r="E830" s="353"/>
      <c r="F830" s="353"/>
      <c r="G830" s="353"/>
      <c r="H830" s="353"/>
      <c r="I830" s="354"/>
      <c r="J830" s="355"/>
    </row>
    <row r="831" spans="1:10">
      <c r="A831" s="350" t="s">
        <v>385</v>
      </c>
      <c r="B831" s="351">
        <v>15</v>
      </c>
      <c r="C831" s="352">
        <v>8.1</v>
      </c>
      <c r="D831" s="353">
        <f t="shared" ref="D831" si="105">C831*0.22</f>
        <v>1.782</v>
      </c>
      <c r="E831" s="353"/>
      <c r="F831" s="353">
        <f t="shared" ref="F831" si="106">C831*0.9</f>
        <v>7.29</v>
      </c>
      <c r="G831" s="353">
        <f t="shared" ref="G831" si="107">C831+D831+E831+F831</f>
        <v>17.172000000000001</v>
      </c>
      <c r="H831" s="353">
        <f t="shared" ref="H831" si="108">G831*0.35</f>
        <v>6.0102000000000002</v>
      </c>
      <c r="I831" s="354">
        <f t="shared" ref="I831" si="109">G831+H831</f>
        <v>23.182200000000002</v>
      </c>
      <c r="J831" s="355"/>
    </row>
    <row r="832" spans="1:10">
      <c r="A832" s="350"/>
      <c r="B832" s="351"/>
      <c r="C832" s="391"/>
      <c r="D832" s="392"/>
      <c r="E832" s="355"/>
      <c r="F832" s="392"/>
      <c r="G832" s="392"/>
      <c r="H832" s="392"/>
      <c r="I832" s="393"/>
      <c r="J832" s="355"/>
    </row>
    <row r="833" spans="1:10" ht="12.75">
      <c r="A833" s="368" t="s">
        <v>1283</v>
      </c>
      <c r="B833" s="369"/>
      <c r="C833" s="369"/>
      <c r="D833" s="369"/>
      <c r="E833" s="369"/>
      <c r="F833" s="369"/>
      <c r="G833" s="369"/>
      <c r="H833" s="369"/>
      <c r="I833" s="369"/>
      <c r="J833" s="370"/>
    </row>
    <row r="834" spans="1:10" ht="21">
      <c r="A834" s="345" t="s">
        <v>1284</v>
      </c>
      <c r="B834" s="346"/>
      <c r="C834" s="347">
        <f>C835+C836</f>
        <v>79.2</v>
      </c>
      <c r="D834" s="347">
        <f t="shared" ref="D834:D864" si="110">C834*0.22</f>
        <v>17.423999999999999</v>
      </c>
      <c r="E834" s="347">
        <v>0.09</v>
      </c>
      <c r="F834" s="347">
        <f t="shared" ref="F834:F864" si="111">C834*0.9</f>
        <v>71.28</v>
      </c>
      <c r="G834" s="347">
        <f>C834+D834+E834+F834</f>
        <v>167.994</v>
      </c>
      <c r="H834" s="347">
        <f>G834*0.35</f>
        <v>58.797899999999998</v>
      </c>
      <c r="I834" s="348">
        <f>G834+H834</f>
        <v>226.7919</v>
      </c>
      <c r="J834" s="349">
        <f>I834+I838+I837</f>
        <v>273.15629999999999</v>
      </c>
    </row>
    <row r="835" spans="1:10">
      <c r="A835" s="350" t="s">
        <v>258</v>
      </c>
      <c r="B835" s="350">
        <v>60</v>
      </c>
      <c r="C835" s="352">
        <v>45</v>
      </c>
      <c r="D835" s="353"/>
      <c r="E835" s="353"/>
      <c r="F835" s="353"/>
      <c r="G835" s="353"/>
      <c r="H835" s="353"/>
      <c r="I835" s="354"/>
      <c r="J835" s="353"/>
    </row>
    <row r="836" spans="1:10">
      <c r="A836" s="350" t="s">
        <v>337</v>
      </c>
      <c r="B836" s="350">
        <v>60</v>
      </c>
      <c r="C836" s="352">
        <v>34.200000000000003</v>
      </c>
      <c r="D836" s="353"/>
      <c r="E836" s="353"/>
      <c r="F836" s="353"/>
      <c r="G836" s="353"/>
      <c r="H836" s="353"/>
      <c r="I836" s="354"/>
      <c r="J836" s="353"/>
    </row>
    <row r="837" spans="1:10">
      <c r="A837" s="350" t="s">
        <v>385</v>
      </c>
      <c r="B837" s="351">
        <v>30</v>
      </c>
      <c r="C837" s="352">
        <v>16.2</v>
      </c>
      <c r="D837" s="353">
        <f t="shared" si="110"/>
        <v>3.5640000000000001</v>
      </c>
      <c r="E837" s="353"/>
      <c r="F837" s="353">
        <f t="shared" si="111"/>
        <v>14.58</v>
      </c>
      <c r="G837" s="353">
        <f>C837+D837+E837+F837</f>
        <v>34.344000000000001</v>
      </c>
      <c r="H837" s="353">
        <f>G837*0.35</f>
        <v>12.0204</v>
      </c>
      <c r="I837" s="354">
        <f>G837+H837</f>
        <v>46.364400000000003</v>
      </c>
      <c r="J837" s="353"/>
    </row>
    <row r="838" spans="1:10">
      <c r="A838" s="350"/>
      <c r="B838" s="351"/>
      <c r="C838" s="352"/>
      <c r="D838" s="353"/>
      <c r="E838" s="353"/>
      <c r="F838" s="353"/>
      <c r="G838" s="353"/>
      <c r="H838" s="353"/>
      <c r="I838" s="354"/>
      <c r="J838" s="353"/>
    </row>
    <row r="839" spans="1:10">
      <c r="A839" s="345" t="s">
        <v>1285</v>
      </c>
      <c r="B839" s="346"/>
      <c r="C839" s="347">
        <f>C840+C841</f>
        <v>19.8</v>
      </c>
      <c r="D839" s="347">
        <f t="shared" si="110"/>
        <v>4.3559999999999999</v>
      </c>
      <c r="E839" s="347">
        <v>0.09</v>
      </c>
      <c r="F839" s="347">
        <f t="shared" si="111"/>
        <v>17.82</v>
      </c>
      <c r="G839" s="347">
        <f>C839+D839+E839+F839</f>
        <v>42.066000000000003</v>
      </c>
      <c r="H839" s="347">
        <f>G839*0.35</f>
        <v>14.723100000000001</v>
      </c>
      <c r="I839" s="348">
        <f>G839+H839</f>
        <v>56.789100000000005</v>
      </c>
      <c r="J839" s="349">
        <f>I839+I843+I842</f>
        <v>64.516500000000008</v>
      </c>
    </row>
    <row r="840" spans="1:10">
      <c r="A840" s="350" t="s">
        <v>258</v>
      </c>
      <c r="B840" s="350">
        <v>15</v>
      </c>
      <c r="C840" s="352">
        <v>11.25</v>
      </c>
      <c r="D840" s="353"/>
      <c r="E840" s="353"/>
      <c r="F840" s="353"/>
      <c r="G840" s="353"/>
      <c r="H840" s="353"/>
      <c r="I840" s="354"/>
      <c r="J840" s="353"/>
    </row>
    <row r="841" spans="1:10">
      <c r="A841" s="350" t="s">
        <v>337</v>
      </c>
      <c r="B841" s="350">
        <v>15</v>
      </c>
      <c r="C841" s="352">
        <v>8.5500000000000007</v>
      </c>
      <c r="D841" s="353"/>
      <c r="E841" s="353"/>
      <c r="F841" s="353"/>
      <c r="G841" s="353"/>
      <c r="H841" s="353"/>
      <c r="I841" s="354"/>
      <c r="J841" s="353"/>
    </row>
    <row r="842" spans="1:10">
      <c r="A842" s="350" t="s">
        <v>385</v>
      </c>
      <c r="B842" s="351">
        <v>5</v>
      </c>
      <c r="C842" s="352">
        <v>2.7</v>
      </c>
      <c r="D842" s="353">
        <f t="shared" si="110"/>
        <v>0.59400000000000008</v>
      </c>
      <c r="E842" s="353"/>
      <c r="F842" s="353">
        <f t="shared" si="111"/>
        <v>2.4300000000000002</v>
      </c>
      <c r="G842" s="353">
        <f>C842+D842+E842+F842</f>
        <v>5.7240000000000002</v>
      </c>
      <c r="H842" s="353">
        <f>G842*0.35</f>
        <v>2.0034000000000001</v>
      </c>
      <c r="I842" s="354">
        <f>G842+H842</f>
        <v>7.7274000000000003</v>
      </c>
      <c r="J842" s="353"/>
    </row>
    <row r="843" spans="1:10">
      <c r="A843" s="350"/>
      <c r="B843" s="351"/>
      <c r="C843" s="352"/>
      <c r="D843" s="353"/>
      <c r="E843" s="353"/>
      <c r="F843" s="353"/>
      <c r="G843" s="353"/>
      <c r="H843" s="353"/>
      <c r="I843" s="354"/>
      <c r="J843" s="353"/>
    </row>
    <row r="844" spans="1:10" ht="21">
      <c r="A844" s="345" t="s">
        <v>1286</v>
      </c>
      <c r="B844" s="346"/>
      <c r="C844" s="347">
        <f>C845+C846</f>
        <v>33</v>
      </c>
      <c r="D844" s="347">
        <f t="shared" si="110"/>
        <v>7.26</v>
      </c>
      <c r="E844" s="347">
        <v>0.09</v>
      </c>
      <c r="F844" s="347">
        <f t="shared" si="111"/>
        <v>29.7</v>
      </c>
      <c r="G844" s="347">
        <f>C844+D844+E844+F844</f>
        <v>70.05</v>
      </c>
      <c r="H844" s="347">
        <f>G844*0.35</f>
        <v>24.517499999999998</v>
      </c>
      <c r="I844" s="348">
        <f>G844+H844</f>
        <v>94.567499999999995</v>
      </c>
      <c r="J844" s="349">
        <f>I844+I848+I847</f>
        <v>113.11326</v>
      </c>
    </row>
    <row r="845" spans="1:10">
      <c r="A845" s="350" t="s">
        <v>258</v>
      </c>
      <c r="B845" s="350">
        <v>25</v>
      </c>
      <c r="C845" s="352">
        <v>18.75</v>
      </c>
      <c r="D845" s="353"/>
      <c r="E845" s="353"/>
      <c r="F845" s="353"/>
      <c r="G845" s="353"/>
      <c r="H845" s="353"/>
      <c r="I845" s="354"/>
      <c r="J845" s="353"/>
    </row>
    <row r="846" spans="1:10">
      <c r="A846" s="350" t="s">
        <v>337</v>
      </c>
      <c r="B846" s="350">
        <v>25</v>
      </c>
      <c r="C846" s="352">
        <v>14.25</v>
      </c>
      <c r="D846" s="353"/>
      <c r="E846" s="353"/>
      <c r="F846" s="353"/>
      <c r="G846" s="353"/>
      <c r="H846" s="353"/>
      <c r="I846" s="354"/>
      <c r="J846" s="353"/>
    </row>
    <row r="847" spans="1:10">
      <c r="A847" s="350" t="s">
        <v>385</v>
      </c>
      <c r="B847" s="351">
        <v>12</v>
      </c>
      <c r="C847" s="352">
        <v>6.48</v>
      </c>
      <c r="D847" s="353">
        <f t="shared" si="110"/>
        <v>1.4256000000000002</v>
      </c>
      <c r="E847" s="353"/>
      <c r="F847" s="353">
        <f t="shared" si="111"/>
        <v>5.8320000000000007</v>
      </c>
      <c r="G847" s="353">
        <f>C847+D847+E847+F847</f>
        <v>13.7376</v>
      </c>
      <c r="H847" s="353">
        <f>G847*0.35</f>
        <v>4.80816</v>
      </c>
      <c r="I847" s="354">
        <f>G847+H847</f>
        <v>18.545760000000001</v>
      </c>
      <c r="J847" s="353"/>
    </row>
    <row r="848" spans="1:10">
      <c r="A848" s="350"/>
      <c r="B848" s="351"/>
      <c r="C848" s="352"/>
      <c r="D848" s="353"/>
      <c r="E848" s="353"/>
      <c r="F848" s="353"/>
      <c r="G848" s="353"/>
      <c r="H848" s="353"/>
      <c r="I848" s="354"/>
      <c r="J848" s="353"/>
    </row>
    <row r="849" spans="1:10" ht="21">
      <c r="A849" s="345" t="s">
        <v>1287</v>
      </c>
      <c r="B849" s="346"/>
      <c r="C849" s="347">
        <f>C850+C851</f>
        <v>26.4</v>
      </c>
      <c r="D849" s="347">
        <f t="shared" si="110"/>
        <v>5.8079999999999998</v>
      </c>
      <c r="E849" s="347">
        <v>0.09</v>
      </c>
      <c r="F849" s="347">
        <f t="shared" si="111"/>
        <v>23.759999999999998</v>
      </c>
      <c r="G849" s="347">
        <f>C849+D849+E849+F849</f>
        <v>56.058</v>
      </c>
      <c r="H849" s="347">
        <f>G849*0.35</f>
        <v>19.6203</v>
      </c>
      <c r="I849" s="348">
        <f>G849+H849</f>
        <v>75.678300000000007</v>
      </c>
      <c r="J849" s="349">
        <f>I849+I853+I852</f>
        <v>91.133100000000013</v>
      </c>
    </row>
    <row r="850" spans="1:10">
      <c r="A850" s="350" t="s">
        <v>258</v>
      </c>
      <c r="B850" s="350">
        <v>20</v>
      </c>
      <c r="C850" s="352">
        <v>15</v>
      </c>
      <c r="D850" s="353"/>
      <c r="E850" s="353"/>
      <c r="F850" s="353"/>
      <c r="G850" s="353"/>
      <c r="H850" s="353"/>
      <c r="I850" s="354"/>
      <c r="J850" s="353"/>
    </row>
    <row r="851" spans="1:10">
      <c r="A851" s="350" t="s">
        <v>337</v>
      </c>
      <c r="B851" s="350">
        <v>20</v>
      </c>
      <c r="C851" s="352">
        <v>11.4</v>
      </c>
      <c r="D851" s="353"/>
      <c r="E851" s="353"/>
      <c r="F851" s="353"/>
      <c r="G851" s="353"/>
      <c r="H851" s="353"/>
      <c r="I851" s="354"/>
      <c r="J851" s="353"/>
    </row>
    <row r="852" spans="1:10">
      <c r="A852" s="350" t="s">
        <v>385</v>
      </c>
      <c r="B852" s="351">
        <v>10</v>
      </c>
      <c r="C852" s="352">
        <v>5.4</v>
      </c>
      <c r="D852" s="353">
        <f t="shared" si="110"/>
        <v>1.1880000000000002</v>
      </c>
      <c r="E852" s="353"/>
      <c r="F852" s="353">
        <f t="shared" si="111"/>
        <v>4.8600000000000003</v>
      </c>
      <c r="G852" s="353">
        <f>C852+D852+E852+F852</f>
        <v>11.448</v>
      </c>
      <c r="H852" s="353">
        <f>G852*0.35</f>
        <v>4.0068000000000001</v>
      </c>
      <c r="I852" s="354">
        <f>G852+H852</f>
        <v>15.454800000000001</v>
      </c>
      <c r="J852" s="353"/>
    </row>
    <row r="853" spans="1:10">
      <c r="A853" s="350"/>
      <c r="B853" s="351"/>
      <c r="C853" s="352"/>
      <c r="D853" s="353"/>
      <c r="E853" s="353"/>
      <c r="F853" s="353"/>
      <c r="G853" s="353"/>
      <c r="H853" s="353"/>
      <c r="I853" s="354"/>
      <c r="J853" s="353"/>
    </row>
    <row r="854" spans="1:10" ht="21">
      <c r="A854" s="345" t="s">
        <v>1288</v>
      </c>
      <c r="B854" s="346"/>
      <c r="C854" s="347">
        <f>C855+C856</f>
        <v>19.8</v>
      </c>
      <c r="D854" s="347">
        <f t="shared" si="110"/>
        <v>4.3559999999999999</v>
      </c>
      <c r="E854" s="347">
        <v>0.09</v>
      </c>
      <c r="F854" s="347">
        <f t="shared" si="111"/>
        <v>17.82</v>
      </c>
      <c r="G854" s="347">
        <f>C854+D854+E854+F854</f>
        <v>42.066000000000003</v>
      </c>
      <c r="H854" s="347">
        <f>G854*0.35</f>
        <v>14.723100000000001</v>
      </c>
      <c r="I854" s="348">
        <f>G854+H854</f>
        <v>56.789100000000005</v>
      </c>
      <c r="J854" s="349">
        <f>I854+I858+I857</f>
        <v>64.516500000000008</v>
      </c>
    </row>
    <row r="855" spans="1:10">
      <c r="A855" s="350" t="s">
        <v>258</v>
      </c>
      <c r="B855" s="350">
        <v>15</v>
      </c>
      <c r="C855" s="352">
        <v>11.25</v>
      </c>
      <c r="D855" s="353"/>
      <c r="E855" s="353"/>
      <c r="F855" s="353"/>
      <c r="G855" s="353"/>
      <c r="H855" s="353"/>
      <c r="I855" s="354"/>
      <c r="J855" s="353"/>
    </row>
    <row r="856" spans="1:10">
      <c r="A856" s="350" t="s">
        <v>337</v>
      </c>
      <c r="B856" s="350">
        <v>15</v>
      </c>
      <c r="C856" s="352">
        <v>8.5500000000000007</v>
      </c>
      <c r="D856" s="353"/>
      <c r="E856" s="353"/>
      <c r="F856" s="353"/>
      <c r="G856" s="353"/>
      <c r="H856" s="353"/>
      <c r="I856" s="354"/>
      <c r="J856" s="353"/>
    </row>
    <row r="857" spans="1:10">
      <c r="A857" s="350" t="s">
        <v>385</v>
      </c>
      <c r="B857" s="351">
        <v>5</v>
      </c>
      <c r="C857" s="352">
        <v>2.7</v>
      </c>
      <c r="D857" s="353">
        <f t="shared" si="110"/>
        <v>0.59400000000000008</v>
      </c>
      <c r="E857" s="353"/>
      <c r="F857" s="353">
        <f t="shared" si="111"/>
        <v>2.4300000000000002</v>
      </c>
      <c r="G857" s="353">
        <f>C857+D857+E857+F857</f>
        <v>5.7240000000000002</v>
      </c>
      <c r="H857" s="353">
        <f>G857*0.35</f>
        <v>2.0034000000000001</v>
      </c>
      <c r="I857" s="354">
        <f>G857+H857</f>
        <v>7.7274000000000003</v>
      </c>
      <c r="J857" s="353"/>
    </row>
    <row r="858" spans="1:10">
      <c r="A858" s="350"/>
      <c r="B858" s="351"/>
      <c r="C858" s="352"/>
      <c r="D858" s="353"/>
      <c r="E858" s="353"/>
      <c r="F858" s="353"/>
      <c r="G858" s="353"/>
      <c r="H858" s="353"/>
      <c r="I858" s="354"/>
      <c r="J858" s="353"/>
    </row>
    <row r="859" spans="1:10">
      <c r="A859" s="345" t="s">
        <v>1289</v>
      </c>
      <c r="B859" s="346"/>
      <c r="C859" s="347">
        <f>C860+C861</f>
        <v>39.6</v>
      </c>
      <c r="D859" s="347">
        <f t="shared" si="110"/>
        <v>8.7119999999999997</v>
      </c>
      <c r="E859" s="347">
        <v>0.09</v>
      </c>
      <c r="F859" s="347">
        <f t="shared" si="111"/>
        <v>35.64</v>
      </c>
      <c r="G859" s="347">
        <f>C859+D859+E859+F859</f>
        <v>84.042000000000002</v>
      </c>
      <c r="H859" s="347">
        <f>G859*0.35</f>
        <v>29.4147</v>
      </c>
      <c r="I859" s="348">
        <f>G859+H859</f>
        <v>113.4567</v>
      </c>
      <c r="J859" s="349">
        <f>I859+I863+I862</f>
        <v>136.63890000000001</v>
      </c>
    </row>
    <row r="860" spans="1:10">
      <c r="A860" s="350" t="s">
        <v>258</v>
      </c>
      <c r="B860" s="350">
        <v>30</v>
      </c>
      <c r="C860" s="352">
        <v>22.5</v>
      </c>
      <c r="D860" s="353"/>
      <c r="E860" s="353"/>
      <c r="F860" s="353"/>
      <c r="G860" s="353"/>
      <c r="H860" s="353"/>
      <c r="I860" s="354"/>
      <c r="J860" s="353"/>
    </row>
    <row r="861" spans="1:10">
      <c r="A861" s="350" t="s">
        <v>337</v>
      </c>
      <c r="B861" s="350">
        <v>30</v>
      </c>
      <c r="C861" s="352">
        <v>17.100000000000001</v>
      </c>
      <c r="D861" s="353"/>
      <c r="E861" s="353"/>
      <c r="F861" s="353"/>
      <c r="G861" s="353"/>
      <c r="H861" s="353"/>
      <c r="I861" s="354"/>
      <c r="J861" s="353"/>
    </row>
    <row r="862" spans="1:10">
      <c r="A862" s="350" t="s">
        <v>385</v>
      </c>
      <c r="B862" s="351">
        <v>15</v>
      </c>
      <c r="C862" s="352">
        <v>8.1</v>
      </c>
      <c r="D862" s="353">
        <f t="shared" si="110"/>
        <v>1.782</v>
      </c>
      <c r="E862" s="353"/>
      <c r="F862" s="353">
        <f t="shared" si="111"/>
        <v>7.29</v>
      </c>
      <c r="G862" s="353">
        <f>C862+D862+E862+F862</f>
        <v>17.172000000000001</v>
      </c>
      <c r="H862" s="353">
        <f>G862*0.35</f>
        <v>6.0102000000000002</v>
      </c>
      <c r="I862" s="354">
        <f>G862+H862</f>
        <v>23.182200000000002</v>
      </c>
      <c r="J862" s="353"/>
    </row>
    <row r="863" spans="1:10">
      <c r="A863" s="350"/>
      <c r="B863" s="351"/>
      <c r="C863" s="352"/>
      <c r="D863" s="353"/>
      <c r="E863" s="353"/>
      <c r="F863" s="353"/>
      <c r="G863" s="353"/>
      <c r="H863" s="353"/>
      <c r="I863" s="354"/>
      <c r="J863" s="353"/>
    </row>
    <row r="864" spans="1:10" ht="31.5">
      <c r="A864" s="345" t="s">
        <v>1290</v>
      </c>
      <c r="B864" s="346"/>
      <c r="C864" s="347">
        <f>C865+C866</f>
        <v>39.6</v>
      </c>
      <c r="D864" s="347">
        <f t="shared" si="110"/>
        <v>8.7119999999999997</v>
      </c>
      <c r="E864" s="347">
        <v>0.09</v>
      </c>
      <c r="F864" s="347">
        <f t="shared" si="111"/>
        <v>35.64</v>
      </c>
      <c r="G864" s="347">
        <f>C864+D864+E864+F864</f>
        <v>84.042000000000002</v>
      </c>
      <c r="H864" s="347">
        <f>G864*0.35</f>
        <v>29.4147</v>
      </c>
      <c r="I864" s="348">
        <f>G864+H864</f>
        <v>113.4567</v>
      </c>
      <c r="J864" s="349">
        <f>I864+I868+I867</f>
        <v>136.63890000000001</v>
      </c>
    </row>
    <row r="865" spans="1:10">
      <c r="A865" s="350" t="s">
        <v>258</v>
      </c>
      <c r="B865" s="350">
        <v>30</v>
      </c>
      <c r="C865" s="352">
        <v>22.5</v>
      </c>
      <c r="D865" s="353"/>
      <c r="E865" s="353"/>
      <c r="F865" s="353"/>
      <c r="G865" s="353"/>
      <c r="H865" s="353"/>
      <c r="I865" s="354"/>
      <c r="J865" s="355"/>
    </row>
    <row r="866" spans="1:10">
      <c r="A866" s="350" t="s">
        <v>337</v>
      </c>
      <c r="B866" s="350">
        <v>30</v>
      </c>
      <c r="C866" s="352">
        <v>17.100000000000001</v>
      </c>
      <c r="D866" s="353"/>
      <c r="E866" s="353"/>
      <c r="F866" s="353"/>
      <c r="G866" s="353"/>
      <c r="H866" s="353"/>
      <c r="I866" s="354"/>
      <c r="J866" s="355"/>
    </row>
    <row r="867" spans="1:10">
      <c r="A867" s="350" t="s">
        <v>385</v>
      </c>
      <c r="B867" s="351">
        <v>15</v>
      </c>
      <c r="C867" s="352">
        <v>8.1</v>
      </c>
      <c r="D867" s="353">
        <f t="shared" ref="D867:D897" si="112">C867*0.22</f>
        <v>1.782</v>
      </c>
      <c r="E867" s="353"/>
      <c r="F867" s="353">
        <f t="shared" ref="F867:F897" si="113">C867*0.9</f>
        <v>7.29</v>
      </c>
      <c r="G867" s="353">
        <f>C867+D867+E867+F867</f>
        <v>17.172000000000001</v>
      </c>
      <c r="H867" s="353">
        <f>G867*0.35</f>
        <v>6.0102000000000002</v>
      </c>
      <c r="I867" s="354">
        <f>G867+H867</f>
        <v>23.182200000000002</v>
      </c>
      <c r="J867" s="355"/>
    </row>
    <row r="868" spans="1:10">
      <c r="A868" s="350"/>
      <c r="B868" s="351"/>
      <c r="C868" s="352"/>
      <c r="D868" s="353"/>
      <c r="E868" s="353"/>
      <c r="F868" s="353"/>
      <c r="G868" s="353"/>
      <c r="H868" s="353"/>
      <c r="I868" s="354"/>
      <c r="J868" s="355"/>
    </row>
    <row r="869" spans="1:10" ht="21">
      <c r="A869" s="345" t="s">
        <v>1291</v>
      </c>
      <c r="B869" s="346"/>
      <c r="C869" s="347">
        <v>20.8</v>
      </c>
      <c r="D869" s="347">
        <f t="shared" si="112"/>
        <v>4.5760000000000005</v>
      </c>
      <c r="E869" s="347">
        <v>0.09</v>
      </c>
      <c r="F869" s="347">
        <f t="shared" si="113"/>
        <v>18.720000000000002</v>
      </c>
      <c r="G869" s="347">
        <f>C869+D869+E869+F869</f>
        <v>44.186000000000007</v>
      </c>
      <c r="H869" s="347">
        <f>G869*0.35</f>
        <v>15.465100000000001</v>
      </c>
      <c r="I869" s="348">
        <f>G869+H869</f>
        <v>59.651100000000007</v>
      </c>
      <c r="J869" s="349">
        <f>I869+I873+I872</f>
        <v>75.105900000000005</v>
      </c>
    </row>
    <row r="870" spans="1:10">
      <c r="A870" s="350" t="s">
        <v>258</v>
      </c>
      <c r="B870" s="350">
        <v>20</v>
      </c>
      <c r="C870" s="352">
        <v>15</v>
      </c>
      <c r="D870" s="353"/>
      <c r="E870" s="353"/>
      <c r="F870" s="353"/>
      <c r="G870" s="353"/>
      <c r="H870" s="353"/>
      <c r="I870" s="354"/>
      <c r="J870" s="353"/>
    </row>
    <row r="871" spans="1:10">
      <c r="A871" s="350" t="s">
        <v>337</v>
      </c>
      <c r="B871" s="350">
        <v>20</v>
      </c>
      <c r="C871" s="352">
        <v>11.4</v>
      </c>
      <c r="D871" s="353"/>
      <c r="E871" s="353"/>
      <c r="F871" s="353"/>
      <c r="G871" s="353"/>
      <c r="H871" s="353"/>
      <c r="I871" s="354"/>
      <c r="J871" s="353"/>
    </row>
    <row r="872" spans="1:10">
      <c r="A872" s="350" t="s">
        <v>385</v>
      </c>
      <c r="B872" s="351">
        <v>10</v>
      </c>
      <c r="C872" s="352">
        <v>5.4</v>
      </c>
      <c r="D872" s="353">
        <f t="shared" si="112"/>
        <v>1.1880000000000002</v>
      </c>
      <c r="E872" s="353"/>
      <c r="F872" s="353">
        <f t="shared" si="113"/>
        <v>4.8600000000000003</v>
      </c>
      <c r="G872" s="353">
        <f>C872+D872+E872+F872</f>
        <v>11.448</v>
      </c>
      <c r="H872" s="353">
        <f>G872*0.35</f>
        <v>4.0068000000000001</v>
      </c>
      <c r="I872" s="354">
        <f>G872+H872</f>
        <v>15.454800000000001</v>
      </c>
      <c r="J872" s="353"/>
    </row>
    <row r="873" spans="1:10">
      <c r="A873" s="350"/>
      <c r="B873" s="351"/>
      <c r="C873" s="352"/>
      <c r="D873" s="353"/>
      <c r="E873" s="353"/>
      <c r="F873" s="353"/>
      <c r="G873" s="353"/>
      <c r="H873" s="353"/>
      <c r="I873" s="354"/>
      <c r="J873" s="353"/>
    </row>
    <row r="874" spans="1:10" ht="31.5">
      <c r="A874" s="345" t="s">
        <v>1292</v>
      </c>
      <c r="B874" s="346"/>
      <c r="C874" s="347">
        <f>C875+C876</f>
        <v>26.4</v>
      </c>
      <c r="D874" s="347">
        <f t="shared" si="112"/>
        <v>5.8079999999999998</v>
      </c>
      <c r="E874" s="347">
        <v>0.09</v>
      </c>
      <c r="F874" s="347">
        <f t="shared" si="113"/>
        <v>23.759999999999998</v>
      </c>
      <c r="G874" s="347">
        <f>C874+D874+E874+F874</f>
        <v>56.058</v>
      </c>
      <c r="H874" s="347">
        <f>G874*0.35</f>
        <v>19.6203</v>
      </c>
      <c r="I874" s="348">
        <f>G874+H874</f>
        <v>75.678300000000007</v>
      </c>
      <c r="J874" s="349">
        <f>I874+I878+I877</f>
        <v>91.133100000000013</v>
      </c>
    </row>
    <row r="875" spans="1:10">
      <c r="A875" s="350" t="s">
        <v>258</v>
      </c>
      <c r="B875" s="350">
        <v>20</v>
      </c>
      <c r="C875" s="352">
        <v>15</v>
      </c>
      <c r="D875" s="353"/>
      <c r="E875" s="353"/>
      <c r="F875" s="353"/>
      <c r="G875" s="353"/>
      <c r="H875" s="353"/>
      <c r="I875" s="354"/>
      <c r="J875" s="353"/>
    </row>
    <row r="876" spans="1:10">
      <c r="A876" s="350" t="s">
        <v>337</v>
      </c>
      <c r="B876" s="350">
        <v>20</v>
      </c>
      <c r="C876" s="352">
        <v>11.4</v>
      </c>
      <c r="D876" s="353"/>
      <c r="E876" s="353"/>
      <c r="F876" s="353"/>
      <c r="G876" s="353"/>
      <c r="H876" s="353"/>
      <c r="I876" s="354"/>
      <c r="J876" s="353"/>
    </row>
    <row r="877" spans="1:10">
      <c r="A877" s="350" t="s">
        <v>385</v>
      </c>
      <c r="B877" s="351">
        <v>10</v>
      </c>
      <c r="C877" s="352">
        <v>5.4</v>
      </c>
      <c r="D877" s="353">
        <f t="shared" si="112"/>
        <v>1.1880000000000002</v>
      </c>
      <c r="E877" s="353"/>
      <c r="F877" s="353">
        <f t="shared" si="113"/>
        <v>4.8600000000000003</v>
      </c>
      <c r="G877" s="353">
        <f>C877+D877+E877+F877</f>
        <v>11.448</v>
      </c>
      <c r="H877" s="353">
        <f>G877*0.35</f>
        <v>4.0068000000000001</v>
      </c>
      <c r="I877" s="354">
        <f>G877+H877</f>
        <v>15.454800000000001</v>
      </c>
      <c r="J877" s="353"/>
    </row>
    <row r="878" spans="1:10">
      <c r="A878" s="350"/>
      <c r="B878" s="351"/>
      <c r="C878" s="352"/>
      <c r="D878" s="353"/>
      <c r="E878" s="353"/>
      <c r="F878" s="353"/>
      <c r="G878" s="353"/>
      <c r="H878" s="353"/>
      <c r="I878" s="354"/>
      <c r="J878" s="353"/>
    </row>
    <row r="879" spans="1:10" ht="31.5">
      <c r="A879" s="345" t="s">
        <v>1293</v>
      </c>
      <c r="B879" s="346"/>
      <c r="C879" s="347">
        <f>C880+C881</f>
        <v>26.4</v>
      </c>
      <c r="D879" s="347">
        <f t="shared" si="112"/>
        <v>5.8079999999999998</v>
      </c>
      <c r="E879" s="347">
        <v>0.09</v>
      </c>
      <c r="F879" s="347">
        <f t="shared" si="113"/>
        <v>23.759999999999998</v>
      </c>
      <c r="G879" s="347">
        <f>C879+D879+E879+F879</f>
        <v>56.058</v>
      </c>
      <c r="H879" s="347">
        <f>G879*0.35</f>
        <v>19.6203</v>
      </c>
      <c r="I879" s="348">
        <f>G879+H879</f>
        <v>75.678300000000007</v>
      </c>
      <c r="J879" s="349">
        <f>I879+I883+I882</f>
        <v>91.133100000000013</v>
      </c>
    </row>
    <row r="880" spans="1:10">
      <c r="A880" s="350" t="s">
        <v>258</v>
      </c>
      <c r="B880" s="350">
        <v>20</v>
      </c>
      <c r="C880" s="352">
        <v>15</v>
      </c>
      <c r="D880" s="353"/>
      <c r="E880" s="353"/>
      <c r="F880" s="353"/>
      <c r="G880" s="353"/>
      <c r="H880" s="353"/>
      <c r="I880" s="354"/>
      <c r="J880" s="353"/>
    </row>
    <row r="881" spans="1:10">
      <c r="A881" s="350" t="s">
        <v>337</v>
      </c>
      <c r="B881" s="350">
        <v>20</v>
      </c>
      <c r="C881" s="352">
        <v>11.4</v>
      </c>
      <c r="D881" s="353"/>
      <c r="E881" s="353"/>
      <c r="F881" s="353"/>
      <c r="G881" s="353"/>
      <c r="H881" s="353"/>
      <c r="I881" s="354"/>
      <c r="J881" s="353"/>
    </row>
    <row r="882" spans="1:10">
      <c r="A882" s="350" t="s">
        <v>385</v>
      </c>
      <c r="B882" s="351">
        <v>10</v>
      </c>
      <c r="C882" s="352">
        <v>5.4</v>
      </c>
      <c r="D882" s="353">
        <f t="shared" si="112"/>
        <v>1.1880000000000002</v>
      </c>
      <c r="E882" s="353"/>
      <c r="F882" s="353">
        <f t="shared" si="113"/>
        <v>4.8600000000000003</v>
      </c>
      <c r="G882" s="353">
        <f>C882+D882+E882+F882</f>
        <v>11.448</v>
      </c>
      <c r="H882" s="353">
        <f>G882*0.35</f>
        <v>4.0068000000000001</v>
      </c>
      <c r="I882" s="354">
        <f>G882+H882</f>
        <v>15.454800000000001</v>
      </c>
      <c r="J882" s="353"/>
    </row>
    <row r="883" spans="1:10">
      <c r="A883" s="350"/>
      <c r="B883" s="351"/>
      <c r="C883" s="352"/>
      <c r="D883" s="353"/>
      <c r="E883" s="353"/>
      <c r="F883" s="353"/>
      <c r="G883" s="353"/>
      <c r="H883" s="353"/>
      <c r="I883" s="354"/>
      <c r="J883" s="353"/>
    </row>
    <row r="884" spans="1:10" ht="31.5">
      <c r="A884" s="345" t="s">
        <v>1294</v>
      </c>
      <c r="B884" s="346"/>
      <c r="C884" s="347">
        <f>C885+C886</f>
        <v>26.4</v>
      </c>
      <c r="D884" s="347">
        <f t="shared" si="112"/>
        <v>5.8079999999999998</v>
      </c>
      <c r="E884" s="347">
        <v>0.09</v>
      </c>
      <c r="F884" s="347">
        <f t="shared" si="113"/>
        <v>23.759999999999998</v>
      </c>
      <c r="G884" s="347">
        <f>C884+D884+E884+F884</f>
        <v>56.058</v>
      </c>
      <c r="H884" s="347">
        <f>G884*0.35</f>
        <v>19.6203</v>
      </c>
      <c r="I884" s="348">
        <f>G884+H884</f>
        <v>75.678300000000007</v>
      </c>
      <c r="J884" s="349">
        <f>I884+I888+I887</f>
        <v>91.133100000000013</v>
      </c>
    </row>
    <row r="885" spans="1:10">
      <c r="A885" s="350" t="s">
        <v>258</v>
      </c>
      <c r="B885" s="350">
        <v>20</v>
      </c>
      <c r="C885" s="352">
        <v>15</v>
      </c>
      <c r="D885" s="353"/>
      <c r="E885" s="353"/>
      <c r="F885" s="353"/>
      <c r="G885" s="353"/>
      <c r="H885" s="353"/>
      <c r="I885" s="354"/>
      <c r="J885" s="353"/>
    </row>
    <row r="886" spans="1:10">
      <c r="A886" s="350" t="s">
        <v>337</v>
      </c>
      <c r="B886" s="350">
        <v>20</v>
      </c>
      <c r="C886" s="352">
        <v>11.4</v>
      </c>
      <c r="D886" s="353"/>
      <c r="E886" s="353"/>
      <c r="F886" s="353"/>
      <c r="G886" s="353"/>
      <c r="H886" s="353"/>
      <c r="I886" s="354"/>
      <c r="J886" s="353"/>
    </row>
    <row r="887" spans="1:10">
      <c r="A887" s="350" t="s">
        <v>385</v>
      </c>
      <c r="B887" s="351">
        <v>10</v>
      </c>
      <c r="C887" s="352">
        <v>5.4</v>
      </c>
      <c r="D887" s="353">
        <f t="shared" si="112"/>
        <v>1.1880000000000002</v>
      </c>
      <c r="E887" s="353"/>
      <c r="F887" s="353">
        <f t="shared" si="113"/>
        <v>4.8600000000000003</v>
      </c>
      <c r="G887" s="353">
        <f>C887+D887+E887+F887</f>
        <v>11.448</v>
      </c>
      <c r="H887" s="353">
        <f>G887*0.35</f>
        <v>4.0068000000000001</v>
      </c>
      <c r="I887" s="354">
        <f>G887+H887</f>
        <v>15.454800000000001</v>
      </c>
      <c r="J887" s="353"/>
    </row>
    <row r="888" spans="1:10">
      <c r="A888" s="350"/>
      <c r="B888" s="351"/>
      <c r="C888" s="352"/>
      <c r="D888" s="353"/>
      <c r="E888" s="353"/>
      <c r="F888" s="353"/>
      <c r="G888" s="353"/>
      <c r="H888" s="353"/>
      <c r="I888" s="354"/>
      <c r="J888" s="353"/>
    </row>
    <row r="889" spans="1:10" ht="21">
      <c r="A889" s="345" t="s">
        <v>1295</v>
      </c>
      <c r="B889" s="346"/>
      <c r="C889" s="347">
        <f>C890+C891</f>
        <v>26.4</v>
      </c>
      <c r="D889" s="347">
        <f t="shared" si="112"/>
        <v>5.8079999999999998</v>
      </c>
      <c r="E889" s="347">
        <v>0.09</v>
      </c>
      <c r="F889" s="347">
        <f t="shared" si="113"/>
        <v>23.759999999999998</v>
      </c>
      <c r="G889" s="347">
        <f>C889+D889+E889+F889</f>
        <v>56.058</v>
      </c>
      <c r="H889" s="347">
        <f>G889*0.35</f>
        <v>19.6203</v>
      </c>
      <c r="I889" s="348">
        <f>G889+H889</f>
        <v>75.678300000000007</v>
      </c>
      <c r="J889" s="349">
        <f>I889+I893+I892</f>
        <v>91.133100000000013</v>
      </c>
    </row>
    <row r="890" spans="1:10">
      <c r="A890" s="350" t="s">
        <v>258</v>
      </c>
      <c r="B890" s="350">
        <v>20</v>
      </c>
      <c r="C890" s="352">
        <v>15</v>
      </c>
      <c r="D890" s="353"/>
      <c r="E890" s="353"/>
      <c r="F890" s="353"/>
      <c r="G890" s="353"/>
      <c r="H890" s="353"/>
      <c r="I890" s="354"/>
      <c r="J890" s="355"/>
    </row>
    <row r="891" spans="1:10">
      <c r="A891" s="350" t="s">
        <v>337</v>
      </c>
      <c r="B891" s="350">
        <v>20</v>
      </c>
      <c r="C891" s="352">
        <v>11.4</v>
      </c>
      <c r="D891" s="353"/>
      <c r="E891" s="353"/>
      <c r="F891" s="353"/>
      <c r="G891" s="353"/>
      <c r="H891" s="353"/>
      <c r="I891" s="354"/>
      <c r="J891" s="355"/>
    </row>
    <row r="892" spans="1:10">
      <c r="A892" s="350" t="s">
        <v>385</v>
      </c>
      <c r="B892" s="351">
        <v>10</v>
      </c>
      <c r="C892" s="352">
        <v>5.4</v>
      </c>
      <c r="D892" s="353">
        <f t="shared" si="112"/>
        <v>1.1880000000000002</v>
      </c>
      <c r="E892" s="353"/>
      <c r="F892" s="353">
        <f t="shared" si="113"/>
        <v>4.8600000000000003</v>
      </c>
      <c r="G892" s="353">
        <f>C892+D892+E892+F892</f>
        <v>11.448</v>
      </c>
      <c r="H892" s="353">
        <f>G892*0.35</f>
        <v>4.0068000000000001</v>
      </c>
      <c r="I892" s="354">
        <f>G892+H892</f>
        <v>15.454800000000001</v>
      </c>
      <c r="J892" s="355"/>
    </row>
    <row r="893" spans="1:10">
      <c r="A893" s="350"/>
      <c r="B893" s="351"/>
      <c r="C893" s="352"/>
      <c r="D893" s="353"/>
      <c r="E893" s="353"/>
      <c r="F893" s="353"/>
      <c r="G893" s="353"/>
      <c r="H893" s="353"/>
      <c r="I893" s="354"/>
      <c r="J893" s="355"/>
    </row>
    <row r="894" spans="1:10" ht="21">
      <c r="A894" s="345" t="s">
        <v>1296</v>
      </c>
      <c r="B894" s="346"/>
      <c r="C894" s="347">
        <f>C895+C896</f>
        <v>26.4</v>
      </c>
      <c r="D894" s="347">
        <f t="shared" si="112"/>
        <v>5.8079999999999998</v>
      </c>
      <c r="E894" s="347">
        <v>0.09</v>
      </c>
      <c r="F894" s="347">
        <f t="shared" si="113"/>
        <v>23.759999999999998</v>
      </c>
      <c r="G894" s="347">
        <f>C894+D894+E894+F894</f>
        <v>56.058</v>
      </c>
      <c r="H894" s="347">
        <f>G894*0.35</f>
        <v>19.6203</v>
      </c>
      <c r="I894" s="348">
        <f>G894+H894</f>
        <v>75.678300000000007</v>
      </c>
      <c r="J894" s="349">
        <f>I894+I898+I897</f>
        <v>91.133100000000013</v>
      </c>
    </row>
    <row r="895" spans="1:10">
      <c r="A895" s="350" t="s">
        <v>258</v>
      </c>
      <c r="B895" s="350">
        <v>20</v>
      </c>
      <c r="C895" s="352">
        <v>15</v>
      </c>
      <c r="D895" s="353"/>
      <c r="E895" s="353"/>
      <c r="F895" s="353"/>
      <c r="G895" s="353"/>
      <c r="H895" s="353"/>
      <c r="I895" s="354"/>
      <c r="J895" s="353"/>
    </row>
    <row r="896" spans="1:10">
      <c r="A896" s="350" t="s">
        <v>337</v>
      </c>
      <c r="B896" s="350">
        <v>20</v>
      </c>
      <c r="C896" s="352">
        <v>11.4</v>
      </c>
      <c r="D896" s="353"/>
      <c r="E896" s="353"/>
      <c r="F896" s="353"/>
      <c r="G896" s="353"/>
      <c r="H896" s="353"/>
      <c r="I896" s="354"/>
      <c r="J896" s="353"/>
    </row>
    <row r="897" spans="1:10">
      <c r="A897" s="350" t="s">
        <v>385</v>
      </c>
      <c r="B897" s="351">
        <v>10</v>
      </c>
      <c r="C897" s="352">
        <v>5.4</v>
      </c>
      <c r="D897" s="353">
        <f t="shared" si="112"/>
        <v>1.1880000000000002</v>
      </c>
      <c r="E897" s="353"/>
      <c r="F897" s="353">
        <f t="shared" si="113"/>
        <v>4.8600000000000003</v>
      </c>
      <c r="G897" s="353">
        <f>C897+D897+E897+F897</f>
        <v>11.448</v>
      </c>
      <c r="H897" s="353">
        <f>G897*0.35</f>
        <v>4.0068000000000001</v>
      </c>
      <c r="I897" s="354">
        <f>G897+H897</f>
        <v>15.454800000000001</v>
      </c>
      <c r="J897" s="353"/>
    </row>
    <row r="898" spans="1:10">
      <c r="A898" s="350"/>
      <c r="B898" s="351"/>
      <c r="C898" s="352"/>
      <c r="D898" s="353"/>
      <c r="E898" s="353"/>
      <c r="F898" s="353"/>
      <c r="G898" s="353"/>
      <c r="H898" s="353"/>
      <c r="I898" s="354"/>
      <c r="J898" s="353"/>
    </row>
    <row r="899" spans="1:10" ht="31.5">
      <c r="A899" s="345" t="s">
        <v>1297</v>
      </c>
      <c r="B899" s="346"/>
      <c r="C899" s="347">
        <f>C900+C901</f>
        <v>39.6</v>
      </c>
      <c r="D899" s="347">
        <f t="shared" ref="D899:D924" si="114">C899*0.22</f>
        <v>8.7119999999999997</v>
      </c>
      <c r="E899" s="347">
        <v>0.09</v>
      </c>
      <c r="F899" s="347">
        <f t="shared" ref="F899:F927" si="115">C899*0.9</f>
        <v>35.64</v>
      </c>
      <c r="G899" s="347">
        <f>C899+D899+E899+F899</f>
        <v>84.042000000000002</v>
      </c>
      <c r="H899" s="347">
        <f>G899*0.35</f>
        <v>29.4147</v>
      </c>
      <c r="I899" s="348">
        <f>G899+H899</f>
        <v>113.4567</v>
      </c>
      <c r="J899" s="349">
        <f>I899+I903+I902</f>
        <v>136.63890000000001</v>
      </c>
    </row>
    <row r="900" spans="1:10">
      <c r="A900" s="350" t="s">
        <v>258</v>
      </c>
      <c r="B900" s="350">
        <v>30</v>
      </c>
      <c r="C900" s="352">
        <v>22.5</v>
      </c>
      <c r="D900" s="353"/>
      <c r="E900" s="353"/>
      <c r="F900" s="353"/>
      <c r="G900" s="353"/>
      <c r="H900" s="353"/>
      <c r="I900" s="354"/>
      <c r="J900" s="353"/>
    </row>
    <row r="901" spans="1:10">
      <c r="A901" s="350" t="s">
        <v>337</v>
      </c>
      <c r="B901" s="350">
        <v>30</v>
      </c>
      <c r="C901" s="352">
        <v>17.100000000000001</v>
      </c>
      <c r="D901" s="353"/>
      <c r="E901" s="353"/>
      <c r="F901" s="353"/>
      <c r="G901" s="353"/>
      <c r="H901" s="353"/>
      <c r="I901" s="354"/>
      <c r="J901" s="353"/>
    </row>
    <row r="902" spans="1:10">
      <c r="A902" s="350" t="s">
        <v>385</v>
      </c>
      <c r="B902" s="351">
        <v>15</v>
      </c>
      <c r="C902" s="352">
        <v>8.1</v>
      </c>
      <c r="D902" s="353">
        <f t="shared" si="114"/>
        <v>1.782</v>
      </c>
      <c r="E902" s="353"/>
      <c r="F902" s="353">
        <f t="shared" si="115"/>
        <v>7.29</v>
      </c>
      <c r="G902" s="353">
        <f>C902+D902+E902+F902</f>
        <v>17.172000000000001</v>
      </c>
      <c r="H902" s="353">
        <f>G902*0.35</f>
        <v>6.0102000000000002</v>
      </c>
      <c r="I902" s="354">
        <f>G902+H902</f>
        <v>23.182200000000002</v>
      </c>
      <c r="J902" s="353"/>
    </row>
    <row r="903" spans="1:10">
      <c r="A903" s="350"/>
      <c r="B903" s="351"/>
      <c r="C903" s="352"/>
      <c r="D903" s="353"/>
      <c r="E903" s="353"/>
      <c r="F903" s="353"/>
      <c r="G903" s="353"/>
      <c r="H903" s="353"/>
      <c r="I903" s="354"/>
      <c r="J903" s="353"/>
    </row>
    <row r="904" spans="1:10" ht="21">
      <c r="A904" s="345" t="s">
        <v>1298</v>
      </c>
      <c r="B904" s="346"/>
      <c r="C904" s="347">
        <f>C905+C906</f>
        <v>66</v>
      </c>
      <c r="D904" s="347">
        <f t="shared" si="114"/>
        <v>14.52</v>
      </c>
      <c r="E904" s="347">
        <v>0.09</v>
      </c>
      <c r="F904" s="347">
        <f t="shared" si="115"/>
        <v>59.4</v>
      </c>
      <c r="G904" s="347">
        <f>C904+D904+E904+F904</f>
        <v>140.01</v>
      </c>
      <c r="H904" s="347">
        <f>G904*0.35</f>
        <v>49.003499999999995</v>
      </c>
      <c r="I904" s="348">
        <f>G904+H904</f>
        <v>189.01349999999999</v>
      </c>
      <c r="J904" s="349">
        <f>I904+I908+I907</f>
        <v>227.65049999999999</v>
      </c>
    </row>
    <row r="905" spans="1:10">
      <c r="A905" s="350" t="s">
        <v>258</v>
      </c>
      <c r="B905" s="350">
        <v>50</v>
      </c>
      <c r="C905" s="352">
        <v>37.5</v>
      </c>
      <c r="D905" s="353"/>
      <c r="E905" s="353"/>
      <c r="F905" s="353"/>
      <c r="G905" s="353"/>
      <c r="H905" s="353"/>
      <c r="I905" s="354"/>
      <c r="J905" s="353"/>
    </row>
    <row r="906" spans="1:10">
      <c r="A906" s="350" t="s">
        <v>337</v>
      </c>
      <c r="B906" s="350">
        <v>50</v>
      </c>
      <c r="C906" s="352">
        <v>28.5</v>
      </c>
      <c r="D906" s="353"/>
      <c r="E906" s="353"/>
      <c r="F906" s="353"/>
      <c r="G906" s="353"/>
      <c r="H906" s="353"/>
      <c r="I906" s="354"/>
      <c r="J906" s="353"/>
    </row>
    <row r="907" spans="1:10">
      <c r="A907" s="350" t="s">
        <v>385</v>
      </c>
      <c r="B907" s="351">
        <v>25</v>
      </c>
      <c r="C907" s="352">
        <v>13.5</v>
      </c>
      <c r="D907" s="353">
        <f t="shared" si="114"/>
        <v>2.97</v>
      </c>
      <c r="E907" s="353"/>
      <c r="F907" s="353">
        <f t="shared" si="115"/>
        <v>12.15</v>
      </c>
      <c r="G907" s="353">
        <f>C907+D907+E907+F907</f>
        <v>28.619999999999997</v>
      </c>
      <c r="H907" s="353">
        <f>G907*0.35</f>
        <v>10.016999999999998</v>
      </c>
      <c r="I907" s="354">
        <f>G907+H907</f>
        <v>38.636999999999993</v>
      </c>
      <c r="J907" s="353"/>
    </row>
    <row r="908" spans="1:10">
      <c r="A908" s="350"/>
      <c r="B908" s="351"/>
      <c r="C908" s="352"/>
      <c r="D908" s="353"/>
      <c r="E908" s="353"/>
      <c r="F908" s="353"/>
      <c r="G908" s="353"/>
      <c r="H908" s="353"/>
      <c r="I908" s="354"/>
      <c r="J908" s="353"/>
    </row>
    <row r="909" spans="1:10" ht="21">
      <c r="A909" s="345" t="s">
        <v>1299</v>
      </c>
      <c r="B909" s="346"/>
      <c r="C909" s="347">
        <f>C910+C911</f>
        <v>39.6</v>
      </c>
      <c r="D909" s="347">
        <f t="shared" si="114"/>
        <v>8.7119999999999997</v>
      </c>
      <c r="E909" s="347">
        <v>0.09</v>
      </c>
      <c r="F909" s="347">
        <f t="shared" si="115"/>
        <v>35.64</v>
      </c>
      <c r="G909" s="347">
        <f>C909+D909+E909+F909</f>
        <v>84.042000000000002</v>
      </c>
      <c r="H909" s="347">
        <f>G909*0.35</f>
        <v>29.4147</v>
      </c>
      <c r="I909" s="348">
        <f>G909+H909</f>
        <v>113.4567</v>
      </c>
      <c r="J909" s="349">
        <f>I909+I913+I912</f>
        <v>136.63890000000001</v>
      </c>
    </row>
    <row r="910" spans="1:10">
      <c r="A910" s="350" t="s">
        <v>258</v>
      </c>
      <c r="B910" s="350">
        <v>30</v>
      </c>
      <c r="C910" s="352">
        <v>22.5</v>
      </c>
      <c r="D910" s="353"/>
      <c r="E910" s="353"/>
      <c r="F910" s="353"/>
      <c r="G910" s="353"/>
      <c r="H910" s="353"/>
      <c r="I910" s="354"/>
      <c r="J910" s="353"/>
    </row>
    <row r="911" spans="1:10">
      <c r="A911" s="350" t="s">
        <v>337</v>
      </c>
      <c r="B911" s="350">
        <v>30</v>
      </c>
      <c r="C911" s="352">
        <v>17.100000000000001</v>
      </c>
      <c r="D911" s="353"/>
      <c r="E911" s="353"/>
      <c r="F911" s="353"/>
      <c r="G911" s="353"/>
      <c r="H911" s="353"/>
      <c r="I911" s="354"/>
      <c r="J911" s="353"/>
    </row>
    <row r="912" spans="1:10">
      <c r="A912" s="350" t="s">
        <v>385</v>
      </c>
      <c r="B912" s="351">
        <v>15</v>
      </c>
      <c r="C912" s="352">
        <v>8.1</v>
      </c>
      <c r="D912" s="353">
        <f t="shared" si="114"/>
        <v>1.782</v>
      </c>
      <c r="E912" s="353"/>
      <c r="F912" s="353">
        <f t="shared" si="115"/>
        <v>7.29</v>
      </c>
      <c r="G912" s="353">
        <f>C912+D912+E912+F912</f>
        <v>17.172000000000001</v>
      </c>
      <c r="H912" s="353">
        <f>G912*0.35</f>
        <v>6.0102000000000002</v>
      </c>
      <c r="I912" s="354">
        <f>G912+H912</f>
        <v>23.182200000000002</v>
      </c>
      <c r="J912" s="353"/>
    </row>
    <row r="913" spans="1:10">
      <c r="A913" s="350"/>
      <c r="B913" s="351"/>
      <c r="C913" s="352"/>
      <c r="D913" s="353"/>
      <c r="E913" s="353"/>
      <c r="F913" s="353"/>
      <c r="G913" s="353"/>
      <c r="H913" s="353"/>
      <c r="I913" s="354"/>
      <c r="J913" s="353"/>
    </row>
    <row r="914" spans="1:10">
      <c r="A914" s="345" t="s">
        <v>1300</v>
      </c>
      <c r="B914" s="346"/>
      <c r="C914" s="347">
        <f>C915+C916</f>
        <v>52.8</v>
      </c>
      <c r="D914" s="347">
        <f t="shared" si="114"/>
        <v>11.616</v>
      </c>
      <c r="E914" s="347">
        <v>0.09</v>
      </c>
      <c r="F914" s="347">
        <f t="shared" si="115"/>
        <v>47.519999999999996</v>
      </c>
      <c r="G914" s="347">
        <f>C914+D914+E914+F914</f>
        <v>112.026</v>
      </c>
      <c r="H914" s="347">
        <f>G914*0.35</f>
        <v>39.209099999999999</v>
      </c>
      <c r="I914" s="348">
        <f>G914+H914</f>
        <v>151.23509999999999</v>
      </c>
      <c r="J914" s="349">
        <f>I914+I918+I917</f>
        <v>182.1447</v>
      </c>
    </row>
    <row r="915" spans="1:10">
      <c r="A915" s="350" t="s">
        <v>258</v>
      </c>
      <c r="B915" s="350">
        <v>40</v>
      </c>
      <c r="C915" s="352">
        <v>30</v>
      </c>
      <c r="D915" s="353"/>
      <c r="E915" s="353"/>
      <c r="F915" s="353"/>
      <c r="G915" s="353"/>
      <c r="H915" s="353"/>
      <c r="I915" s="354"/>
      <c r="J915" s="353"/>
    </row>
    <row r="916" spans="1:10">
      <c r="A916" s="350" t="s">
        <v>337</v>
      </c>
      <c r="B916" s="350">
        <v>40</v>
      </c>
      <c r="C916" s="352">
        <v>22.8</v>
      </c>
      <c r="D916" s="353"/>
      <c r="E916" s="353"/>
      <c r="F916" s="353"/>
      <c r="G916" s="353"/>
      <c r="H916" s="353"/>
      <c r="I916" s="354"/>
      <c r="J916" s="353"/>
    </row>
    <row r="917" spans="1:10">
      <c r="A917" s="350" t="s">
        <v>385</v>
      </c>
      <c r="B917" s="351">
        <v>20</v>
      </c>
      <c r="C917" s="352">
        <v>10.8</v>
      </c>
      <c r="D917" s="353">
        <f t="shared" si="114"/>
        <v>2.3760000000000003</v>
      </c>
      <c r="E917" s="353"/>
      <c r="F917" s="353">
        <f t="shared" si="115"/>
        <v>9.7200000000000006</v>
      </c>
      <c r="G917" s="353">
        <f>C917+D917+E917+F917</f>
        <v>22.896000000000001</v>
      </c>
      <c r="H917" s="353">
        <f>G917*0.35</f>
        <v>8.0136000000000003</v>
      </c>
      <c r="I917" s="354">
        <f>G917+H917</f>
        <v>30.909600000000001</v>
      </c>
      <c r="J917" s="353"/>
    </row>
    <row r="918" spans="1:10">
      <c r="A918" s="350"/>
      <c r="B918" s="351"/>
      <c r="C918" s="352"/>
      <c r="D918" s="353"/>
      <c r="E918" s="353"/>
      <c r="F918" s="353"/>
      <c r="G918" s="353"/>
      <c r="H918" s="353"/>
      <c r="I918" s="354"/>
      <c r="J918" s="353"/>
    </row>
    <row r="919" spans="1:10">
      <c r="A919" s="345" t="s">
        <v>1301</v>
      </c>
      <c r="B919" s="346"/>
      <c r="C919" s="347">
        <f>C920+C921</f>
        <v>52.8</v>
      </c>
      <c r="D919" s="347">
        <f t="shared" si="114"/>
        <v>11.616</v>
      </c>
      <c r="E919" s="347">
        <v>0.09</v>
      </c>
      <c r="F919" s="347">
        <f t="shared" si="115"/>
        <v>47.519999999999996</v>
      </c>
      <c r="G919" s="347">
        <f>C919+D919+E919+F919</f>
        <v>112.026</v>
      </c>
      <c r="H919" s="347">
        <f>G919*0.35</f>
        <v>39.209099999999999</v>
      </c>
      <c r="I919" s="348">
        <f>G919+H919</f>
        <v>151.23509999999999</v>
      </c>
      <c r="J919" s="349">
        <f>I919+I923+I922</f>
        <v>174.41729999999998</v>
      </c>
    </row>
    <row r="920" spans="1:10">
      <c r="A920" s="350" t="s">
        <v>258</v>
      </c>
      <c r="B920" s="350">
        <v>40</v>
      </c>
      <c r="C920" s="352">
        <v>30</v>
      </c>
      <c r="D920" s="353"/>
      <c r="E920" s="353"/>
      <c r="F920" s="353"/>
      <c r="G920" s="353"/>
      <c r="H920" s="353"/>
      <c r="I920" s="354"/>
      <c r="J920" s="353"/>
    </row>
    <row r="921" spans="1:10">
      <c r="A921" s="350" t="s">
        <v>337</v>
      </c>
      <c r="B921" s="350">
        <v>40</v>
      </c>
      <c r="C921" s="352">
        <v>22.8</v>
      </c>
      <c r="D921" s="353"/>
      <c r="E921" s="353"/>
      <c r="F921" s="353"/>
      <c r="G921" s="353"/>
      <c r="H921" s="353"/>
      <c r="I921" s="354"/>
      <c r="J921" s="353"/>
    </row>
    <row r="922" spans="1:10">
      <c r="A922" s="350" t="s">
        <v>385</v>
      </c>
      <c r="B922" s="351">
        <v>15</v>
      </c>
      <c r="C922" s="352">
        <v>8.1</v>
      </c>
      <c r="D922" s="353">
        <f t="shared" si="114"/>
        <v>1.782</v>
      </c>
      <c r="E922" s="353"/>
      <c r="F922" s="353">
        <f t="shared" si="115"/>
        <v>7.29</v>
      </c>
      <c r="G922" s="353">
        <f>C922+D922+E922+F922</f>
        <v>17.172000000000001</v>
      </c>
      <c r="H922" s="353">
        <f>G922*0.35</f>
        <v>6.0102000000000002</v>
      </c>
      <c r="I922" s="354">
        <f>G922+H922</f>
        <v>23.182200000000002</v>
      </c>
      <c r="J922" s="353"/>
    </row>
    <row r="923" spans="1:10">
      <c r="A923" s="350"/>
      <c r="B923" s="351"/>
      <c r="C923" s="352"/>
      <c r="D923" s="353"/>
      <c r="E923" s="353"/>
      <c r="F923" s="353"/>
      <c r="G923" s="353"/>
      <c r="H923" s="353"/>
      <c r="I923" s="354"/>
      <c r="J923" s="353"/>
    </row>
    <row r="924" spans="1:10">
      <c r="A924" s="345" t="s">
        <v>1302</v>
      </c>
      <c r="B924" s="346"/>
      <c r="C924" s="347">
        <f>C925+C926</f>
        <v>39.6</v>
      </c>
      <c r="D924" s="347">
        <f t="shared" si="114"/>
        <v>8.7119999999999997</v>
      </c>
      <c r="E924" s="347">
        <v>0.09</v>
      </c>
      <c r="F924" s="347">
        <f t="shared" si="115"/>
        <v>35.64</v>
      </c>
      <c r="G924" s="347">
        <f>C924+D924+E924+F924</f>
        <v>84.042000000000002</v>
      </c>
      <c r="H924" s="347">
        <f>G924*0.35</f>
        <v>29.4147</v>
      </c>
      <c r="I924" s="348">
        <f>G924+H924</f>
        <v>113.4567</v>
      </c>
      <c r="J924" s="349">
        <f>I924+I928+I927</f>
        <v>136.63890000000001</v>
      </c>
    </row>
    <row r="925" spans="1:10">
      <c r="A925" s="350" t="s">
        <v>258</v>
      </c>
      <c r="B925" s="350">
        <v>30</v>
      </c>
      <c r="C925" s="352">
        <v>22.5</v>
      </c>
      <c r="D925" s="353"/>
      <c r="E925" s="353"/>
      <c r="F925" s="353"/>
      <c r="G925" s="353"/>
      <c r="H925" s="353"/>
      <c r="I925" s="354"/>
      <c r="J925" s="355"/>
    </row>
    <row r="926" spans="1:10">
      <c r="A926" s="350" t="s">
        <v>337</v>
      </c>
      <c r="B926" s="350">
        <v>30</v>
      </c>
      <c r="C926" s="352">
        <v>17.100000000000001</v>
      </c>
      <c r="D926" s="353"/>
      <c r="E926" s="353"/>
      <c r="F926" s="353"/>
      <c r="G926" s="353"/>
      <c r="H926" s="353"/>
      <c r="I926" s="354"/>
      <c r="J926" s="355"/>
    </row>
    <row r="927" spans="1:10">
      <c r="A927" s="350" t="s">
        <v>385</v>
      </c>
      <c r="B927" s="351">
        <v>15</v>
      </c>
      <c r="C927" s="352">
        <v>8.1</v>
      </c>
      <c r="D927" s="353">
        <f t="shared" ref="D927" si="116">C927*0.22</f>
        <v>1.782</v>
      </c>
      <c r="E927" s="353"/>
      <c r="F927" s="353">
        <f t="shared" si="115"/>
        <v>7.29</v>
      </c>
      <c r="G927" s="353">
        <f>C927+D927+E927+F927</f>
        <v>17.172000000000001</v>
      </c>
      <c r="H927" s="353">
        <f>G927*0.35</f>
        <v>6.0102000000000002</v>
      </c>
      <c r="I927" s="354">
        <f>G927+H927</f>
        <v>23.182200000000002</v>
      </c>
      <c r="J927" s="355"/>
    </row>
    <row r="928" spans="1:10" ht="12.75">
      <c r="A928" s="394"/>
      <c r="B928" s="395"/>
      <c r="C928" s="396"/>
      <c r="D928" s="397"/>
      <c r="E928" s="397"/>
      <c r="F928" s="397"/>
      <c r="G928" s="397"/>
      <c r="H928" s="397"/>
      <c r="I928" s="398"/>
      <c r="J928" s="399"/>
    </row>
    <row r="929" spans="1:10" ht="12.75">
      <c r="A929" s="368" t="s">
        <v>1303</v>
      </c>
      <c r="B929" s="400"/>
      <c r="C929" s="400"/>
      <c r="D929" s="400"/>
      <c r="E929" s="400"/>
      <c r="F929" s="400"/>
      <c r="G929" s="400"/>
      <c r="H929" s="400"/>
      <c r="I929" s="400"/>
      <c r="J929" s="401"/>
    </row>
    <row r="930" spans="1:10">
      <c r="A930" s="345" t="s">
        <v>1304</v>
      </c>
      <c r="B930" s="346"/>
      <c r="C930" s="347">
        <f>C931+C932</f>
        <v>13.2</v>
      </c>
      <c r="D930" s="347">
        <f t="shared" ref="D930:D953" si="117">C930*0.22</f>
        <v>2.9039999999999999</v>
      </c>
      <c r="E930" s="347">
        <v>4</v>
      </c>
      <c r="F930" s="347">
        <f t="shared" ref="F930:F953" si="118">C930*0.9</f>
        <v>11.879999999999999</v>
      </c>
      <c r="G930" s="347">
        <f>C930+D930+E930+F930</f>
        <v>31.983999999999998</v>
      </c>
      <c r="H930" s="347">
        <f>G930*0.35</f>
        <v>11.194399999999998</v>
      </c>
      <c r="I930" s="348">
        <f>G930+H930</f>
        <v>43.178399999999996</v>
      </c>
      <c r="J930" s="349">
        <f>I930+I934+I933</f>
        <v>50.905799999999999</v>
      </c>
    </row>
    <row r="931" spans="1:10">
      <c r="A931" s="350" t="s">
        <v>258</v>
      </c>
      <c r="B931" s="350">
        <v>10</v>
      </c>
      <c r="C931" s="352">
        <v>7.5</v>
      </c>
      <c r="D931" s="353"/>
      <c r="E931" s="353"/>
      <c r="F931" s="353"/>
      <c r="G931" s="353"/>
      <c r="H931" s="353"/>
      <c r="I931" s="354"/>
      <c r="J931" s="353"/>
    </row>
    <row r="932" spans="1:10">
      <c r="A932" s="350" t="s">
        <v>337</v>
      </c>
      <c r="B932" s="350">
        <v>10</v>
      </c>
      <c r="C932" s="352">
        <v>5.7</v>
      </c>
      <c r="D932" s="353"/>
      <c r="E932" s="353"/>
      <c r="F932" s="353"/>
      <c r="G932" s="353"/>
      <c r="H932" s="353"/>
      <c r="I932" s="354"/>
      <c r="J932" s="353"/>
    </row>
    <row r="933" spans="1:10">
      <c r="A933" s="350" t="s">
        <v>385</v>
      </c>
      <c r="B933" s="351">
        <v>5</v>
      </c>
      <c r="C933" s="352">
        <v>2.7</v>
      </c>
      <c r="D933" s="353">
        <f t="shared" si="117"/>
        <v>0.59400000000000008</v>
      </c>
      <c r="E933" s="353"/>
      <c r="F933" s="353">
        <f t="shared" si="118"/>
        <v>2.4300000000000002</v>
      </c>
      <c r="G933" s="353">
        <f>C933+D933+E933+F933</f>
        <v>5.7240000000000002</v>
      </c>
      <c r="H933" s="353">
        <f>G933*0.35</f>
        <v>2.0034000000000001</v>
      </c>
      <c r="I933" s="354">
        <f>G933+H933</f>
        <v>7.7274000000000003</v>
      </c>
      <c r="J933" s="353"/>
    </row>
    <row r="934" spans="1:10">
      <c r="A934" s="350"/>
      <c r="B934" s="351"/>
      <c r="C934" s="352"/>
      <c r="D934" s="353"/>
      <c r="E934" s="353"/>
      <c r="F934" s="353"/>
      <c r="G934" s="353"/>
      <c r="H934" s="353"/>
      <c r="I934" s="354"/>
      <c r="J934" s="353"/>
    </row>
    <row r="935" spans="1:10">
      <c r="A935" s="345" t="s">
        <v>1305</v>
      </c>
      <c r="B935" s="346"/>
      <c r="C935" s="347">
        <f>C936+C937</f>
        <v>19.8</v>
      </c>
      <c r="D935" s="347">
        <f t="shared" si="117"/>
        <v>4.3559999999999999</v>
      </c>
      <c r="E935" s="347">
        <v>54.25</v>
      </c>
      <c r="F935" s="347">
        <f t="shared" si="118"/>
        <v>17.82</v>
      </c>
      <c r="G935" s="347">
        <f>C935+D935+E935+F935</f>
        <v>96.225999999999999</v>
      </c>
      <c r="H935" s="347">
        <f>G935*0.35</f>
        <v>33.679099999999998</v>
      </c>
      <c r="I935" s="348">
        <f>G935+H935</f>
        <v>129.9051</v>
      </c>
      <c r="J935" s="349">
        <f>I935+I939+I938</f>
        <v>140.72346000000002</v>
      </c>
    </row>
    <row r="936" spans="1:10">
      <c r="A936" s="350" t="s">
        <v>258</v>
      </c>
      <c r="B936" s="350">
        <v>15</v>
      </c>
      <c r="C936" s="352">
        <v>11.25</v>
      </c>
      <c r="D936" s="353"/>
      <c r="E936" s="353"/>
      <c r="F936" s="353"/>
      <c r="G936" s="353"/>
      <c r="H936" s="353"/>
      <c r="I936" s="354"/>
      <c r="J936" s="353"/>
    </row>
    <row r="937" spans="1:10">
      <c r="A937" s="350" t="s">
        <v>337</v>
      </c>
      <c r="B937" s="350">
        <v>15</v>
      </c>
      <c r="C937" s="352">
        <v>8.5500000000000007</v>
      </c>
      <c r="D937" s="353"/>
      <c r="E937" s="353"/>
      <c r="F937" s="353"/>
      <c r="G937" s="353"/>
      <c r="H937" s="353"/>
      <c r="I937" s="354"/>
      <c r="J937" s="353"/>
    </row>
    <row r="938" spans="1:10">
      <c r="A938" s="350" t="s">
        <v>385</v>
      </c>
      <c r="B938" s="351">
        <v>7</v>
      </c>
      <c r="C938" s="352">
        <v>3.78</v>
      </c>
      <c r="D938" s="353">
        <f t="shared" si="117"/>
        <v>0.83160000000000001</v>
      </c>
      <c r="E938" s="353"/>
      <c r="F938" s="353">
        <f t="shared" si="118"/>
        <v>3.4019999999999997</v>
      </c>
      <c r="G938" s="353">
        <f>C938+D938+E938+F938</f>
        <v>8.0136000000000003</v>
      </c>
      <c r="H938" s="353">
        <f>G938*0.35</f>
        <v>2.8047599999999999</v>
      </c>
      <c r="I938" s="354">
        <f>G938+H938</f>
        <v>10.81836</v>
      </c>
      <c r="J938" s="353"/>
    </row>
    <row r="939" spans="1:10">
      <c r="A939" s="350"/>
      <c r="B939" s="351"/>
      <c r="C939" s="352"/>
      <c r="D939" s="353"/>
      <c r="E939" s="353"/>
      <c r="F939" s="353"/>
      <c r="G939" s="353"/>
      <c r="H939" s="353"/>
      <c r="I939" s="354"/>
      <c r="J939" s="353"/>
    </row>
    <row r="940" spans="1:10">
      <c r="A940" s="345" t="s">
        <v>658</v>
      </c>
      <c r="B940" s="346"/>
      <c r="C940" s="347">
        <f>C941+C942</f>
        <v>19.8</v>
      </c>
      <c r="D940" s="347">
        <f t="shared" si="117"/>
        <v>4.3559999999999999</v>
      </c>
      <c r="E940" s="347">
        <v>85.9</v>
      </c>
      <c r="F940" s="347">
        <f t="shared" si="118"/>
        <v>17.82</v>
      </c>
      <c r="G940" s="347">
        <f>C940+D940+E940+F940</f>
        <v>127.876</v>
      </c>
      <c r="H940" s="347">
        <f>G940*0.35</f>
        <v>44.756599999999999</v>
      </c>
      <c r="I940" s="348">
        <f>G940+H940</f>
        <v>172.6326</v>
      </c>
      <c r="J940" s="349">
        <f>I940+I944+I943</f>
        <v>183.45096000000001</v>
      </c>
    </row>
    <row r="941" spans="1:10">
      <c r="A941" s="350" t="s">
        <v>258</v>
      </c>
      <c r="B941" s="350">
        <v>15</v>
      </c>
      <c r="C941" s="352">
        <v>11.25</v>
      </c>
      <c r="D941" s="353"/>
      <c r="E941" s="353"/>
      <c r="F941" s="353"/>
      <c r="G941" s="353"/>
      <c r="H941" s="353"/>
      <c r="I941" s="354"/>
      <c r="J941" s="353"/>
    </row>
    <row r="942" spans="1:10">
      <c r="A942" s="350" t="s">
        <v>337</v>
      </c>
      <c r="B942" s="350">
        <v>15</v>
      </c>
      <c r="C942" s="352">
        <v>8.5500000000000007</v>
      </c>
      <c r="D942" s="353"/>
      <c r="E942" s="353"/>
      <c r="F942" s="353"/>
      <c r="G942" s="353"/>
      <c r="H942" s="353"/>
      <c r="I942" s="354"/>
      <c r="J942" s="353"/>
    </row>
    <row r="943" spans="1:10">
      <c r="A943" s="350" t="s">
        <v>385</v>
      </c>
      <c r="B943" s="351">
        <v>7</v>
      </c>
      <c r="C943" s="352">
        <v>3.78</v>
      </c>
      <c r="D943" s="353">
        <f t="shared" si="117"/>
        <v>0.83160000000000001</v>
      </c>
      <c r="E943" s="353"/>
      <c r="F943" s="353">
        <f t="shared" si="118"/>
        <v>3.4019999999999997</v>
      </c>
      <c r="G943" s="353">
        <f>C943+D943+E943+F943</f>
        <v>8.0136000000000003</v>
      </c>
      <c r="H943" s="353">
        <f>G943*0.35</f>
        <v>2.8047599999999999</v>
      </c>
      <c r="I943" s="354">
        <f>G943+H943</f>
        <v>10.81836</v>
      </c>
      <c r="J943" s="353"/>
    </row>
    <row r="944" spans="1:10">
      <c r="A944" s="350"/>
      <c r="B944" s="351"/>
      <c r="C944" s="352"/>
      <c r="D944" s="353"/>
      <c r="E944" s="353"/>
      <c r="F944" s="353"/>
      <c r="G944" s="353"/>
      <c r="H944" s="353"/>
      <c r="I944" s="354"/>
      <c r="J944" s="353"/>
    </row>
    <row r="945" spans="1:10" ht="21">
      <c r="A945" s="345" t="s">
        <v>1306</v>
      </c>
      <c r="B945" s="346"/>
      <c r="C945" s="347">
        <f>C946+C947</f>
        <v>19.8</v>
      </c>
      <c r="D945" s="347">
        <f t="shared" si="117"/>
        <v>4.3559999999999999</v>
      </c>
      <c r="E945" s="347">
        <v>44.65</v>
      </c>
      <c r="F945" s="347">
        <f t="shared" si="118"/>
        <v>17.82</v>
      </c>
      <c r="G945" s="347">
        <f>C945+D945+E945+F945</f>
        <v>86.626000000000005</v>
      </c>
      <c r="H945" s="347">
        <f>G945*0.35</f>
        <v>30.319099999999999</v>
      </c>
      <c r="I945" s="348">
        <f>G945+H945</f>
        <v>116.9451</v>
      </c>
      <c r="J945" s="349">
        <f>I945+I949+I948</f>
        <v>127.76345999999999</v>
      </c>
    </row>
    <row r="946" spans="1:10">
      <c r="A946" s="350" t="s">
        <v>258</v>
      </c>
      <c r="B946" s="350">
        <v>15</v>
      </c>
      <c r="C946" s="352">
        <v>11.25</v>
      </c>
      <c r="D946" s="353"/>
      <c r="E946" s="353"/>
      <c r="F946" s="353"/>
      <c r="G946" s="353"/>
      <c r="H946" s="353"/>
      <c r="I946" s="354"/>
      <c r="J946" s="353"/>
    </row>
    <row r="947" spans="1:10">
      <c r="A947" s="350" t="s">
        <v>337</v>
      </c>
      <c r="B947" s="350">
        <v>15</v>
      </c>
      <c r="C947" s="352">
        <v>8.5500000000000007</v>
      </c>
      <c r="D947" s="353"/>
      <c r="E947" s="353"/>
      <c r="F947" s="353"/>
      <c r="G947" s="353"/>
      <c r="H947" s="353"/>
      <c r="I947" s="354"/>
      <c r="J947" s="353"/>
    </row>
    <row r="948" spans="1:10">
      <c r="A948" s="350" t="s">
        <v>385</v>
      </c>
      <c r="B948" s="351">
        <v>7</v>
      </c>
      <c r="C948" s="352">
        <v>3.78</v>
      </c>
      <c r="D948" s="353">
        <f t="shared" si="117"/>
        <v>0.83160000000000001</v>
      </c>
      <c r="E948" s="353"/>
      <c r="F948" s="353">
        <f t="shared" si="118"/>
        <v>3.4019999999999997</v>
      </c>
      <c r="G948" s="353">
        <f>C948+D948+E948+F948</f>
        <v>8.0136000000000003</v>
      </c>
      <c r="H948" s="353">
        <f>G948*0.35</f>
        <v>2.8047599999999999</v>
      </c>
      <c r="I948" s="354">
        <f>G948+H948</f>
        <v>10.81836</v>
      </c>
      <c r="J948" s="353"/>
    </row>
    <row r="949" spans="1:10">
      <c r="A949" s="350"/>
      <c r="B949" s="351"/>
      <c r="C949" s="352"/>
      <c r="D949" s="353"/>
      <c r="E949" s="353"/>
      <c r="F949" s="353"/>
      <c r="G949" s="353"/>
      <c r="H949" s="353"/>
      <c r="I949" s="354"/>
      <c r="J949" s="353"/>
    </row>
    <row r="950" spans="1:10" ht="21">
      <c r="A950" s="345" t="s">
        <v>1307</v>
      </c>
      <c r="B950" s="346"/>
      <c r="C950" s="347">
        <f>C951+C952</f>
        <v>2.6399999999999997</v>
      </c>
      <c r="D950" s="347">
        <f t="shared" si="117"/>
        <v>0.58079999999999998</v>
      </c>
      <c r="E950" s="347">
        <v>54</v>
      </c>
      <c r="F950" s="347">
        <f t="shared" si="118"/>
        <v>2.3759999999999999</v>
      </c>
      <c r="G950" s="347">
        <f>C950+D950+E950+F950</f>
        <v>59.596799999999995</v>
      </c>
      <c r="H950" s="347">
        <f>G950*0.35</f>
        <v>20.858879999999996</v>
      </c>
      <c r="I950" s="348">
        <f>G950+H950</f>
        <v>80.455679999999987</v>
      </c>
      <c r="J950" s="349">
        <f>I950+I954+I953</f>
        <v>82.001159999999985</v>
      </c>
    </row>
    <row r="951" spans="1:10">
      <c r="A951" s="350" t="s">
        <v>258</v>
      </c>
      <c r="B951" s="350">
        <v>2</v>
      </c>
      <c r="C951" s="352">
        <v>1.5</v>
      </c>
      <c r="D951" s="353"/>
      <c r="E951" s="353"/>
      <c r="F951" s="353"/>
      <c r="G951" s="353"/>
      <c r="H951" s="353"/>
      <c r="I951" s="354"/>
      <c r="J951" s="355"/>
    </row>
    <row r="952" spans="1:10">
      <c r="A952" s="350" t="s">
        <v>337</v>
      </c>
      <c r="B952" s="350">
        <v>2</v>
      </c>
      <c r="C952" s="352">
        <v>1.1399999999999999</v>
      </c>
      <c r="D952" s="353"/>
      <c r="E952" s="353"/>
      <c r="F952" s="353"/>
      <c r="G952" s="353"/>
      <c r="H952" s="353"/>
      <c r="I952" s="354"/>
      <c r="J952" s="355"/>
    </row>
    <row r="953" spans="1:10">
      <c r="A953" s="350" t="s">
        <v>385</v>
      </c>
      <c r="B953" s="351">
        <v>1</v>
      </c>
      <c r="C953" s="352">
        <v>0.54</v>
      </c>
      <c r="D953" s="353">
        <f t="shared" si="117"/>
        <v>0.1188</v>
      </c>
      <c r="E953" s="353"/>
      <c r="F953" s="353">
        <f t="shared" si="118"/>
        <v>0.48600000000000004</v>
      </c>
      <c r="G953" s="353">
        <f>C953+D953+E953+F953</f>
        <v>1.1448</v>
      </c>
      <c r="H953" s="353">
        <f>G953*0.35</f>
        <v>0.40067999999999998</v>
      </c>
      <c r="I953" s="354">
        <f>G953+H953</f>
        <v>1.54548</v>
      </c>
      <c r="J953" s="355"/>
    </row>
    <row r="954" spans="1:10" ht="12.75">
      <c r="A954" s="394"/>
      <c r="B954" s="395"/>
      <c r="C954" s="402"/>
      <c r="D954" s="403"/>
      <c r="E954" s="399"/>
      <c r="F954" s="403"/>
      <c r="G954" s="403"/>
      <c r="H954" s="403"/>
      <c r="I954" s="404"/>
      <c r="J954" s="399"/>
    </row>
    <row r="955" spans="1:10" ht="12.75">
      <c r="A955" s="368" t="s">
        <v>1308</v>
      </c>
      <c r="B955" s="369"/>
      <c r="C955" s="369"/>
      <c r="D955" s="369"/>
      <c r="E955" s="369"/>
      <c r="F955" s="369"/>
      <c r="G955" s="369"/>
      <c r="H955" s="369"/>
      <c r="I955" s="369"/>
      <c r="J955" s="370"/>
    </row>
    <row r="956" spans="1:10" ht="21">
      <c r="A956" s="345" t="s">
        <v>1309</v>
      </c>
      <c r="B956" s="359"/>
      <c r="C956" s="347">
        <f>C957+C958</f>
        <v>17.16</v>
      </c>
      <c r="D956" s="347">
        <f>C956*0.22</f>
        <v>3.7751999999999999</v>
      </c>
      <c r="E956" s="347">
        <v>1</v>
      </c>
      <c r="F956" s="347">
        <f t="shared" ref="F956:F966" si="119">C956*0.9</f>
        <v>15.444000000000001</v>
      </c>
      <c r="G956" s="347">
        <f>C956+D956+E956+F956</f>
        <v>37.379200000000004</v>
      </c>
      <c r="H956" s="347">
        <f>G956*0.35</f>
        <v>13.08272</v>
      </c>
      <c r="I956" s="348">
        <f>G956+H956</f>
        <v>50.461920000000006</v>
      </c>
      <c r="J956" s="349">
        <f>I956+I959+I960</f>
        <v>59.734800000000007</v>
      </c>
    </row>
    <row r="957" spans="1:10">
      <c r="A957" s="350" t="s">
        <v>258</v>
      </c>
      <c r="B957" s="360">
        <v>12</v>
      </c>
      <c r="C957" s="352">
        <v>10.32</v>
      </c>
      <c r="D957" s="353"/>
      <c r="E957" s="352"/>
      <c r="F957" s="353">
        <f t="shared" si="119"/>
        <v>9.2880000000000003</v>
      </c>
      <c r="G957" s="353"/>
      <c r="H957" s="353"/>
      <c r="I957" s="354"/>
      <c r="J957" s="353"/>
    </row>
    <row r="958" spans="1:10">
      <c r="A958" s="350" t="s">
        <v>337</v>
      </c>
      <c r="B958" s="360">
        <v>12</v>
      </c>
      <c r="C958" s="352">
        <v>6.84</v>
      </c>
      <c r="D958" s="353"/>
      <c r="E958" s="352"/>
      <c r="F958" s="353">
        <f t="shared" si="119"/>
        <v>6.1559999999999997</v>
      </c>
      <c r="G958" s="353"/>
      <c r="H958" s="353"/>
      <c r="I958" s="354"/>
      <c r="J958" s="353"/>
    </row>
    <row r="959" spans="1:10">
      <c r="A959" s="350" t="s">
        <v>385</v>
      </c>
      <c r="B959" s="351">
        <v>6</v>
      </c>
      <c r="C959" s="352">
        <v>3.24</v>
      </c>
      <c r="D959" s="353">
        <f>C959*0.22</f>
        <v>0.7128000000000001</v>
      </c>
      <c r="E959" s="353"/>
      <c r="F959" s="353">
        <f t="shared" si="119"/>
        <v>2.9160000000000004</v>
      </c>
      <c r="G959" s="353">
        <f>C959+D959+E959+F959</f>
        <v>6.8688000000000002</v>
      </c>
      <c r="H959" s="353">
        <f>G959*0.35</f>
        <v>2.40408</v>
      </c>
      <c r="I959" s="354">
        <f>G959+H959</f>
        <v>9.2728800000000007</v>
      </c>
      <c r="J959" s="353"/>
    </row>
    <row r="960" spans="1:10">
      <c r="A960" s="350"/>
      <c r="B960" s="351"/>
      <c r="C960" s="352"/>
      <c r="D960" s="353"/>
      <c r="E960" s="353"/>
      <c r="F960" s="353"/>
      <c r="G960" s="353"/>
      <c r="H960" s="353"/>
      <c r="I960" s="354"/>
      <c r="J960" s="353"/>
    </row>
    <row r="961" spans="1:10">
      <c r="A961" s="345" t="s">
        <v>1310</v>
      </c>
      <c r="B961" s="359"/>
      <c r="C961" s="347">
        <f>C962+C963</f>
        <v>42.900000000000006</v>
      </c>
      <c r="D961" s="347">
        <f>C961*0.22</f>
        <v>9.4380000000000006</v>
      </c>
      <c r="E961" s="347">
        <v>1</v>
      </c>
      <c r="F961" s="347">
        <f t="shared" si="119"/>
        <v>38.610000000000007</v>
      </c>
      <c r="G961" s="347">
        <f>C961+D961+E961+F961</f>
        <v>91.948000000000008</v>
      </c>
      <c r="H961" s="347">
        <f>G961*0.35</f>
        <v>32.181800000000003</v>
      </c>
      <c r="I961" s="348">
        <f>G961+H961</f>
        <v>124.12980000000002</v>
      </c>
      <c r="J961" s="349">
        <f>I961+I964+I965</f>
        <v>147.31200000000001</v>
      </c>
    </row>
    <row r="962" spans="1:10">
      <c r="A962" s="350" t="s">
        <v>258</v>
      </c>
      <c r="B962" s="360">
        <v>30</v>
      </c>
      <c r="C962" s="352">
        <v>25.8</v>
      </c>
      <c r="D962" s="353"/>
      <c r="E962" s="352"/>
      <c r="F962" s="353">
        <f t="shared" si="119"/>
        <v>23.220000000000002</v>
      </c>
      <c r="G962" s="353"/>
      <c r="H962" s="353"/>
      <c r="I962" s="354"/>
      <c r="J962" s="353"/>
    </row>
    <row r="963" spans="1:10">
      <c r="A963" s="350" t="s">
        <v>337</v>
      </c>
      <c r="B963" s="360">
        <v>30</v>
      </c>
      <c r="C963" s="352">
        <v>17.100000000000001</v>
      </c>
      <c r="D963" s="353"/>
      <c r="E963" s="352"/>
      <c r="F963" s="353">
        <f t="shared" si="119"/>
        <v>15.390000000000002</v>
      </c>
      <c r="G963" s="353"/>
      <c r="H963" s="353"/>
      <c r="I963" s="354"/>
      <c r="J963" s="353"/>
    </row>
    <row r="964" spans="1:10">
      <c r="A964" s="350" t="s">
        <v>385</v>
      </c>
      <c r="B964" s="351">
        <v>15</v>
      </c>
      <c r="C964" s="352">
        <v>8.1</v>
      </c>
      <c r="D964" s="353">
        <f>C964*0.22</f>
        <v>1.782</v>
      </c>
      <c r="E964" s="353"/>
      <c r="F964" s="353">
        <f t="shared" si="119"/>
        <v>7.29</v>
      </c>
      <c r="G964" s="353">
        <f>C964+D964+E964+F964</f>
        <v>17.172000000000001</v>
      </c>
      <c r="H964" s="353">
        <f>G964*0.35</f>
        <v>6.0102000000000002</v>
      </c>
      <c r="I964" s="354">
        <f>G964+H964</f>
        <v>23.182200000000002</v>
      </c>
      <c r="J964" s="353"/>
    </row>
    <row r="965" spans="1:10">
      <c r="A965" s="350"/>
      <c r="B965" s="351"/>
      <c r="C965" s="352"/>
      <c r="D965" s="353"/>
      <c r="E965" s="353"/>
      <c r="F965" s="353"/>
      <c r="G965" s="353"/>
      <c r="H965" s="353"/>
      <c r="I965" s="354"/>
      <c r="J965" s="353"/>
    </row>
    <row r="966" spans="1:10">
      <c r="A966" s="345" t="s">
        <v>1311</v>
      </c>
      <c r="B966" s="346"/>
      <c r="C966" s="347">
        <f>C967+C968</f>
        <v>21.450000000000003</v>
      </c>
      <c r="D966" s="347">
        <f>C966*0.22</f>
        <v>4.7190000000000003</v>
      </c>
      <c r="E966" s="347">
        <v>1</v>
      </c>
      <c r="F966" s="347">
        <f t="shared" si="119"/>
        <v>19.305000000000003</v>
      </c>
      <c r="G966" s="347">
        <f>C966+D966+E966+F966</f>
        <v>46.474000000000004</v>
      </c>
      <c r="H966" s="347">
        <f>G966*0.35</f>
        <v>16.265900000000002</v>
      </c>
      <c r="I966" s="348">
        <f>G966+H966</f>
        <v>62.739900000000006</v>
      </c>
      <c r="J966" s="349">
        <f>I966+I970+I969</f>
        <v>66.6036</v>
      </c>
    </row>
    <row r="967" spans="1:10">
      <c r="A967" s="350" t="s">
        <v>258</v>
      </c>
      <c r="B967" s="350">
        <v>15</v>
      </c>
      <c r="C967" s="352">
        <v>12.9</v>
      </c>
      <c r="D967" s="353"/>
      <c r="E967" s="353"/>
      <c r="F967" s="353"/>
      <c r="G967" s="353"/>
      <c r="H967" s="353"/>
      <c r="I967" s="354"/>
      <c r="J967" s="353"/>
    </row>
    <row r="968" spans="1:10">
      <c r="A968" s="350" t="s">
        <v>337</v>
      </c>
      <c r="B968" s="355">
        <v>15</v>
      </c>
      <c r="C968" s="353">
        <v>8.5500000000000007</v>
      </c>
      <c r="D968" s="381"/>
      <c r="E968" s="381"/>
      <c r="F968" s="353"/>
      <c r="G968" s="353"/>
      <c r="H968" s="353"/>
      <c r="I968" s="405"/>
      <c r="J968" s="381"/>
    </row>
    <row r="969" spans="1:10" s="406" customFormat="1">
      <c r="A969" s="350" t="s">
        <v>385</v>
      </c>
      <c r="B969" s="351">
        <v>2.5</v>
      </c>
      <c r="C969" s="352">
        <v>1.35</v>
      </c>
      <c r="D969" s="353">
        <f>C969*0.22</f>
        <v>0.29700000000000004</v>
      </c>
      <c r="E969" s="353"/>
      <c r="F969" s="353">
        <f>C969*0.9</f>
        <v>1.2150000000000001</v>
      </c>
      <c r="G969" s="353">
        <f>C969+D969+E969+F969</f>
        <v>2.8620000000000001</v>
      </c>
      <c r="H969" s="353">
        <f>G969*0.35</f>
        <v>1.0017</v>
      </c>
      <c r="I969" s="354">
        <f>G969+H969</f>
        <v>3.8637000000000001</v>
      </c>
      <c r="J969" s="381"/>
    </row>
    <row r="970" spans="1:10" s="406" customFormat="1">
      <c r="A970" s="350"/>
      <c r="B970" s="351"/>
      <c r="C970" s="352"/>
      <c r="D970" s="353"/>
      <c r="E970" s="353"/>
      <c r="F970" s="353"/>
      <c r="G970" s="353"/>
      <c r="H970" s="353"/>
      <c r="I970" s="354"/>
      <c r="J970" s="381"/>
    </row>
    <row r="971" spans="1:10" s="406" customFormat="1">
      <c r="A971" s="345" t="s">
        <v>1312</v>
      </c>
      <c r="B971" s="346"/>
      <c r="C971" s="347">
        <f>C972+C973</f>
        <v>42.900000000000006</v>
      </c>
      <c r="D971" s="347">
        <f>C971*0.22</f>
        <v>9.4380000000000006</v>
      </c>
      <c r="E971" s="347">
        <v>71.63</v>
      </c>
      <c r="F971" s="347">
        <f>C971*0.9</f>
        <v>38.610000000000007</v>
      </c>
      <c r="G971" s="347">
        <f>C971+D971+E971+F971</f>
        <v>162.578</v>
      </c>
      <c r="H971" s="347">
        <f>G971*0.35</f>
        <v>56.902299999999997</v>
      </c>
      <c r="I971" s="348">
        <f>G971+H971</f>
        <v>219.4803</v>
      </c>
      <c r="J971" s="349">
        <f>I971+I975+I974</f>
        <v>242.66249999999999</v>
      </c>
    </row>
    <row r="972" spans="1:10" s="406" customFormat="1">
      <c r="A972" s="350" t="s">
        <v>258</v>
      </c>
      <c r="B972" s="350">
        <v>30</v>
      </c>
      <c r="C972" s="352">
        <v>25.8</v>
      </c>
      <c r="D972" s="353"/>
      <c r="E972" s="353"/>
      <c r="F972" s="353"/>
      <c r="G972" s="353"/>
      <c r="H972" s="353"/>
      <c r="I972" s="354"/>
      <c r="J972" s="353"/>
    </row>
    <row r="973" spans="1:10" s="406" customFormat="1">
      <c r="A973" s="350" t="s">
        <v>337</v>
      </c>
      <c r="B973" s="355">
        <v>30</v>
      </c>
      <c r="C973" s="353">
        <v>17.100000000000001</v>
      </c>
      <c r="D973" s="381"/>
      <c r="E973" s="381"/>
      <c r="F973" s="353"/>
      <c r="G973" s="353"/>
      <c r="H973" s="353"/>
      <c r="I973" s="405"/>
      <c r="J973" s="381"/>
    </row>
    <row r="974" spans="1:10" s="406" customFormat="1">
      <c r="A974" s="350" t="s">
        <v>385</v>
      </c>
      <c r="B974" s="351">
        <v>15</v>
      </c>
      <c r="C974" s="352">
        <v>8.1</v>
      </c>
      <c r="D974" s="353">
        <f>C974*0.22</f>
        <v>1.782</v>
      </c>
      <c r="E974" s="353"/>
      <c r="F974" s="353">
        <f>C974*0.9</f>
        <v>7.29</v>
      </c>
      <c r="G974" s="353">
        <f>C974+D974+E974+F974</f>
        <v>17.172000000000001</v>
      </c>
      <c r="H974" s="353">
        <f>G974*0.35</f>
        <v>6.0102000000000002</v>
      </c>
      <c r="I974" s="354">
        <f>G974+H974</f>
        <v>23.182200000000002</v>
      </c>
      <c r="J974" s="381"/>
    </row>
    <row r="975" spans="1:10" s="406" customFormat="1">
      <c r="A975" s="350"/>
      <c r="B975" s="351"/>
      <c r="C975" s="352"/>
      <c r="D975" s="353"/>
      <c r="E975" s="353"/>
      <c r="F975" s="353"/>
      <c r="G975" s="353"/>
      <c r="H975" s="353"/>
      <c r="I975" s="354"/>
      <c r="J975" s="381"/>
    </row>
    <row r="976" spans="1:10" s="406" customFormat="1" ht="21">
      <c r="A976" s="345" t="s">
        <v>1313</v>
      </c>
      <c r="B976" s="346"/>
      <c r="C976" s="347">
        <f>C977+C978</f>
        <v>42.900000000000006</v>
      </c>
      <c r="D976" s="347">
        <f>C976*0.22</f>
        <v>9.4380000000000006</v>
      </c>
      <c r="E976" s="347">
        <v>76.959999999999994</v>
      </c>
      <c r="F976" s="347">
        <f>C976*0.9</f>
        <v>38.610000000000007</v>
      </c>
      <c r="G976" s="347">
        <f>C976+D976+E976+F976</f>
        <v>167.90800000000002</v>
      </c>
      <c r="H976" s="347">
        <f>G976*0.35</f>
        <v>58.767800000000001</v>
      </c>
      <c r="I976" s="348">
        <f>G976+H976</f>
        <v>226.67580000000001</v>
      </c>
      <c r="J976" s="349">
        <f>I976+I980+I979</f>
        <v>249.858</v>
      </c>
    </row>
    <row r="977" spans="1:10" s="406" customFormat="1">
      <c r="A977" s="350" t="s">
        <v>258</v>
      </c>
      <c r="B977" s="350">
        <v>30</v>
      </c>
      <c r="C977" s="352">
        <v>25.8</v>
      </c>
      <c r="D977" s="353"/>
      <c r="E977" s="353"/>
      <c r="F977" s="353"/>
      <c r="G977" s="353"/>
      <c r="H977" s="353"/>
      <c r="I977" s="354"/>
      <c r="J977" s="353"/>
    </row>
    <row r="978" spans="1:10" s="406" customFormat="1">
      <c r="A978" s="350" t="s">
        <v>337</v>
      </c>
      <c r="B978" s="355">
        <v>30</v>
      </c>
      <c r="C978" s="353">
        <v>17.100000000000001</v>
      </c>
      <c r="D978" s="381"/>
      <c r="E978" s="381"/>
      <c r="F978" s="353"/>
      <c r="G978" s="353"/>
      <c r="H978" s="353"/>
      <c r="I978" s="405"/>
      <c r="J978" s="381"/>
    </row>
    <row r="979" spans="1:10" s="406" customFormat="1">
      <c r="A979" s="350" t="s">
        <v>385</v>
      </c>
      <c r="B979" s="351">
        <v>15</v>
      </c>
      <c r="C979" s="352">
        <v>8.1</v>
      </c>
      <c r="D979" s="353">
        <f>C979*0.22</f>
        <v>1.782</v>
      </c>
      <c r="E979" s="353"/>
      <c r="F979" s="353">
        <f>C979*0.9</f>
        <v>7.29</v>
      </c>
      <c r="G979" s="353">
        <f>C979+D979+E979+F979</f>
        <v>17.172000000000001</v>
      </c>
      <c r="H979" s="353">
        <f>G979*0.35</f>
        <v>6.0102000000000002</v>
      </c>
      <c r="I979" s="354">
        <f>G979+H979</f>
        <v>23.182200000000002</v>
      </c>
      <c r="J979" s="381"/>
    </row>
    <row r="980" spans="1:10" s="406" customFormat="1">
      <c r="A980" s="407"/>
      <c r="B980" s="351"/>
      <c r="C980" s="352"/>
      <c r="D980" s="353"/>
      <c r="E980" s="353"/>
      <c r="F980" s="353"/>
      <c r="G980" s="353"/>
      <c r="H980" s="353"/>
      <c r="I980" s="354"/>
      <c r="J980" s="381"/>
    </row>
    <row r="981" spans="1:10" s="406" customFormat="1">
      <c r="A981" s="345" t="s">
        <v>1314</v>
      </c>
      <c r="B981" s="346"/>
      <c r="C981" s="347">
        <f>C982+C983</f>
        <v>21.450000000000003</v>
      </c>
      <c r="D981" s="347">
        <f>C981*0.22</f>
        <v>4.7190000000000003</v>
      </c>
      <c r="E981" s="347">
        <v>10.45</v>
      </c>
      <c r="F981" s="347">
        <f>C981*0.9</f>
        <v>19.305000000000003</v>
      </c>
      <c r="G981" s="347">
        <f>C981+D981+E981+F981</f>
        <v>55.924000000000007</v>
      </c>
      <c r="H981" s="347">
        <f>G981*0.35</f>
        <v>19.573399999999999</v>
      </c>
      <c r="I981" s="348">
        <f>G981+H981</f>
        <v>75.497399999999999</v>
      </c>
      <c r="J981" s="349">
        <f>I981+I985+I984</f>
        <v>87.088499999999996</v>
      </c>
    </row>
    <row r="982" spans="1:10" s="406" customFormat="1">
      <c r="A982" s="350" t="s">
        <v>258</v>
      </c>
      <c r="B982" s="350">
        <v>15</v>
      </c>
      <c r="C982" s="352">
        <v>12.9</v>
      </c>
      <c r="D982" s="353"/>
      <c r="E982" s="353"/>
      <c r="F982" s="353"/>
      <c r="G982" s="353"/>
      <c r="H982" s="353"/>
      <c r="I982" s="354"/>
      <c r="J982" s="353"/>
    </row>
    <row r="983" spans="1:10" s="406" customFormat="1">
      <c r="A983" s="350" t="s">
        <v>337</v>
      </c>
      <c r="B983" s="355">
        <v>15</v>
      </c>
      <c r="C983" s="353">
        <v>8.5500000000000007</v>
      </c>
      <c r="D983" s="381"/>
      <c r="E983" s="381"/>
      <c r="F983" s="353"/>
      <c r="G983" s="353"/>
      <c r="H983" s="353"/>
      <c r="I983" s="405"/>
      <c r="J983" s="381"/>
    </row>
    <row r="984" spans="1:10" s="406" customFormat="1">
      <c r="A984" s="350" t="s">
        <v>385</v>
      </c>
      <c r="B984" s="351">
        <v>7.5</v>
      </c>
      <c r="C984" s="352">
        <v>4.05</v>
      </c>
      <c r="D984" s="353">
        <f>C984*0.22</f>
        <v>0.89100000000000001</v>
      </c>
      <c r="E984" s="353"/>
      <c r="F984" s="353">
        <f>C984*0.9</f>
        <v>3.645</v>
      </c>
      <c r="G984" s="353">
        <f>C984+D984+E984+F984</f>
        <v>8.5860000000000003</v>
      </c>
      <c r="H984" s="353">
        <f>G984*0.35</f>
        <v>3.0051000000000001</v>
      </c>
      <c r="I984" s="354">
        <f>G984+H984</f>
        <v>11.591100000000001</v>
      </c>
      <c r="J984" s="381"/>
    </row>
    <row r="985" spans="1:10" s="406" customFormat="1">
      <c r="A985" s="350"/>
      <c r="B985" s="351"/>
      <c r="C985" s="352"/>
      <c r="D985" s="353"/>
      <c r="E985" s="353"/>
      <c r="F985" s="353"/>
      <c r="G985" s="353"/>
      <c r="H985" s="353"/>
      <c r="I985" s="354"/>
      <c r="J985" s="381"/>
    </row>
    <row r="986" spans="1:10" s="406" customFormat="1">
      <c r="A986" s="345" t="s">
        <v>1315</v>
      </c>
      <c r="B986" s="346"/>
      <c r="C986" s="347">
        <f>C987+C988</f>
        <v>21.450000000000003</v>
      </c>
      <c r="D986" s="347">
        <f>C986*0.22</f>
        <v>4.7190000000000003</v>
      </c>
      <c r="E986" s="347">
        <v>102.68</v>
      </c>
      <c r="F986" s="347">
        <f>C986*0.9</f>
        <v>19.305000000000003</v>
      </c>
      <c r="G986" s="347">
        <f>C986+D986+E986+F986</f>
        <v>148.15400000000002</v>
      </c>
      <c r="H986" s="347">
        <f>G986*0.35</f>
        <v>51.853900000000003</v>
      </c>
      <c r="I986" s="348">
        <f>G986+H986</f>
        <v>200.00790000000003</v>
      </c>
      <c r="J986" s="349">
        <f>I986+I990+I989</f>
        <v>211.59900000000005</v>
      </c>
    </row>
    <row r="987" spans="1:10" s="406" customFormat="1">
      <c r="A987" s="350" t="s">
        <v>258</v>
      </c>
      <c r="B987" s="350">
        <v>15</v>
      </c>
      <c r="C987" s="352">
        <v>12.9</v>
      </c>
      <c r="D987" s="353"/>
      <c r="E987" s="353"/>
      <c r="F987" s="353"/>
      <c r="G987" s="353"/>
      <c r="H987" s="353"/>
      <c r="I987" s="354"/>
      <c r="J987" s="353"/>
    </row>
    <row r="988" spans="1:10" s="406" customFormat="1">
      <c r="A988" s="350" t="s">
        <v>337</v>
      </c>
      <c r="B988" s="355">
        <v>15</v>
      </c>
      <c r="C988" s="353">
        <v>8.5500000000000007</v>
      </c>
      <c r="D988" s="381"/>
      <c r="E988" s="381"/>
      <c r="F988" s="353"/>
      <c r="G988" s="353"/>
      <c r="H988" s="353"/>
      <c r="I988" s="405"/>
      <c r="J988" s="381"/>
    </row>
    <row r="989" spans="1:10" s="406" customFormat="1">
      <c r="A989" s="350" t="s">
        <v>385</v>
      </c>
      <c r="B989" s="351">
        <v>7.5</v>
      </c>
      <c r="C989" s="352">
        <v>4.05</v>
      </c>
      <c r="D989" s="353">
        <f>C989*0.22</f>
        <v>0.89100000000000001</v>
      </c>
      <c r="E989" s="353"/>
      <c r="F989" s="353">
        <f>C989*0.9</f>
        <v>3.645</v>
      </c>
      <c r="G989" s="353">
        <f>C989+D989+E989+F989</f>
        <v>8.5860000000000003</v>
      </c>
      <c r="H989" s="353">
        <f>G989*0.35</f>
        <v>3.0051000000000001</v>
      </c>
      <c r="I989" s="354">
        <f>G989+H989</f>
        <v>11.591100000000001</v>
      </c>
      <c r="J989" s="381"/>
    </row>
    <row r="990" spans="1:10" s="406" customFormat="1">
      <c r="A990" s="350"/>
      <c r="B990" s="351"/>
      <c r="C990" s="352"/>
      <c r="D990" s="353"/>
      <c r="E990" s="353"/>
      <c r="F990" s="353"/>
      <c r="G990" s="353"/>
      <c r="H990" s="353"/>
      <c r="I990" s="354">
        <f>G990+H990</f>
        <v>0</v>
      </c>
      <c r="J990" s="381"/>
    </row>
    <row r="991" spans="1:10" s="406" customFormat="1">
      <c r="A991" s="345" t="s">
        <v>1316</v>
      </c>
      <c r="B991" s="346"/>
      <c r="C991" s="347">
        <f>C992+C993</f>
        <v>21.450000000000003</v>
      </c>
      <c r="D991" s="347">
        <f>C991*0.22</f>
        <v>4.7190000000000003</v>
      </c>
      <c r="E991" s="347">
        <v>71.73</v>
      </c>
      <c r="F991" s="347">
        <f>C991*0.9</f>
        <v>19.305000000000003</v>
      </c>
      <c r="G991" s="347">
        <f>C991+D991+E991+F991</f>
        <v>117.20400000000001</v>
      </c>
      <c r="H991" s="347">
        <f>G991*0.35</f>
        <v>41.0214</v>
      </c>
      <c r="I991" s="348">
        <f>G991+H991</f>
        <v>158.22540000000001</v>
      </c>
      <c r="J991" s="349">
        <f>I991+I995+I994</f>
        <v>169.81650000000002</v>
      </c>
    </row>
    <row r="992" spans="1:10" s="406" customFormat="1">
      <c r="A992" s="350" t="s">
        <v>258</v>
      </c>
      <c r="B992" s="350">
        <v>15</v>
      </c>
      <c r="C992" s="352">
        <v>12.9</v>
      </c>
      <c r="D992" s="353"/>
      <c r="E992" s="353"/>
      <c r="F992" s="353"/>
      <c r="G992" s="353"/>
      <c r="H992" s="353"/>
      <c r="I992" s="354"/>
      <c r="J992" s="353"/>
    </row>
    <row r="993" spans="1:10" s="406" customFormat="1">
      <c r="A993" s="350" t="s">
        <v>337</v>
      </c>
      <c r="B993" s="355">
        <v>15</v>
      </c>
      <c r="C993" s="353">
        <v>8.5500000000000007</v>
      </c>
      <c r="D993" s="381"/>
      <c r="E993" s="381"/>
      <c r="F993" s="353"/>
      <c r="G993" s="353"/>
      <c r="H993" s="353"/>
      <c r="I993" s="405"/>
      <c r="J993" s="381"/>
    </row>
    <row r="994" spans="1:10" s="406" customFormat="1">
      <c r="A994" s="350" t="s">
        <v>385</v>
      </c>
      <c r="B994" s="351">
        <v>7.5</v>
      </c>
      <c r="C994" s="352">
        <v>4.05</v>
      </c>
      <c r="D994" s="353">
        <f>C994*0.22</f>
        <v>0.89100000000000001</v>
      </c>
      <c r="E994" s="353"/>
      <c r="F994" s="353">
        <f>C994*0.9</f>
        <v>3.645</v>
      </c>
      <c r="G994" s="353">
        <f>C994+D994+E994+F994</f>
        <v>8.5860000000000003</v>
      </c>
      <c r="H994" s="353">
        <f>G994*0.35</f>
        <v>3.0051000000000001</v>
      </c>
      <c r="I994" s="354">
        <f>G994+H994</f>
        <v>11.591100000000001</v>
      </c>
      <c r="J994" s="381"/>
    </row>
    <row r="995" spans="1:10" s="406" customFormat="1">
      <c r="A995" s="350"/>
      <c r="B995" s="351"/>
      <c r="C995" s="352"/>
      <c r="D995" s="353"/>
      <c r="E995" s="353"/>
      <c r="F995" s="353"/>
      <c r="G995" s="353"/>
      <c r="H995" s="353"/>
      <c r="I995" s="354"/>
      <c r="J995" s="381"/>
    </row>
    <row r="996" spans="1:10" s="406" customFormat="1">
      <c r="A996" s="345" t="s">
        <v>1317</v>
      </c>
      <c r="B996" s="346"/>
      <c r="C996" s="347">
        <f>C997+C998</f>
        <v>28.6</v>
      </c>
      <c r="D996" s="347">
        <f>C996*0.22</f>
        <v>6.2920000000000007</v>
      </c>
      <c r="E996" s="347">
        <v>133.4</v>
      </c>
      <c r="F996" s="347">
        <f>C996*0.9</f>
        <v>25.740000000000002</v>
      </c>
      <c r="G996" s="347">
        <f>C996+D996+E996+F996</f>
        <v>194.03200000000001</v>
      </c>
      <c r="H996" s="347">
        <f>G996*0.35</f>
        <v>67.911199999999994</v>
      </c>
      <c r="I996" s="348">
        <f>G996+H996</f>
        <v>261.94319999999999</v>
      </c>
      <c r="J996" s="349">
        <f>I996+I1000+I999</f>
        <v>277.39799999999997</v>
      </c>
    </row>
    <row r="997" spans="1:10" s="406" customFormat="1">
      <c r="A997" s="350" t="s">
        <v>258</v>
      </c>
      <c r="B997" s="350">
        <v>20</v>
      </c>
      <c r="C997" s="352">
        <v>17.2</v>
      </c>
      <c r="D997" s="353"/>
      <c r="E997" s="353"/>
      <c r="F997" s="353"/>
      <c r="G997" s="353"/>
      <c r="H997" s="353"/>
      <c r="I997" s="354"/>
      <c r="J997" s="355"/>
    </row>
    <row r="998" spans="1:10" s="406" customFormat="1">
      <c r="A998" s="350" t="s">
        <v>337</v>
      </c>
      <c r="B998" s="355">
        <v>20</v>
      </c>
      <c r="C998" s="353">
        <v>11.4</v>
      </c>
      <c r="D998" s="381"/>
      <c r="E998" s="381"/>
      <c r="F998" s="353"/>
      <c r="G998" s="353"/>
      <c r="H998" s="353"/>
      <c r="I998" s="405"/>
      <c r="J998" s="408"/>
    </row>
    <row r="999" spans="1:10" s="406" customFormat="1">
      <c r="A999" s="350" t="s">
        <v>385</v>
      </c>
      <c r="B999" s="351">
        <v>10</v>
      </c>
      <c r="C999" s="352">
        <v>5.4</v>
      </c>
      <c r="D999" s="353">
        <f>C999*0.22</f>
        <v>1.1880000000000002</v>
      </c>
      <c r="E999" s="353"/>
      <c r="F999" s="353">
        <f>C999*0.9</f>
        <v>4.8600000000000003</v>
      </c>
      <c r="G999" s="353">
        <f>C999+D999+E999+F999</f>
        <v>11.448</v>
      </c>
      <c r="H999" s="353">
        <f>G999*0.35</f>
        <v>4.0068000000000001</v>
      </c>
      <c r="I999" s="354">
        <f>G999+H999</f>
        <v>15.454800000000001</v>
      </c>
      <c r="J999" s="408"/>
    </row>
    <row r="1000" spans="1:10" s="406" customFormat="1">
      <c r="A1000" s="350"/>
      <c r="B1000" s="351"/>
      <c r="C1000" s="352"/>
      <c r="D1000" s="353"/>
      <c r="E1000" s="353"/>
      <c r="F1000" s="353"/>
      <c r="G1000" s="353"/>
      <c r="H1000" s="353"/>
      <c r="I1000" s="354"/>
      <c r="J1000" s="408"/>
    </row>
    <row r="1001" spans="1:10" s="406" customFormat="1">
      <c r="A1001" s="345" t="s">
        <v>1318</v>
      </c>
      <c r="B1001" s="346"/>
      <c r="C1001" s="347">
        <f>C1002+C1003</f>
        <v>28.6</v>
      </c>
      <c r="D1001" s="347">
        <f>C1001*0.22</f>
        <v>6.2920000000000007</v>
      </c>
      <c r="E1001" s="347">
        <v>19.82</v>
      </c>
      <c r="F1001" s="347">
        <f>C1001*0.9</f>
        <v>25.740000000000002</v>
      </c>
      <c r="G1001" s="347">
        <f>C1001+D1001+E1001+F1001</f>
        <v>80.451999999999998</v>
      </c>
      <c r="H1001" s="347">
        <f>G1001*0.35</f>
        <v>28.158199999999997</v>
      </c>
      <c r="I1001" s="348">
        <f>G1001+H1001</f>
        <v>108.61019999999999</v>
      </c>
      <c r="J1001" s="349">
        <f>I1001+I1005+I1004</f>
        <v>124.065</v>
      </c>
    </row>
    <row r="1002" spans="1:10" s="406" customFormat="1">
      <c r="A1002" s="350" t="s">
        <v>258</v>
      </c>
      <c r="B1002" s="350">
        <v>20</v>
      </c>
      <c r="C1002" s="352">
        <v>17.2</v>
      </c>
      <c r="D1002" s="353"/>
      <c r="E1002" s="353"/>
      <c r="F1002" s="353"/>
      <c r="G1002" s="353"/>
      <c r="H1002" s="353"/>
      <c r="I1002" s="354"/>
      <c r="J1002" s="353"/>
    </row>
    <row r="1003" spans="1:10" s="406" customFormat="1">
      <c r="A1003" s="350" t="s">
        <v>337</v>
      </c>
      <c r="B1003" s="355">
        <v>20</v>
      </c>
      <c r="C1003" s="353">
        <v>11.4</v>
      </c>
      <c r="D1003" s="381"/>
      <c r="E1003" s="381"/>
      <c r="F1003" s="353"/>
      <c r="G1003" s="353"/>
      <c r="H1003" s="353"/>
      <c r="I1003" s="405"/>
      <c r="J1003" s="381"/>
    </row>
    <row r="1004" spans="1:10" s="406" customFormat="1">
      <c r="A1004" s="350" t="s">
        <v>385</v>
      </c>
      <c r="B1004" s="351">
        <v>10</v>
      </c>
      <c r="C1004" s="352">
        <v>5.4</v>
      </c>
      <c r="D1004" s="353">
        <f>C1004*0.22</f>
        <v>1.1880000000000002</v>
      </c>
      <c r="E1004" s="353"/>
      <c r="F1004" s="353">
        <f>C1004*0.9</f>
        <v>4.8600000000000003</v>
      </c>
      <c r="G1004" s="353">
        <f>C1004+D1004+E1004+F1004</f>
        <v>11.448</v>
      </c>
      <c r="H1004" s="353">
        <f>G1004*0.35</f>
        <v>4.0068000000000001</v>
      </c>
      <c r="I1004" s="354">
        <f>G1004+H1004</f>
        <v>15.454800000000001</v>
      </c>
      <c r="J1004" s="381"/>
    </row>
    <row r="1005" spans="1:10" s="406" customFormat="1">
      <c r="A1005" s="350"/>
      <c r="B1005" s="351"/>
      <c r="C1005" s="352"/>
      <c r="D1005" s="353"/>
      <c r="E1005" s="353"/>
      <c r="F1005" s="353"/>
      <c r="G1005" s="353"/>
      <c r="H1005" s="353"/>
      <c r="I1005" s="354"/>
      <c r="J1005" s="381"/>
    </row>
    <row r="1006" spans="1:10" s="406" customFormat="1">
      <c r="A1006" s="345" t="s">
        <v>1319</v>
      </c>
      <c r="B1006" s="346"/>
      <c r="C1006" s="347">
        <f>C1007+C1008</f>
        <v>21.450000000000003</v>
      </c>
      <c r="D1006" s="347">
        <f>C1006*0.22</f>
        <v>4.7190000000000003</v>
      </c>
      <c r="E1006" s="347">
        <v>10.68</v>
      </c>
      <c r="F1006" s="347">
        <f>C1006*0.9</f>
        <v>19.305000000000003</v>
      </c>
      <c r="G1006" s="347">
        <f>C1006+D1006+E1006+F1006</f>
        <v>56.154000000000011</v>
      </c>
      <c r="H1006" s="347">
        <f>G1006*0.35</f>
        <v>19.653900000000004</v>
      </c>
      <c r="I1006" s="348">
        <f>G1006+H1006</f>
        <v>75.807900000000018</v>
      </c>
      <c r="J1006" s="349">
        <f>I1006+I1010+I1009</f>
        <v>87.399000000000015</v>
      </c>
    </row>
    <row r="1007" spans="1:10" s="406" customFormat="1">
      <c r="A1007" s="350" t="s">
        <v>258</v>
      </c>
      <c r="B1007" s="350">
        <v>15</v>
      </c>
      <c r="C1007" s="352">
        <v>12.9</v>
      </c>
      <c r="D1007" s="353"/>
      <c r="E1007" s="353"/>
      <c r="F1007" s="353"/>
      <c r="G1007" s="353"/>
      <c r="H1007" s="353"/>
      <c r="I1007" s="354"/>
      <c r="J1007" s="353"/>
    </row>
    <row r="1008" spans="1:10" s="406" customFormat="1">
      <c r="A1008" s="350" t="s">
        <v>337</v>
      </c>
      <c r="B1008" s="355">
        <v>15</v>
      </c>
      <c r="C1008" s="353">
        <v>8.5500000000000007</v>
      </c>
      <c r="D1008" s="381"/>
      <c r="E1008" s="381"/>
      <c r="F1008" s="353"/>
      <c r="G1008" s="353"/>
      <c r="H1008" s="353"/>
      <c r="I1008" s="405"/>
      <c r="J1008" s="381"/>
    </row>
    <row r="1009" spans="1:10" s="406" customFormat="1">
      <c r="A1009" s="350" t="s">
        <v>385</v>
      </c>
      <c r="B1009" s="351">
        <v>7.5</v>
      </c>
      <c r="C1009" s="352">
        <v>4.05</v>
      </c>
      <c r="D1009" s="353">
        <f>C1009*0.22</f>
        <v>0.89100000000000001</v>
      </c>
      <c r="E1009" s="353"/>
      <c r="F1009" s="353">
        <f>C1009*0.9</f>
        <v>3.645</v>
      </c>
      <c r="G1009" s="353">
        <f>C1009+D1009+E1009+F1009</f>
        <v>8.5860000000000003</v>
      </c>
      <c r="H1009" s="353">
        <f>G1009*0.35</f>
        <v>3.0051000000000001</v>
      </c>
      <c r="I1009" s="354">
        <f>G1009+H1009</f>
        <v>11.591100000000001</v>
      </c>
      <c r="J1009" s="381"/>
    </row>
    <row r="1010" spans="1:10" s="406" customFormat="1">
      <c r="A1010" s="350"/>
      <c r="B1010" s="351"/>
      <c r="C1010" s="352"/>
      <c r="D1010" s="353"/>
      <c r="E1010" s="353"/>
      <c r="F1010" s="353"/>
      <c r="G1010" s="353"/>
      <c r="H1010" s="353"/>
      <c r="I1010" s="354"/>
      <c r="J1010" s="381"/>
    </row>
    <row r="1011" spans="1:10" s="406" customFormat="1">
      <c r="A1011" s="345" t="s">
        <v>1320</v>
      </c>
      <c r="B1011" s="346"/>
      <c r="C1011" s="347">
        <f>C1012+C1013</f>
        <v>14.3</v>
      </c>
      <c r="D1011" s="347">
        <f>C1011*0.22</f>
        <v>3.1460000000000004</v>
      </c>
      <c r="E1011" s="347">
        <v>15.02</v>
      </c>
      <c r="F1011" s="347">
        <f>C1011*0.9</f>
        <v>12.870000000000001</v>
      </c>
      <c r="G1011" s="347">
        <f>C1011+D1011+E1011+F1011</f>
        <v>45.335999999999999</v>
      </c>
      <c r="H1011" s="347">
        <f>G1011*0.35</f>
        <v>15.867599999999998</v>
      </c>
      <c r="I1011" s="348">
        <f>G1011+H1011</f>
        <v>61.203599999999994</v>
      </c>
      <c r="J1011" s="349">
        <f>I1011+I1015+I1014</f>
        <v>68.930999999999997</v>
      </c>
    </row>
    <row r="1012" spans="1:10" s="406" customFormat="1">
      <c r="A1012" s="350" t="s">
        <v>258</v>
      </c>
      <c r="B1012" s="350">
        <v>10</v>
      </c>
      <c r="C1012" s="352">
        <v>8.6</v>
      </c>
      <c r="D1012" s="353"/>
      <c r="E1012" s="353"/>
      <c r="F1012" s="353"/>
      <c r="G1012" s="353"/>
      <c r="H1012" s="353"/>
      <c r="I1012" s="354"/>
      <c r="J1012" s="353"/>
    </row>
    <row r="1013" spans="1:10" s="406" customFormat="1">
      <c r="A1013" s="350" t="s">
        <v>337</v>
      </c>
      <c r="B1013" s="355">
        <v>10</v>
      </c>
      <c r="C1013" s="353">
        <v>5.7</v>
      </c>
      <c r="D1013" s="381"/>
      <c r="E1013" s="381"/>
      <c r="F1013" s="353"/>
      <c r="G1013" s="353"/>
      <c r="H1013" s="353"/>
      <c r="I1013" s="405"/>
      <c r="J1013" s="381"/>
    </row>
    <row r="1014" spans="1:10" s="406" customFormat="1">
      <c r="A1014" s="350" t="s">
        <v>385</v>
      </c>
      <c r="B1014" s="351">
        <v>5</v>
      </c>
      <c r="C1014" s="352">
        <v>2.7</v>
      </c>
      <c r="D1014" s="353">
        <f>C1014*0.22</f>
        <v>0.59400000000000008</v>
      </c>
      <c r="E1014" s="353"/>
      <c r="F1014" s="353">
        <f>C1014*0.9</f>
        <v>2.4300000000000002</v>
      </c>
      <c r="G1014" s="353">
        <f>C1014+D1014+E1014+F1014</f>
        <v>5.7240000000000002</v>
      </c>
      <c r="H1014" s="353">
        <f>G1014*0.35</f>
        <v>2.0034000000000001</v>
      </c>
      <c r="I1014" s="354">
        <f>G1014+H1014</f>
        <v>7.7274000000000003</v>
      </c>
      <c r="J1014" s="381"/>
    </row>
    <row r="1015" spans="1:10" s="406" customFormat="1">
      <c r="A1015" s="350"/>
      <c r="B1015" s="351"/>
      <c r="C1015" s="352"/>
      <c r="D1015" s="353"/>
      <c r="E1015" s="353"/>
      <c r="F1015" s="353"/>
      <c r="G1015" s="353"/>
      <c r="H1015" s="353"/>
      <c r="I1015" s="354"/>
      <c r="J1015" s="381"/>
    </row>
    <row r="1016" spans="1:10" s="406" customFormat="1">
      <c r="A1016" s="345" t="s">
        <v>1321</v>
      </c>
      <c r="B1016" s="346"/>
      <c r="C1016" s="347">
        <f>C1017+C1018</f>
        <v>28.6</v>
      </c>
      <c r="D1016" s="347">
        <f>C1016*0.22</f>
        <v>6.2920000000000007</v>
      </c>
      <c r="E1016" s="347">
        <v>38.08</v>
      </c>
      <c r="F1016" s="347">
        <f>C1016*0.9</f>
        <v>25.740000000000002</v>
      </c>
      <c r="G1016" s="347">
        <f>C1016+D1016+E1016+F1016</f>
        <v>98.712000000000018</v>
      </c>
      <c r="H1016" s="347">
        <f>G1016*0.35</f>
        <v>34.549200000000006</v>
      </c>
      <c r="I1016" s="348">
        <f>G1016+H1016</f>
        <v>133.26120000000003</v>
      </c>
      <c r="J1016" s="349">
        <f>I1016+I1020+I1019</f>
        <v>148.71600000000004</v>
      </c>
    </row>
    <row r="1017" spans="1:10" s="406" customFormat="1">
      <c r="A1017" s="350" t="s">
        <v>258</v>
      </c>
      <c r="B1017" s="350">
        <v>20</v>
      </c>
      <c r="C1017" s="352">
        <v>17.2</v>
      </c>
      <c r="D1017" s="353"/>
      <c r="E1017" s="353"/>
      <c r="F1017" s="353"/>
      <c r="G1017" s="353"/>
      <c r="H1017" s="353"/>
      <c r="I1017" s="354"/>
      <c r="J1017" s="353"/>
    </row>
    <row r="1018" spans="1:10" s="406" customFormat="1">
      <c r="A1018" s="350" t="s">
        <v>337</v>
      </c>
      <c r="B1018" s="355">
        <v>20</v>
      </c>
      <c r="C1018" s="353">
        <v>11.4</v>
      </c>
      <c r="D1018" s="381"/>
      <c r="E1018" s="381"/>
      <c r="F1018" s="353"/>
      <c r="G1018" s="353"/>
      <c r="H1018" s="353"/>
      <c r="I1018" s="405"/>
      <c r="J1018" s="381"/>
    </row>
    <row r="1019" spans="1:10" s="406" customFormat="1">
      <c r="A1019" s="350" t="s">
        <v>385</v>
      </c>
      <c r="B1019" s="351">
        <v>10</v>
      </c>
      <c r="C1019" s="352">
        <v>5.4</v>
      </c>
      <c r="D1019" s="353">
        <f>C1019*0.22</f>
        <v>1.1880000000000002</v>
      </c>
      <c r="E1019" s="353"/>
      <c r="F1019" s="353">
        <f>C1019*0.9</f>
        <v>4.8600000000000003</v>
      </c>
      <c r="G1019" s="353">
        <f>C1019+D1019+E1019+F1019</f>
        <v>11.448</v>
      </c>
      <c r="H1019" s="353">
        <f>G1019*0.35</f>
        <v>4.0068000000000001</v>
      </c>
      <c r="I1019" s="354">
        <f>G1019+H1019</f>
        <v>15.454800000000001</v>
      </c>
      <c r="J1019" s="381"/>
    </row>
    <row r="1020" spans="1:10" s="406" customFormat="1">
      <c r="A1020" s="350"/>
      <c r="B1020" s="351"/>
      <c r="C1020" s="352"/>
      <c r="D1020" s="353"/>
      <c r="E1020" s="353"/>
      <c r="F1020" s="353"/>
      <c r="G1020" s="353"/>
      <c r="H1020" s="353"/>
      <c r="I1020" s="354"/>
      <c r="J1020" s="381"/>
    </row>
    <row r="1021" spans="1:10" s="406" customFormat="1">
      <c r="A1021" s="345" t="s">
        <v>1322</v>
      </c>
      <c r="B1021" s="346"/>
      <c r="C1021" s="347">
        <f>C1022+C1023</f>
        <v>28.6</v>
      </c>
      <c r="D1021" s="347">
        <f>C1021*0.22</f>
        <v>6.2920000000000007</v>
      </c>
      <c r="E1021" s="347">
        <v>28.7</v>
      </c>
      <c r="F1021" s="347">
        <f>C1021*0.9</f>
        <v>25.740000000000002</v>
      </c>
      <c r="G1021" s="347">
        <f>C1021+D1021+E1021+F1021</f>
        <v>89.331999999999994</v>
      </c>
      <c r="H1021" s="347">
        <f>G1021*0.35</f>
        <v>31.266199999999994</v>
      </c>
      <c r="I1021" s="348">
        <f>G1021+H1021</f>
        <v>120.59819999999999</v>
      </c>
      <c r="J1021" s="349">
        <f>I1021+I1025+I1024</f>
        <v>136.053</v>
      </c>
    </row>
    <row r="1022" spans="1:10" s="406" customFormat="1">
      <c r="A1022" s="350" t="s">
        <v>258</v>
      </c>
      <c r="B1022" s="350">
        <v>20</v>
      </c>
      <c r="C1022" s="352">
        <v>17.2</v>
      </c>
      <c r="D1022" s="353"/>
      <c r="E1022" s="353"/>
      <c r="F1022" s="353"/>
      <c r="G1022" s="353"/>
      <c r="H1022" s="353"/>
      <c r="I1022" s="354"/>
      <c r="J1022" s="353"/>
    </row>
    <row r="1023" spans="1:10" s="406" customFormat="1">
      <c r="A1023" s="350" t="s">
        <v>337</v>
      </c>
      <c r="B1023" s="355">
        <v>20</v>
      </c>
      <c r="C1023" s="353">
        <v>11.4</v>
      </c>
      <c r="D1023" s="381"/>
      <c r="E1023" s="381"/>
      <c r="F1023" s="353"/>
      <c r="G1023" s="353"/>
      <c r="H1023" s="353"/>
      <c r="I1023" s="405"/>
      <c r="J1023" s="381"/>
    </row>
    <row r="1024" spans="1:10" s="406" customFormat="1">
      <c r="A1024" s="350" t="s">
        <v>385</v>
      </c>
      <c r="B1024" s="351">
        <v>10</v>
      </c>
      <c r="C1024" s="352">
        <v>5.4</v>
      </c>
      <c r="D1024" s="353">
        <f>C1024*0.22</f>
        <v>1.1880000000000002</v>
      </c>
      <c r="E1024" s="353"/>
      <c r="F1024" s="353">
        <f>C1024*0.9</f>
        <v>4.8600000000000003</v>
      </c>
      <c r="G1024" s="353">
        <f>C1024+D1024+E1024+F1024</f>
        <v>11.448</v>
      </c>
      <c r="H1024" s="353">
        <f>G1024*0.35</f>
        <v>4.0068000000000001</v>
      </c>
      <c r="I1024" s="354">
        <f>G1024+H1024</f>
        <v>15.454800000000001</v>
      </c>
      <c r="J1024" s="381"/>
    </row>
    <row r="1025" spans="1:10" s="406" customFormat="1">
      <c r="A1025" s="350"/>
      <c r="B1025" s="351"/>
      <c r="C1025" s="352"/>
      <c r="D1025" s="353"/>
      <c r="E1025" s="353"/>
      <c r="F1025" s="353"/>
      <c r="G1025" s="353"/>
      <c r="H1025" s="353"/>
      <c r="I1025" s="354"/>
      <c r="J1025" s="381"/>
    </row>
    <row r="1026" spans="1:10" s="406" customFormat="1">
      <c r="A1026" s="345" t="s">
        <v>1323</v>
      </c>
      <c r="B1026" s="346"/>
      <c r="C1026" s="347">
        <f>C1027+C1028</f>
        <v>28.6</v>
      </c>
      <c r="D1026" s="347">
        <f>C1026*0.22</f>
        <v>6.2920000000000007</v>
      </c>
      <c r="E1026" s="347">
        <v>119.72</v>
      </c>
      <c r="F1026" s="347">
        <f>C1026*0.9</f>
        <v>25.740000000000002</v>
      </c>
      <c r="G1026" s="347">
        <f>C1026+D1026+E1026+F1026</f>
        <v>180.352</v>
      </c>
      <c r="H1026" s="347">
        <f>G1026*0.35</f>
        <v>63.123199999999997</v>
      </c>
      <c r="I1026" s="348">
        <f>G1026+H1026</f>
        <v>243.4752</v>
      </c>
      <c r="J1026" s="349">
        <f>I1026+I1030+I1029</f>
        <v>258.93</v>
      </c>
    </row>
    <row r="1027" spans="1:10" s="406" customFormat="1">
      <c r="A1027" s="350" t="s">
        <v>258</v>
      </c>
      <c r="B1027" s="350">
        <v>20</v>
      </c>
      <c r="C1027" s="352">
        <v>17.2</v>
      </c>
      <c r="D1027" s="353"/>
      <c r="E1027" s="353"/>
      <c r="F1027" s="353"/>
      <c r="G1027" s="353"/>
      <c r="H1027" s="353"/>
      <c r="I1027" s="354"/>
      <c r="J1027" s="353"/>
    </row>
    <row r="1028" spans="1:10" s="406" customFormat="1">
      <c r="A1028" s="350" t="s">
        <v>337</v>
      </c>
      <c r="B1028" s="355">
        <v>20</v>
      </c>
      <c r="C1028" s="353">
        <v>11.4</v>
      </c>
      <c r="D1028" s="381"/>
      <c r="E1028" s="381"/>
      <c r="F1028" s="353"/>
      <c r="G1028" s="353"/>
      <c r="H1028" s="353"/>
      <c r="I1028" s="405"/>
      <c r="J1028" s="381"/>
    </row>
    <row r="1029" spans="1:10" s="406" customFormat="1">
      <c r="A1029" s="350" t="s">
        <v>385</v>
      </c>
      <c r="B1029" s="351">
        <v>10</v>
      </c>
      <c r="C1029" s="352">
        <v>5.4</v>
      </c>
      <c r="D1029" s="353">
        <f>C1029*0.22</f>
        <v>1.1880000000000002</v>
      </c>
      <c r="E1029" s="353"/>
      <c r="F1029" s="353">
        <f>C1029*0.9</f>
        <v>4.8600000000000003</v>
      </c>
      <c r="G1029" s="353">
        <f>C1029+D1029+E1029+F1029</f>
        <v>11.448</v>
      </c>
      <c r="H1029" s="353">
        <f>G1029*0.35</f>
        <v>4.0068000000000001</v>
      </c>
      <c r="I1029" s="354">
        <f>G1029+H1029</f>
        <v>15.454800000000001</v>
      </c>
      <c r="J1029" s="381"/>
    </row>
    <row r="1030" spans="1:10" s="406" customFormat="1">
      <c r="A1030" s="350"/>
      <c r="B1030" s="351"/>
      <c r="C1030" s="352"/>
      <c r="D1030" s="353"/>
      <c r="E1030" s="353"/>
      <c r="F1030" s="353"/>
      <c r="G1030" s="353"/>
      <c r="H1030" s="353"/>
      <c r="I1030" s="354"/>
      <c r="J1030" s="381"/>
    </row>
    <row r="1031" spans="1:10" s="406" customFormat="1">
      <c r="A1031" s="345" t="s">
        <v>1324</v>
      </c>
      <c r="B1031" s="346"/>
      <c r="C1031" s="347">
        <f>C1032+C1033</f>
        <v>28.6</v>
      </c>
      <c r="D1031" s="347">
        <f>C1031*0.22</f>
        <v>6.2920000000000007</v>
      </c>
      <c r="E1031" s="347">
        <v>90.52</v>
      </c>
      <c r="F1031" s="347">
        <f>C1031*0.9</f>
        <v>25.740000000000002</v>
      </c>
      <c r="G1031" s="347">
        <f>C1031+D1031+E1031+F1031</f>
        <v>151.15200000000002</v>
      </c>
      <c r="H1031" s="347">
        <f>G1031*0.35</f>
        <v>52.903200000000005</v>
      </c>
      <c r="I1031" s="348">
        <f>G1031+H1031</f>
        <v>204.05520000000001</v>
      </c>
      <c r="J1031" s="349">
        <f>I1031+I1035+I1034</f>
        <v>219.51000000000002</v>
      </c>
    </row>
    <row r="1032" spans="1:10" s="406" customFormat="1">
      <c r="A1032" s="350" t="s">
        <v>258</v>
      </c>
      <c r="B1032" s="350">
        <v>20</v>
      </c>
      <c r="C1032" s="352">
        <v>17.2</v>
      </c>
      <c r="D1032" s="353"/>
      <c r="E1032" s="353"/>
      <c r="F1032" s="353"/>
      <c r="G1032" s="353"/>
      <c r="H1032" s="353"/>
      <c r="I1032" s="354"/>
      <c r="J1032" s="353"/>
    </row>
    <row r="1033" spans="1:10" s="406" customFormat="1">
      <c r="A1033" s="350" t="s">
        <v>337</v>
      </c>
      <c r="B1033" s="355">
        <v>20</v>
      </c>
      <c r="C1033" s="353">
        <v>11.4</v>
      </c>
      <c r="D1033" s="381"/>
      <c r="E1033" s="381"/>
      <c r="F1033" s="353"/>
      <c r="G1033" s="353"/>
      <c r="H1033" s="353"/>
      <c r="I1033" s="405"/>
      <c r="J1033" s="381"/>
    </row>
    <row r="1034" spans="1:10" s="406" customFormat="1">
      <c r="A1034" s="350" t="s">
        <v>385</v>
      </c>
      <c r="B1034" s="351">
        <v>10</v>
      </c>
      <c r="C1034" s="352">
        <v>5.4</v>
      </c>
      <c r="D1034" s="353">
        <f>C1034*0.22</f>
        <v>1.1880000000000002</v>
      </c>
      <c r="E1034" s="353"/>
      <c r="F1034" s="353">
        <f>C1034*0.9</f>
        <v>4.8600000000000003</v>
      </c>
      <c r="G1034" s="353">
        <f>C1034+D1034+E1034+F1034</f>
        <v>11.448</v>
      </c>
      <c r="H1034" s="353">
        <f>G1034*0.35</f>
        <v>4.0068000000000001</v>
      </c>
      <c r="I1034" s="354">
        <f>G1034+H1034</f>
        <v>15.454800000000001</v>
      </c>
      <c r="J1034" s="381"/>
    </row>
    <row r="1035" spans="1:10" s="406" customFormat="1">
      <c r="A1035" s="350"/>
      <c r="B1035" s="351"/>
      <c r="C1035" s="352"/>
      <c r="D1035" s="353"/>
      <c r="E1035" s="353"/>
      <c r="F1035" s="353"/>
      <c r="G1035" s="353"/>
      <c r="H1035" s="353"/>
      <c r="I1035" s="354"/>
      <c r="J1035" s="381"/>
    </row>
    <row r="1036" spans="1:10" s="406" customFormat="1">
      <c r="A1036" s="345" t="s">
        <v>1325</v>
      </c>
      <c r="B1036" s="346"/>
      <c r="C1036" s="347">
        <f>C1037+C1038</f>
        <v>35.75</v>
      </c>
      <c r="D1036" s="347">
        <f>C1036*0.22</f>
        <v>7.8650000000000002</v>
      </c>
      <c r="E1036" s="347">
        <v>44.5</v>
      </c>
      <c r="F1036" s="347">
        <f>C1036*0.9</f>
        <v>32.175000000000004</v>
      </c>
      <c r="G1036" s="347">
        <f>C1036+D1036+E1036+F1036</f>
        <v>120.29000000000002</v>
      </c>
      <c r="H1036" s="347">
        <f>G1036*0.35</f>
        <v>42.101500000000001</v>
      </c>
      <c r="I1036" s="348">
        <f>G1036+H1036</f>
        <v>162.39150000000001</v>
      </c>
      <c r="J1036" s="349">
        <f>I1036+I1039</f>
        <v>180.93726000000001</v>
      </c>
    </row>
    <row r="1037" spans="1:10" s="406" customFormat="1">
      <c r="A1037" s="350" t="s">
        <v>258</v>
      </c>
      <c r="B1037" s="350">
        <v>25</v>
      </c>
      <c r="C1037" s="352">
        <v>21.5</v>
      </c>
      <c r="D1037" s="353"/>
      <c r="E1037" s="353"/>
      <c r="F1037" s="353"/>
      <c r="G1037" s="353"/>
      <c r="H1037" s="353"/>
      <c r="I1037" s="354"/>
      <c r="J1037" s="353"/>
    </row>
    <row r="1038" spans="1:10" s="406" customFormat="1">
      <c r="A1038" s="350" t="s">
        <v>337</v>
      </c>
      <c r="B1038" s="355">
        <v>25</v>
      </c>
      <c r="C1038" s="353">
        <v>14.25</v>
      </c>
      <c r="D1038" s="381"/>
      <c r="E1038" s="381"/>
      <c r="F1038" s="353"/>
      <c r="G1038" s="353"/>
      <c r="H1038" s="353"/>
      <c r="I1038" s="405"/>
      <c r="J1038" s="381"/>
    </row>
    <row r="1039" spans="1:10" s="406" customFormat="1">
      <c r="A1039" s="350" t="s">
        <v>385</v>
      </c>
      <c r="B1039" s="351">
        <v>12</v>
      </c>
      <c r="C1039" s="352">
        <v>6.48</v>
      </c>
      <c r="D1039" s="353">
        <f>C1039*0.22</f>
        <v>1.4256000000000002</v>
      </c>
      <c r="E1039" s="353"/>
      <c r="F1039" s="353">
        <f>C1039*0.9</f>
        <v>5.8320000000000007</v>
      </c>
      <c r="G1039" s="353">
        <f>C1039+D1039+E1039+F1039</f>
        <v>13.7376</v>
      </c>
      <c r="H1039" s="353">
        <f>G1039*0.35</f>
        <v>4.80816</v>
      </c>
      <c r="I1039" s="354">
        <f>G1039+H1039</f>
        <v>18.545760000000001</v>
      </c>
      <c r="J1039" s="381"/>
    </row>
    <row r="1040" spans="1:10" s="406" customFormat="1">
      <c r="A1040" s="350"/>
      <c r="B1040" s="351"/>
      <c r="C1040" s="352"/>
      <c r="D1040" s="353"/>
      <c r="E1040" s="353"/>
      <c r="F1040" s="353"/>
      <c r="G1040" s="353"/>
      <c r="H1040" s="353"/>
      <c r="I1040" s="354"/>
      <c r="J1040" s="381"/>
    </row>
    <row r="1041" spans="1:10" s="406" customFormat="1">
      <c r="A1041" s="345" t="s">
        <v>1326</v>
      </c>
      <c r="B1041" s="346"/>
      <c r="C1041" s="347">
        <f>C1042+C1043</f>
        <v>28.6</v>
      </c>
      <c r="D1041" s="347">
        <f>C1041*0.22</f>
        <v>6.2920000000000007</v>
      </c>
      <c r="E1041" s="347">
        <v>62.88</v>
      </c>
      <c r="F1041" s="347">
        <f>C1041*0.9</f>
        <v>25.740000000000002</v>
      </c>
      <c r="G1041" s="347">
        <f>C1041+D1041+E1041+F1041</f>
        <v>123.512</v>
      </c>
      <c r="H1041" s="347">
        <f>G1041*0.35</f>
        <v>43.229199999999999</v>
      </c>
      <c r="I1041" s="348">
        <f>G1041+H1041</f>
        <v>166.74119999999999</v>
      </c>
      <c r="J1041" s="349">
        <f>I1041+I1045+I1044</f>
        <v>182.196</v>
      </c>
    </row>
    <row r="1042" spans="1:10" s="406" customFormat="1">
      <c r="A1042" s="350" t="s">
        <v>258</v>
      </c>
      <c r="B1042" s="350">
        <v>20</v>
      </c>
      <c r="C1042" s="352">
        <v>17.2</v>
      </c>
      <c r="D1042" s="353"/>
      <c r="E1042" s="353"/>
      <c r="F1042" s="353"/>
      <c r="G1042" s="353"/>
      <c r="H1042" s="353"/>
      <c r="I1042" s="354"/>
      <c r="J1042" s="353"/>
    </row>
    <row r="1043" spans="1:10" s="406" customFormat="1">
      <c r="A1043" s="350" t="s">
        <v>337</v>
      </c>
      <c r="B1043" s="355">
        <v>20</v>
      </c>
      <c r="C1043" s="353">
        <v>11.4</v>
      </c>
      <c r="D1043" s="381"/>
      <c r="E1043" s="381"/>
      <c r="F1043" s="353"/>
      <c r="G1043" s="353"/>
      <c r="H1043" s="353"/>
      <c r="I1043" s="405"/>
      <c r="J1043" s="381"/>
    </row>
    <row r="1044" spans="1:10" s="406" customFormat="1">
      <c r="A1044" s="350" t="s">
        <v>385</v>
      </c>
      <c r="B1044" s="351">
        <v>10</v>
      </c>
      <c r="C1044" s="352">
        <v>5.4</v>
      </c>
      <c r="D1044" s="353">
        <f>C1044*0.22</f>
        <v>1.1880000000000002</v>
      </c>
      <c r="E1044" s="353"/>
      <c r="F1044" s="353">
        <f>C1044*0.9</f>
        <v>4.8600000000000003</v>
      </c>
      <c r="G1044" s="353">
        <f>C1044+D1044+E1044+F1044</f>
        <v>11.448</v>
      </c>
      <c r="H1044" s="353">
        <f>G1044*0.35</f>
        <v>4.0068000000000001</v>
      </c>
      <c r="I1044" s="354">
        <f>G1044+H1044</f>
        <v>15.454800000000001</v>
      </c>
      <c r="J1044" s="381"/>
    </row>
    <row r="1045" spans="1:10" s="406" customFormat="1">
      <c r="A1045" s="350"/>
      <c r="B1045" s="351"/>
      <c r="C1045" s="352"/>
      <c r="D1045" s="353"/>
      <c r="E1045" s="353"/>
      <c r="F1045" s="353"/>
      <c r="G1045" s="353"/>
      <c r="H1045" s="353"/>
      <c r="I1045" s="354"/>
      <c r="J1045" s="381"/>
    </row>
    <row r="1046" spans="1:10" s="406" customFormat="1">
      <c r="A1046" s="345" t="s">
        <v>1327</v>
      </c>
      <c r="B1046" s="346"/>
      <c r="C1046" s="347">
        <f>C1047+C1048</f>
        <v>21.450000000000003</v>
      </c>
      <c r="D1046" s="347">
        <f>C1046*0.22</f>
        <v>4.7190000000000003</v>
      </c>
      <c r="E1046" s="347">
        <v>18.72</v>
      </c>
      <c r="F1046" s="347">
        <f>C1046*0.9</f>
        <v>19.305000000000003</v>
      </c>
      <c r="G1046" s="347">
        <f>C1046+D1046+E1046+F1046</f>
        <v>64.194000000000003</v>
      </c>
      <c r="H1046" s="347">
        <f>G1046*0.35</f>
        <v>22.4679</v>
      </c>
      <c r="I1046" s="348">
        <f>G1046+H1046</f>
        <v>86.661900000000003</v>
      </c>
      <c r="J1046" s="349">
        <f>I1046+I1050+I1049</f>
        <v>98.253</v>
      </c>
    </row>
    <row r="1047" spans="1:10" s="406" customFormat="1">
      <c r="A1047" s="350" t="s">
        <v>258</v>
      </c>
      <c r="B1047" s="350">
        <v>15</v>
      </c>
      <c r="C1047" s="352">
        <v>12.9</v>
      </c>
      <c r="D1047" s="353"/>
      <c r="E1047" s="353"/>
      <c r="F1047" s="353"/>
      <c r="G1047" s="353"/>
      <c r="H1047" s="353"/>
      <c r="I1047" s="354"/>
      <c r="J1047" s="353"/>
    </row>
    <row r="1048" spans="1:10" s="406" customFormat="1">
      <c r="A1048" s="350" t="s">
        <v>337</v>
      </c>
      <c r="B1048" s="355">
        <v>15</v>
      </c>
      <c r="C1048" s="353">
        <v>8.5500000000000007</v>
      </c>
      <c r="D1048" s="381"/>
      <c r="E1048" s="381"/>
      <c r="F1048" s="353"/>
      <c r="G1048" s="353"/>
      <c r="H1048" s="353"/>
      <c r="I1048" s="405"/>
      <c r="J1048" s="381"/>
    </row>
    <row r="1049" spans="1:10" s="406" customFormat="1">
      <c r="A1049" s="350" t="s">
        <v>385</v>
      </c>
      <c r="B1049" s="351">
        <v>7.5</v>
      </c>
      <c r="C1049" s="352">
        <v>4.05</v>
      </c>
      <c r="D1049" s="353">
        <f>C1049*0.22</f>
        <v>0.89100000000000001</v>
      </c>
      <c r="E1049" s="353"/>
      <c r="F1049" s="353">
        <f>C1049*0.9</f>
        <v>3.645</v>
      </c>
      <c r="G1049" s="353">
        <f>C1049+D1049+E1049+F1049</f>
        <v>8.5860000000000003</v>
      </c>
      <c r="H1049" s="353">
        <f>G1049*0.35</f>
        <v>3.0051000000000001</v>
      </c>
      <c r="I1049" s="354">
        <f>G1049+H1049</f>
        <v>11.591100000000001</v>
      </c>
      <c r="J1049" s="381"/>
    </row>
    <row r="1050" spans="1:10" s="406" customFormat="1">
      <c r="A1050" s="350"/>
      <c r="B1050" s="351"/>
      <c r="C1050" s="352"/>
      <c r="D1050" s="353"/>
      <c r="E1050" s="353"/>
      <c r="F1050" s="353"/>
      <c r="G1050" s="353"/>
      <c r="H1050" s="353"/>
      <c r="I1050" s="354"/>
      <c r="J1050" s="381"/>
    </row>
    <row r="1051" spans="1:10" s="406" customFormat="1">
      <c r="A1051" s="345" t="s">
        <v>1328</v>
      </c>
      <c r="B1051" s="346"/>
      <c r="C1051" s="347">
        <f>C1052+C1053</f>
        <v>28.6</v>
      </c>
      <c r="D1051" s="347">
        <f>C1051*0.22</f>
        <v>6.2920000000000007</v>
      </c>
      <c r="E1051" s="347">
        <v>107.57</v>
      </c>
      <c r="F1051" s="347">
        <f>C1051*0.9</f>
        <v>25.740000000000002</v>
      </c>
      <c r="G1051" s="347">
        <f>C1051+D1051+E1051+F1051</f>
        <v>168.202</v>
      </c>
      <c r="H1051" s="347">
        <f>G1051*0.35</f>
        <v>58.870699999999992</v>
      </c>
      <c r="I1051" s="348">
        <f>G1051+H1051</f>
        <v>227.0727</v>
      </c>
      <c r="J1051" s="349">
        <f>I1051+I1055+I1054</f>
        <v>242.5275</v>
      </c>
    </row>
    <row r="1052" spans="1:10" s="406" customFormat="1">
      <c r="A1052" s="350" t="s">
        <v>258</v>
      </c>
      <c r="B1052" s="350">
        <v>20</v>
      </c>
      <c r="C1052" s="352">
        <v>17.2</v>
      </c>
      <c r="D1052" s="353"/>
      <c r="E1052" s="353"/>
      <c r="F1052" s="353"/>
      <c r="G1052" s="353"/>
      <c r="H1052" s="353"/>
      <c r="I1052" s="354"/>
      <c r="J1052" s="353"/>
    </row>
    <row r="1053" spans="1:10" s="406" customFormat="1">
      <c r="A1053" s="350" t="s">
        <v>337</v>
      </c>
      <c r="B1053" s="355">
        <v>20</v>
      </c>
      <c r="C1053" s="353">
        <v>11.4</v>
      </c>
      <c r="D1053" s="381"/>
      <c r="E1053" s="381"/>
      <c r="F1053" s="353"/>
      <c r="G1053" s="353"/>
      <c r="H1053" s="353"/>
      <c r="I1053" s="405"/>
      <c r="J1053" s="381"/>
    </row>
    <row r="1054" spans="1:10" s="406" customFormat="1">
      <c r="A1054" s="350" t="s">
        <v>385</v>
      </c>
      <c r="B1054" s="351">
        <v>10</v>
      </c>
      <c r="C1054" s="352">
        <v>5.4</v>
      </c>
      <c r="D1054" s="353">
        <f>C1054*0.22</f>
        <v>1.1880000000000002</v>
      </c>
      <c r="E1054" s="353"/>
      <c r="F1054" s="353">
        <f>C1054*0.9</f>
        <v>4.8600000000000003</v>
      </c>
      <c r="G1054" s="353">
        <f>C1054+D1054+E1054+F1054</f>
        <v>11.448</v>
      </c>
      <c r="H1054" s="353">
        <f>G1054*0.35</f>
        <v>4.0068000000000001</v>
      </c>
      <c r="I1054" s="354">
        <f>G1054+H1054</f>
        <v>15.454800000000001</v>
      </c>
      <c r="J1054" s="381"/>
    </row>
    <row r="1055" spans="1:10" s="406" customFormat="1">
      <c r="A1055" s="350"/>
      <c r="B1055" s="351"/>
      <c r="C1055" s="352"/>
      <c r="D1055" s="353"/>
      <c r="E1055" s="353"/>
      <c r="F1055" s="353"/>
      <c r="G1055" s="353"/>
      <c r="H1055" s="353"/>
      <c r="I1055" s="354"/>
      <c r="J1055" s="381"/>
    </row>
    <row r="1056" spans="1:10" s="406" customFormat="1" ht="21">
      <c r="A1056" s="345" t="s">
        <v>1329</v>
      </c>
      <c r="B1056" s="346"/>
      <c r="C1056" s="347">
        <f>C1057+C1058</f>
        <v>21.450000000000003</v>
      </c>
      <c r="D1056" s="347">
        <f>C1056*0.22</f>
        <v>4.7190000000000003</v>
      </c>
      <c r="E1056" s="347">
        <v>154.79</v>
      </c>
      <c r="F1056" s="347">
        <f>C1056*0.9</f>
        <v>19.305000000000003</v>
      </c>
      <c r="G1056" s="347">
        <f>C1056+D1056+E1056+F1056</f>
        <v>200.26400000000001</v>
      </c>
      <c r="H1056" s="347">
        <f>G1056*0.35</f>
        <v>70.092399999999998</v>
      </c>
      <c r="I1056" s="348">
        <f>G1056+H1056</f>
        <v>270.35640000000001</v>
      </c>
      <c r="J1056" s="349">
        <f>I1056+I1059</f>
        <v>281.94749999999999</v>
      </c>
    </row>
    <row r="1057" spans="1:10" s="406" customFormat="1">
      <c r="A1057" s="350" t="s">
        <v>258</v>
      </c>
      <c r="B1057" s="350">
        <v>15</v>
      </c>
      <c r="C1057" s="352">
        <v>12.9</v>
      </c>
      <c r="D1057" s="353"/>
      <c r="E1057" s="353"/>
      <c r="F1057" s="353"/>
      <c r="G1057" s="353"/>
      <c r="H1057" s="353"/>
      <c r="I1057" s="354"/>
      <c r="J1057" s="353"/>
    </row>
    <row r="1058" spans="1:10" s="406" customFormat="1">
      <c r="A1058" s="350" t="s">
        <v>337</v>
      </c>
      <c r="B1058" s="355">
        <v>15</v>
      </c>
      <c r="C1058" s="353">
        <v>8.5500000000000007</v>
      </c>
      <c r="D1058" s="381"/>
      <c r="E1058" s="381"/>
      <c r="F1058" s="353"/>
      <c r="G1058" s="353"/>
      <c r="H1058" s="353"/>
      <c r="I1058" s="405"/>
      <c r="J1058" s="381"/>
    </row>
    <row r="1059" spans="1:10" s="406" customFormat="1">
      <c r="A1059" s="350" t="s">
        <v>385</v>
      </c>
      <c r="B1059" s="351">
        <v>7.5</v>
      </c>
      <c r="C1059" s="352">
        <v>4.05</v>
      </c>
      <c r="D1059" s="353">
        <f>C1059*0.22</f>
        <v>0.89100000000000001</v>
      </c>
      <c r="E1059" s="353"/>
      <c r="F1059" s="353">
        <f>C1059*0.9</f>
        <v>3.645</v>
      </c>
      <c r="G1059" s="353">
        <f>C1059+D1059+E1059+F1059</f>
        <v>8.5860000000000003</v>
      </c>
      <c r="H1059" s="353">
        <f>G1059*0.35</f>
        <v>3.0051000000000001</v>
      </c>
      <c r="I1059" s="354">
        <f>G1059+H1059</f>
        <v>11.591100000000001</v>
      </c>
      <c r="J1059" s="381"/>
    </row>
    <row r="1060" spans="1:10" s="406" customFormat="1">
      <c r="A1060" s="350"/>
      <c r="B1060" s="351"/>
      <c r="C1060" s="352"/>
      <c r="D1060" s="353"/>
      <c r="E1060" s="353"/>
      <c r="F1060" s="353"/>
      <c r="G1060" s="353"/>
      <c r="H1060" s="353"/>
      <c r="I1060" s="354"/>
      <c r="J1060" s="381"/>
    </row>
    <row r="1061" spans="1:10" s="406" customFormat="1" ht="21">
      <c r="A1061" s="345" t="s">
        <v>1330</v>
      </c>
      <c r="B1061" s="346"/>
      <c r="C1061" s="347">
        <f>C1062+C1063</f>
        <v>21.450000000000003</v>
      </c>
      <c r="D1061" s="347">
        <f>C1061*0.22</f>
        <v>4.7190000000000003</v>
      </c>
      <c r="E1061" s="347">
        <v>114.79</v>
      </c>
      <c r="F1061" s="347">
        <f>C1061*0.9</f>
        <v>19.305000000000003</v>
      </c>
      <c r="G1061" s="347">
        <f>C1061+D1061+E1061+F1061</f>
        <v>160.26400000000001</v>
      </c>
      <c r="H1061" s="347">
        <f>G1061*0.35</f>
        <v>56.092399999999998</v>
      </c>
      <c r="I1061" s="348">
        <f>G1061+H1061</f>
        <v>216.35640000000001</v>
      </c>
      <c r="J1061" s="349">
        <f>I1061+I1070+I1064</f>
        <v>227.94750000000002</v>
      </c>
    </row>
    <row r="1062" spans="1:10" s="406" customFormat="1">
      <c r="A1062" s="350" t="s">
        <v>258</v>
      </c>
      <c r="B1062" s="350">
        <v>15</v>
      </c>
      <c r="C1062" s="352">
        <v>12.9</v>
      </c>
      <c r="D1062" s="353"/>
      <c r="E1062" s="353"/>
      <c r="F1062" s="353"/>
      <c r="G1062" s="353"/>
      <c r="H1062" s="353"/>
      <c r="I1062" s="354"/>
      <c r="J1062" s="355"/>
    </row>
    <row r="1063" spans="1:10" s="406" customFormat="1">
      <c r="A1063" s="350" t="s">
        <v>337</v>
      </c>
      <c r="B1063" s="355">
        <v>15</v>
      </c>
      <c r="C1063" s="353">
        <v>8.5500000000000007</v>
      </c>
      <c r="D1063" s="381"/>
      <c r="E1063" s="381"/>
      <c r="F1063" s="353"/>
      <c r="G1063" s="353"/>
      <c r="H1063" s="353"/>
      <c r="I1063" s="405"/>
      <c r="J1063" s="408"/>
    </row>
    <row r="1064" spans="1:10" s="406" customFormat="1">
      <c r="A1064" s="350" t="s">
        <v>385</v>
      </c>
      <c r="B1064" s="351">
        <v>7.5</v>
      </c>
      <c r="C1064" s="352">
        <v>4.05</v>
      </c>
      <c r="D1064" s="353">
        <f>C1064*0.22</f>
        <v>0.89100000000000001</v>
      </c>
      <c r="E1064" s="353"/>
      <c r="F1064" s="353">
        <f>C1064*0.9</f>
        <v>3.645</v>
      </c>
      <c r="G1064" s="353">
        <f>C1064+D1064+E1064+F1064</f>
        <v>8.5860000000000003</v>
      </c>
      <c r="H1064" s="353">
        <f>G1064*0.35</f>
        <v>3.0051000000000001</v>
      </c>
      <c r="I1064" s="354">
        <f>G1064+H1064</f>
        <v>11.591100000000001</v>
      </c>
      <c r="J1064" s="408"/>
    </row>
    <row r="1065" spans="1:10" s="406" customFormat="1">
      <c r="A1065" s="350"/>
      <c r="B1065" s="351"/>
      <c r="C1065" s="352"/>
      <c r="D1065" s="353"/>
      <c r="E1065" s="353"/>
      <c r="F1065" s="353"/>
      <c r="G1065" s="353"/>
      <c r="H1065" s="353"/>
      <c r="I1065" s="354"/>
      <c r="J1065" s="408"/>
    </row>
    <row r="1066" spans="1:10" s="406" customFormat="1" ht="21">
      <c r="A1066" s="345" t="s">
        <v>1331</v>
      </c>
      <c r="B1066" s="346"/>
      <c r="C1066" s="347">
        <f>C1067+C1068</f>
        <v>21.450000000000003</v>
      </c>
      <c r="D1066" s="347">
        <f>C1066*0.22</f>
        <v>4.7190000000000003</v>
      </c>
      <c r="E1066" s="347">
        <v>24.06</v>
      </c>
      <c r="F1066" s="347">
        <f>C1066*0.9</f>
        <v>19.305000000000003</v>
      </c>
      <c r="G1066" s="347">
        <f>C1066+D1066+E1066+F1066</f>
        <v>69.534000000000006</v>
      </c>
      <c r="H1066" s="347">
        <f>G1066*0.35</f>
        <v>24.3369</v>
      </c>
      <c r="I1066" s="348">
        <f>G1066+H1066</f>
        <v>93.870900000000006</v>
      </c>
      <c r="J1066" s="349">
        <f>I1066+I1070+I1069</f>
        <v>105.462</v>
      </c>
    </row>
    <row r="1067" spans="1:10" s="406" customFormat="1">
      <c r="A1067" s="350" t="s">
        <v>258</v>
      </c>
      <c r="B1067" s="350">
        <v>15</v>
      </c>
      <c r="C1067" s="352">
        <v>12.9</v>
      </c>
      <c r="D1067" s="353"/>
      <c r="E1067" s="353"/>
      <c r="F1067" s="353"/>
      <c r="G1067" s="353"/>
      <c r="H1067" s="353"/>
      <c r="I1067" s="354"/>
      <c r="J1067" s="353"/>
    </row>
    <row r="1068" spans="1:10" s="406" customFormat="1">
      <c r="A1068" s="350" t="s">
        <v>337</v>
      </c>
      <c r="B1068" s="355">
        <v>15</v>
      </c>
      <c r="C1068" s="353">
        <v>8.5500000000000007</v>
      </c>
      <c r="D1068" s="381"/>
      <c r="E1068" s="381"/>
      <c r="F1068" s="353"/>
      <c r="G1068" s="353"/>
      <c r="H1068" s="353"/>
      <c r="I1068" s="405"/>
      <c r="J1068" s="381"/>
    </row>
    <row r="1069" spans="1:10" s="406" customFormat="1">
      <c r="A1069" s="350" t="s">
        <v>385</v>
      </c>
      <c r="B1069" s="351">
        <v>7.5</v>
      </c>
      <c r="C1069" s="352">
        <v>4.05</v>
      </c>
      <c r="D1069" s="353">
        <f>C1069*0.22</f>
        <v>0.89100000000000001</v>
      </c>
      <c r="E1069" s="353"/>
      <c r="F1069" s="353">
        <f>C1069*0.9</f>
        <v>3.645</v>
      </c>
      <c r="G1069" s="353">
        <f>C1069+D1069+E1069+F1069</f>
        <v>8.5860000000000003</v>
      </c>
      <c r="H1069" s="353">
        <f>G1069*0.35</f>
        <v>3.0051000000000001</v>
      </c>
      <c r="I1069" s="354">
        <f>G1069+H1069</f>
        <v>11.591100000000001</v>
      </c>
      <c r="J1069" s="381"/>
    </row>
    <row r="1070" spans="1:10" s="406" customFormat="1">
      <c r="A1070" s="350"/>
      <c r="B1070" s="351"/>
      <c r="C1070" s="352"/>
      <c r="D1070" s="353"/>
      <c r="E1070" s="353"/>
      <c r="F1070" s="353"/>
      <c r="G1070" s="353"/>
      <c r="H1070" s="353"/>
      <c r="I1070" s="354"/>
      <c r="J1070" s="381"/>
    </row>
    <row r="1071" spans="1:10" s="406" customFormat="1">
      <c r="A1071" s="345" t="s">
        <v>658</v>
      </c>
      <c r="B1071" s="346"/>
      <c r="C1071" s="347">
        <f>C1072+C1073</f>
        <v>14.3</v>
      </c>
      <c r="D1071" s="347">
        <f>C1071*0.22</f>
        <v>3.1460000000000004</v>
      </c>
      <c r="E1071" s="347">
        <v>21.76</v>
      </c>
      <c r="F1071" s="347">
        <f>C1071*0.9</f>
        <v>12.870000000000001</v>
      </c>
      <c r="G1071" s="347">
        <f>C1071+D1071+E1071+F1071</f>
        <v>52.076000000000008</v>
      </c>
      <c r="H1071" s="347">
        <f>G1071*0.35</f>
        <v>18.226600000000001</v>
      </c>
      <c r="I1071" s="348">
        <f>G1071+H1071</f>
        <v>70.302600000000012</v>
      </c>
      <c r="J1071" s="349">
        <f>I1071+I1075+I1074</f>
        <v>78.030000000000015</v>
      </c>
    </row>
    <row r="1072" spans="1:10" s="406" customFormat="1">
      <c r="A1072" s="350" t="s">
        <v>258</v>
      </c>
      <c r="B1072" s="350">
        <v>10</v>
      </c>
      <c r="C1072" s="352">
        <v>8.6</v>
      </c>
      <c r="D1072" s="353"/>
      <c r="E1072" s="353"/>
      <c r="F1072" s="353"/>
      <c r="G1072" s="353"/>
      <c r="H1072" s="353"/>
      <c r="I1072" s="354"/>
      <c r="J1072" s="353"/>
    </row>
    <row r="1073" spans="1:10" s="406" customFormat="1">
      <c r="A1073" s="350" t="s">
        <v>337</v>
      </c>
      <c r="B1073" s="355">
        <v>10</v>
      </c>
      <c r="C1073" s="353">
        <v>5.7</v>
      </c>
      <c r="D1073" s="381"/>
      <c r="E1073" s="381"/>
      <c r="F1073" s="353"/>
      <c r="G1073" s="353"/>
      <c r="H1073" s="353"/>
      <c r="I1073" s="405"/>
      <c r="J1073" s="381"/>
    </row>
    <row r="1074" spans="1:10" s="406" customFormat="1">
      <c r="A1074" s="350" t="s">
        <v>385</v>
      </c>
      <c r="B1074" s="351">
        <v>5</v>
      </c>
      <c r="C1074" s="352">
        <v>2.7</v>
      </c>
      <c r="D1074" s="353">
        <f>C1074*0.22</f>
        <v>0.59400000000000008</v>
      </c>
      <c r="E1074" s="353"/>
      <c r="F1074" s="353">
        <f>C1074*0.9</f>
        <v>2.4300000000000002</v>
      </c>
      <c r="G1074" s="353">
        <f>C1074+D1074+E1074+F1074</f>
        <v>5.7240000000000002</v>
      </c>
      <c r="H1074" s="353">
        <f>G1074*0.35</f>
        <v>2.0034000000000001</v>
      </c>
      <c r="I1074" s="354">
        <f>G1074+H1074</f>
        <v>7.7274000000000003</v>
      </c>
      <c r="J1074" s="381"/>
    </row>
    <row r="1075" spans="1:10" s="406" customFormat="1">
      <c r="A1075" s="350"/>
      <c r="B1075" s="351"/>
      <c r="C1075" s="352"/>
      <c r="D1075" s="353"/>
      <c r="E1075" s="353"/>
      <c r="F1075" s="353"/>
      <c r="G1075" s="353"/>
      <c r="H1075" s="353"/>
      <c r="I1075" s="354"/>
      <c r="J1075" s="381"/>
    </row>
    <row r="1076" spans="1:10" s="406" customFormat="1">
      <c r="A1076" s="345" t="s">
        <v>1332</v>
      </c>
      <c r="B1076" s="346"/>
      <c r="C1076" s="347">
        <f>C1077+C1078</f>
        <v>28.6</v>
      </c>
      <c r="D1076" s="347">
        <f>C1076*0.22</f>
        <v>6.2920000000000007</v>
      </c>
      <c r="E1076" s="347">
        <v>26.22</v>
      </c>
      <c r="F1076" s="347">
        <f>C1076*0.9</f>
        <v>25.740000000000002</v>
      </c>
      <c r="G1076" s="347">
        <f>C1076+D1076+E1076+F1076</f>
        <v>86.852000000000004</v>
      </c>
      <c r="H1076" s="347">
        <f>G1076*0.35</f>
        <v>30.398199999999999</v>
      </c>
      <c r="I1076" s="348">
        <f>G1076+H1076</f>
        <v>117.25020000000001</v>
      </c>
      <c r="J1076" s="349">
        <f>I1076+I1080+I1079</f>
        <v>132.70500000000001</v>
      </c>
    </row>
    <row r="1077" spans="1:10" s="406" customFormat="1">
      <c r="A1077" s="350" t="s">
        <v>258</v>
      </c>
      <c r="B1077" s="350">
        <v>20</v>
      </c>
      <c r="C1077" s="352">
        <v>17.2</v>
      </c>
      <c r="D1077" s="353"/>
      <c r="E1077" s="353"/>
      <c r="F1077" s="353"/>
      <c r="G1077" s="353"/>
      <c r="H1077" s="353"/>
      <c r="I1077" s="354"/>
      <c r="J1077" s="353"/>
    </row>
    <row r="1078" spans="1:10" s="406" customFormat="1">
      <c r="A1078" s="350" t="s">
        <v>337</v>
      </c>
      <c r="B1078" s="355">
        <v>20</v>
      </c>
      <c r="C1078" s="353">
        <v>11.4</v>
      </c>
      <c r="D1078" s="381"/>
      <c r="E1078" s="381"/>
      <c r="F1078" s="353"/>
      <c r="G1078" s="353"/>
      <c r="H1078" s="353"/>
      <c r="I1078" s="405"/>
      <c r="J1078" s="381"/>
    </row>
    <row r="1079" spans="1:10" s="406" customFormat="1">
      <c r="A1079" s="350" t="s">
        <v>385</v>
      </c>
      <c r="B1079" s="351">
        <v>10</v>
      </c>
      <c r="C1079" s="352">
        <v>5.4</v>
      </c>
      <c r="D1079" s="353">
        <f>C1079*0.22</f>
        <v>1.1880000000000002</v>
      </c>
      <c r="E1079" s="353"/>
      <c r="F1079" s="353">
        <f>C1079*0.9</f>
        <v>4.8600000000000003</v>
      </c>
      <c r="G1079" s="353">
        <f>C1079+D1079+E1079+F1079</f>
        <v>11.448</v>
      </c>
      <c r="H1079" s="353">
        <f>G1079*0.35</f>
        <v>4.0068000000000001</v>
      </c>
      <c r="I1079" s="354">
        <f>G1079+H1079</f>
        <v>15.454800000000001</v>
      </c>
      <c r="J1079" s="381"/>
    </row>
    <row r="1080" spans="1:10" s="406" customFormat="1">
      <c r="A1080" s="350"/>
      <c r="B1080" s="351"/>
      <c r="C1080" s="352"/>
      <c r="D1080" s="353"/>
      <c r="E1080" s="353"/>
      <c r="F1080" s="353"/>
      <c r="G1080" s="353"/>
      <c r="H1080" s="353"/>
      <c r="I1080" s="354"/>
      <c r="J1080" s="381"/>
    </row>
    <row r="1081" spans="1:10" s="406" customFormat="1">
      <c r="A1081" s="345" t="s">
        <v>1333</v>
      </c>
      <c r="B1081" s="346"/>
      <c r="C1081" s="347">
        <f>C1082+C1083</f>
        <v>42.900000000000006</v>
      </c>
      <c r="D1081" s="347">
        <f>C1081*0.22</f>
        <v>9.4380000000000006</v>
      </c>
      <c r="E1081" s="347">
        <v>118.72</v>
      </c>
      <c r="F1081" s="347">
        <f>C1081*0.9</f>
        <v>38.610000000000007</v>
      </c>
      <c r="G1081" s="347">
        <f>C1081+D1081+E1081+F1081</f>
        <v>209.66800000000001</v>
      </c>
      <c r="H1081" s="347">
        <f>G1081*0.35</f>
        <v>73.383799999999994</v>
      </c>
      <c r="I1081" s="348">
        <f>G1081+H1081</f>
        <v>283.05180000000001</v>
      </c>
      <c r="J1081" s="349">
        <f>I1081+I1085+I1084</f>
        <v>306.23400000000004</v>
      </c>
    </row>
    <row r="1082" spans="1:10" s="406" customFormat="1">
      <c r="A1082" s="350" t="s">
        <v>258</v>
      </c>
      <c r="B1082" s="350">
        <v>30</v>
      </c>
      <c r="C1082" s="352">
        <v>25.8</v>
      </c>
      <c r="D1082" s="353"/>
      <c r="E1082" s="353"/>
      <c r="F1082" s="353"/>
      <c r="G1082" s="353"/>
      <c r="H1082" s="353"/>
      <c r="I1082" s="354"/>
      <c r="J1082" s="353"/>
    </row>
    <row r="1083" spans="1:10" s="406" customFormat="1">
      <c r="A1083" s="350" t="s">
        <v>337</v>
      </c>
      <c r="B1083" s="355">
        <v>30</v>
      </c>
      <c r="C1083" s="353">
        <v>17.100000000000001</v>
      </c>
      <c r="D1083" s="381"/>
      <c r="E1083" s="381"/>
      <c r="F1083" s="353"/>
      <c r="G1083" s="353"/>
      <c r="H1083" s="353"/>
      <c r="I1083" s="405"/>
      <c r="J1083" s="381"/>
    </row>
    <row r="1084" spans="1:10" s="406" customFormat="1">
      <c r="A1084" s="350" t="s">
        <v>385</v>
      </c>
      <c r="B1084" s="351">
        <v>15</v>
      </c>
      <c r="C1084" s="352">
        <v>8.1</v>
      </c>
      <c r="D1084" s="353">
        <f>C1084*0.22</f>
        <v>1.782</v>
      </c>
      <c r="E1084" s="353"/>
      <c r="F1084" s="353">
        <f>C1084*0.9</f>
        <v>7.29</v>
      </c>
      <c r="G1084" s="353">
        <f>C1084+D1084+E1084+F1084</f>
        <v>17.172000000000001</v>
      </c>
      <c r="H1084" s="353">
        <f>G1084*0.35</f>
        <v>6.0102000000000002</v>
      </c>
      <c r="I1084" s="354">
        <f>G1084+H1084</f>
        <v>23.182200000000002</v>
      </c>
      <c r="J1084" s="381"/>
    </row>
    <row r="1085" spans="1:10" s="406" customFormat="1">
      <c r="A1085" s="350"/>
      <c r="B1085" s="351"/>
      <c r="C1085" s="352"/>
      <c r="D1085" s="353"/>
      <c r="E1085" s="353"/>
      <c r="F1085" s="353"/>
      <c r="G1085" s="353"/>
      <c r="H1085" s="353"/>
      <c r="I1085" s="354"/>
      <c r="J1085" s="381"/>
    </row>
    <row r="1086" spans="1:10" s="406" customFormat="1" ht="21">
      <c r="A1086" s="345" t="s">
        <v>1334</v>
      </c>
      <c r="B1086" s="346"/>
      <c r="C1086" s="347">
        <f>C1087+C1088</f>
        <v>21.450000000000003</v>
      </c>
      <c r="D1086" s="347">
        <f>C1086*0.22</f>
        <v>4.7190000000000003</v>
      </c>
      <c r="E1086" s="347">
        <v>16.440000000000001</v>
      </c>
      <c r="F1086" s="347">
        <f>C1086*0.9</f>
        <v>19.305000000000003</v>
      </c>
      <c r="G1086" s="347">
        <f>C1086+D1086+E1086+F1086</f>
        <v>61.914000000000016</v>
      </c>
      <c r="H1086" s="347">
        <f>G1086*0.35</f>
        <v>21.669900000000005</v>
      </c>
      <c r="I1086" s="348">
        <f>G1086+H1086</f>
        <v>83.583900000000028</v>
      </c>
      <c r="J1086" s="349">
        <f>I1086+I1090+I1089</f>
        <v>95.175000000000026</v>
      </c>
    </row>
    <row r="1087" spans="1:10" s="406" customFormat="1">
      <c r="A1087" s="350" t="s">
        <v>258</v>
      </c>
      <c r="B1087" s="350">
        <v>15</v>
      </c>
      <c r="C1087" s="352">
        <v>12.9</v>
      </c>
      <c r="D1087" s="353"/>
      <c r="E1087" s="353"/>
      <c r="F1087" s="353"/>
      <c r="G1087" s="353"/>
      <c r="H1087" s="353"/>
      <c r="I1087" s="354"/>
      <c r="J1087" s="353"/>
    </row>
    <row r="1088" spans="1:10" s="406" customFormat="1">
      <c r="A1088" s="350" t="s">
        <v>337</v>
      </c>
      <c r="B1088" s="355">
        <v>15</v>
      </c>
      <c r="C1088" s="353">
        <v>8.5500000000000007</v>
      </c>
      <c r="D1088" s="381"/>
      <c r="E1088" s="381"/>
      <c r="F1088" s="353"/>
      <c r="G1088" s="353"/>
      <c r="H1088" s="353"/>
      <c r="I1088" s="405"/>
      <c r="J1088" s="381"/>
    </row>
    <row r="1089" spans="1:10" s="406" customFormat="1">
      <c r="A1089" s="350" t="s">
        <v>385</v>
      </c>
      <c r="B1089" s="351">
        <v>7.5</v>
      </c>
      <c r="C1089" s="352">
        <v>4.05</v>
      </c>
      <c r="D1089" s="353">
        <f>C1089*0.22</f>
        <v>0.89100000000000001</v>
      </c>
      <c r="E1089" s="353"/>
      <c r="F1089" s="353">
        <f>C1089*0.9</f>
        <v>3.645</v>
      </c>
      <c r="G1089" s="353">
        <f>C1089+D1089+E1089+F1089</f>
        <v>8.5860000000000003</v>
      </c>
      <c r="H1089" s="353">
        <f>G1089*0.35</f>
        <v>3.0051000000000001</v>
      </c>
      <c r="I1089" s="354">
        <f>G1089+H1089</f>
        <v>11.591100000000001</v>
      </c>
      <c r="J1089" s="381"/>
    </row>
    <row r="1090" spans="1:10" s="406" customFormat="1">
      <c r="A1090" s="350"/>
      <c r="B1090" s="351"/>
      <c r="C1090" s="352"/>
      <c r="D1090" s="353"/>
      <c r="E1090" s="353"/>
      <c r="F1090" s="353"/>
      <c r="G1090" s="353"/>
      <c r="H1090" s="353"/>
      <c r="I1090" s="354"/>
      <c r="J1090" s="381"/>
    </row>
    <row r="1091" spans="1:10" s="406" customFormat="1">
      <c r="A1091" s="345" t="s">
        <v>1335</v>
      </c>
      <c r="B1091" s="346"/>
      <c r="C1091" s="347">
        <f>C1092+C1093</f>
        <v>28.6</v>
      </c>
      <c r="D1091" s="347">
        <f>C1091*0.22</f>
        <v>6.2920000000000007</v>
      </c>
      <c r="E1091" s="347">
        <v>18.260000000000002</v>
      </c>
      <c r="F1091" s="347">
        <f>C1091*0.9</f>
        <v>25.740000000000002</v>
      </c>
      <c r="G1091" s="347">
        <f>C1091+D1091+E1091+F1091</f>
        <v>78.891999999999996</v>
      </c>
      <c r="H1091" s="347">
        <f>G1091*0.35</f>
        <v>27.612199999999998</v>
      </c>
      <c r="I1091" s="348">
        <f>G1091+H1091</f>
        <v>106.5042</v>
      </c>
      <c r="J1091" s="349">
        <f>I1091+I1095+I1094</f>
        <v>121.959</v>
      </c>
    </row>
    <row r="1092" spans="1:10" s="406" customFormat="1">
      <c r="A1092" s="350" t="s">
        <v>258</v>
      </c>
      <c r="B1092" s="350">
        <v>20</v>
      </c>
      <c r="C1092" s="352">
        <v>17.2</v>
      </c>
      <c r="D1092" s="353"/>
      <c r="E1092" s="353"/>
      <c r="F1092" s="353"/>
      <c r="G1092" s="353"/>
      <c r="H1092" s="353"/>
      <c r="I1092" s="354"/>
      <c r="J1092" s="355"/>
    </row>
    <row r="1093" spans="1:10" s="406" customFormat="1">
      <c r="A1093" s="350" t="s">
        <v>337</v>
      </c>
      <c r="B1093" s="355">
        <v>20</v>
      </c>
      <c r="C1093" s="353">
        <v>11.4</v>
      </c>
      <c r="D1093" s="381"/>
      <c r="E1093" s="381"/>
      <c r="F1093" s="353"/>
      <c r="G1093" s="353"/>
      <c r="H1093" s="353"/>
      <c r="I1093" s="405"/>
      <c r="J1093" s="408"/>
    </row>
    <row r="1094" spans="1:10" s="406" customFormat="1">
      <c r="A1094" s="350" t="s">
        <v>385</v>
      </c>
      <c r="B1094" s="351">
        <v>10</v>
      </c>
      <c r="C1094" s="352">
        <v>5.4</v>
      </c>
      <c r="D1094" s="353">
        <f>C1094*0.22</f>
        <v>1.1880000000000002</v>
      </c>
      <c r="E1094" s="353"/>
      <c r="F1094" s="353">
        <f>C1094*0.9</f>
        <v>4.8600000000000003</v>
      </c>
      <c r="G1094" s="353">
        <f>C1094+D1094+E1094+F1094</f>
        <v>11.448</v>
      </c>
      <c r="H1094" s="353">
        <f>G1094*0.35</f>
        <v>4.0068000000000001</v>
      </c>
      <c r="I1094" s="354">
        <f>G1094+H1094</f>
        <v>15.454800000000001</v>
      </c>
      <c r="J1094" s="408"/>
    </row>
    <row r="1095" spans="1:10" s="406" customFormat="1">
      <c r="A1095" s="350"/>
      <c r="B1095" s="351"/>
      <c r="C1095" s="352"/>
      <c r="D1095" s="353"/>
      <c r="E1095" s="353"/>
      <c r="F1095" s="353"/>
      <c r="G1095" s="353"/>
      <c r="H1095" s="353"/>
      <c r="I1095" s="354"/>
      <c r="J1095" s="408"/>
    </row>
    <row r="1096" spans="1:10" s="406" customFormat="1">
      <c r="A1096" s="345" t="s">
        <v>1336</v>
      </c>
      <c r="B1096" s="346"/>
      <c r="C1096" s="347">
        <f>C1097+C1098</f>
        <v>14.3</v>
      </c>
      <c r="D1096" s="347">
        <f>C1096*0.22</f>
        <v>3.1460000000000004</v>
      </c>
      <c r="E1096" s="347">
        <v>1.74</v>
      </c>
      <c r="F1096" s="347">
        <f>C1096*0.9</f>
        <v>12.870000000000001</v>
      </c>
      <c r="G1096" s="347">
        <f>C1096+D1096+E1096+F1096</f>
        <v>32.055999999999997</v>
      </c>
      <c r="H1096" s="347">
        <f>G1096*0.35</f>
        <v>11.219599999999998</v>
      </c>
      <c r="I1096" s="348">
        <f>G1096+H1096</f>
        <v>43.275599999999997</v>
      </c>
      <c r="J1096" s="349">
        <f>I1096+I1100+I1099</f>
        <v>51.003</v>
      </c>
    </row>
    <row r="1097" spans="1:10" s="406" customFormat="1">
      <c r="A1097" s="350" t="s">
        <v>258</v>
      </c>
      <c r="B1097" s="350">
        <v>10</v>
      </c>
      <c r="C1097" s="352">
        <v>8.6</v>
      </c>
      <c r="D1097" s="353"/>
      <c r="E1097" s="353"/>
      <c r="F1097" s="353"/>
      <c r="G1097" s="353"/>
      <c r="H1097" s="353"/>
      <c r="I1097" s="354"/>
      <c r="J1097" s="353"/>
    </row>
    <row r="1098" spans="1:10" s="406" customFormat="1">
      <c r="A1098" s="350" t="s">
        <v>337</v>
      </c>
      <c r="B1098" s="355">
        <v>10</v>
      </c>
      <c r="C1098" s="353">
        <v>5.7</v>
      </c>
      <c r="D1098" s="381"/>
      <c r="E1098" s="381"/>
      <c r="F1098" s="353"/>
      <c r="G1098" s="353"/>
      <c r="H1098" s="353"/>
      <c r="I1098" s="405"/>
      <c r="J1098" s="381"/>
    </row>
    <row r="1099" spans="1:10" s="406" customFormat="1">
      <c r="A1099" s="350" t="s">
        <v>385</v>
      </c>
      <c r="B1099" s="351">
        <v>5</v>
      </c>
      <c r="C1099" s="352">
        <v>2.7</v>
      </c>
      <c r="D1099" s="353">
        <f>C1099*0.22</f>
        <v>0.59400000000000008</v>
      </c>
      <c r="E1099" s="353"/>
      <c r="F1099" s="353">
        <f>C1099*0.9</f>
        <v>2.4300000000000002</v>
      </c>
      <c r="G1099" s="353">
        <f>C1099+D1099+E1099+F1099</f>
        <v>5.7240000000000002</v>
      </c>
      <c r="H1099" s="353">
        <f>G1099*0.35</f>
        <v>2.0034000000000001</v>
      </c>
      <c r="I1099" s="354">
        <f>G1099+H1099</f>
        <v>7.7274000000000003</v>
      </c>
      <c r="J1099" s="381"/>
    </row>
    <row r="1100" spans="1:10" s="406" customFormat="1">
      <c r="A1100" s="350"/>
      <c r="B1100" s="351"/>
      <c r="C1100" s="352"/>
      <c r="D1100" s="353"/>
      <c r="E1100" s="353"/>
      <c r="F1100" s="353"/>
      <c r="G1100" s="353"/>
      <c r="H1100" s="353"/>
      <c r="I1100" s="354"/>
      <c r="J1100" s="381"/>
    </row>
    <row r="1101" spans="1:10" s="406" customFormat="1">
      <c r="A1101" s="345" t="s">
        <v>1337</v>
      </c>
      <c r="B1101" s="346"/>
      <c r="C1101" s="347">
        <f>C1102+C1103</f>
        <v>28.6</v>
      </c>
      <c r="D1101" s="347">
        <f>C1101*0.22</f>
        <v>6.2920000000000007</v>
      </c>
      <c r="E1101" s="347">
        <v>24.66</v>
      </c>
      <c r="F1101" s="347">
        <f>C1101*0.9</f>
        <v>25.740000000000002</v>
      </c>
      <c r="G1101" s="347">
        <f>C1101+D1101+E1101+F1101</f>
        <v>85.292000000000002</v>
      </c>
      <c r="H1101" s="347">
        <f>G1101*0.35</f>
        <v>29.8522</v>
      </c>
      <c r="I1101" s="348">
        <f>G1101+H1101</f>
        <v>115.1442</v>
      </c>
      <c r="J1101" s="349">
        <f>I1101+I1105+I1104</f>
        <v>130.59899999999999</v>
      </c>
    </row>
    <row r="1102" spans="1:10" s="406" customFormat="1">
      <c r="A1102" s="350" t="s">
        <v>258</v>
      </c>
      <c r="B1102" s="350">
        <v>20</v>
      </c>
      <c r="C1102" s="352">
        <v>17.2</v>
      </c>
      <c r="D1102" s="353"/>
      <c r="E1102" s="353"/>
      <c r="F1102" s="353"/>
      <c r="G1102" s="353"/>
      <c r="H1102" s="353"/>
      <c r="I1102" s="354"/>
      <c r="J1102" s="353"/>
    </row>
    <row r="1103" spans="1:10" s="406" customFormat="1">
      <c r="A1103" s="350" t="s">
        <v>337</v>
      </c>
      <c r="B1103" s="355">
        <v>20</v>
      </c>
      <c r="C1103" s="353">
        <v>11.4</v>
      </c>
      <c r="D1103" s="381"/>
      <c r="E1103" s="381"/>
      <c r="F1103" s="353"/>
      <c r="G1103" s="353"/>
      <c r="H1103" s="353"/>
      <c r="I1103" s="405"/>
      <c r="J1103" s="381"/>
    </row>
    <row r="1104" spans="1:10" s="406" customFormat="1">
      <c r="A1104" s="350" t="s">
        <v>385</v>
      </c>
      <c r="B1104" s="351">
        <v>10</v>
      </c>
      <c r="C1104" s="352">
        <v>5.4</v>
      </c>
      <c r="D1104" s="353">
        <f>C1104*0.22</f>
        <v>1.1880000000000002</v>
      </c>
      <c r="E1104" s="353"/>
      <c r="F1104" s="353">
        <f>C1104*0.9</f>
        <v>4.8600000000000003</v>
      </c>
      <c r="G1104" s="353">
        <f>C1104+D1104+E1104+F1104</f>
        <v>11.448</v>
      </c>
      <c r="H1104" s="353">
        <f>G1104*0.35</f>
        <v>4.0068000000000001</v>
      </c>
      <c r="I1104" s="354">
        <f>G1104+H1104</f>
        <v>15.454800000000001</v>
      </c>
      <c r="J1104" s="381"/>
    </row>
    <row r="1105" spans="1:10" s="406" customFormat="1">
      <c r="A1105" s="350"/>
      <c r="B1105" s="351"/>
      <c r="C1105" s="352"/>
      <c r="D1105" s="353"/>
      <c r="E1105" s="353"/>
      <c r="F1105" s="353"/>
      <c r="G1105" s="353"/>
      <c r="H1105" s="353"/>
      <c r="I1105" s="354"/>
      <c r="J1105" s="381"/>
    </row>
    <row r="1106" spans="1:10" s="406" customFormat="1" ht="21">
      <c r="A1106" s="345" t="s">
        <v>1338</v>
      </c>
      <c r="B1106" s="346"/>
      <c r="C1106" s="347">
        <f>C1107+C1108</f>
        <v>14.3</v>
      </c>
      <c r="D1106" s="347">
        <f>C1106*0.22</f>
        <v>3.1460000000000004</v>
      </c>
      <c r="E1106" s="347">
        <v>0.74</v>
      </c>
      <c r="F1106" s="347">
        <f>C1106*0.9</f>
        <v>12.870000000000001</v>
      </c>
      <c r="G1106" s="347">
        <f>C1106+D1106+E1106+F1106</f>
        <v>31.056000000000001</v>
      </c>
      <c r="H1106" s="347">
        <f>G1106*0.35</f>
        <v>10.8696</v>
      </c>
      <c r="I1106" s="348">
        <f>G1106+H1106</f>
        <v>41.925600000000003</v>
      </c>
      <c r="J1106" s="349">
        <f>I1106+I1110+I1109</f>
        <v>49.653000000000006</v>
      </c>
    </row>
    <row r="1107" spans="1:10" s="406" customFormat="1">
      <c r="A1107" s="350" t="s">
        <v>258</v>
      </c>
      <c r="B1107" s="350">
        <v>10</v>
      </c>
      <c r="C1107" s="352">
        <v>8.6</v>
      </c>
      <c r="D1107" s="353"/>
      <c r="E1107" s="353"/>
      <c r="F1107" s="353"/>
      <c r="G1107" s="353"/>
      <c r="H1107" s="353"/>
      <c r="I1107" s="354"/>
      <c r="J1107" s="353"/>
    </row>
    <row r="1108" spans="1:10" s="406" customFormat="1">
      <c r="A1108" s="350" t="s">
        <v>337</v>
      </c>
      <c r="B1108" s="355">
        <v>10</v>
      </c>
      <c r="C1108" s="353">
        <v>5.7</v>
      </c>
      <c r="D1108" s="381"/>
      <c r="E1108" s="381"/>
      <c r="F1108" s="353"/>
      <c r="G1108" s="353"/>
      <c r="H1108" s="353"/>
      <c r="I1108" s="405"/>
      <c r="J1108" s="381"/>
    </row>
    <row r="1109" spans="1:10" s="406" customFormat="1">
      <c r="A1109" s="350" t="s">
        <v>385</v>
      </c>
      <c r="B1109" s="351">
        <v>5</v>
      </c>
      <c r="C1109" s="352">
        <v>2.7</v>
      </c>
      <c r="D1109" s="353">
        <f>C1109*0.22</f>
        <v>0.59400000000000008</v>
      </c>
      <c r="E1109" s="353"/>
      <c r="F1109" s="353">
        <f>C1109*0.9</f>
        <v>2.4300000000000002</v>
      </c>
      <c r="G1109" s="353">
        <f>C1109+D1109+E1109+F1109</f>
        <v>5.7240000000000002</v>
      </c>
      <c r="H1109" s="353">
        <f>G1109*0.35</f>
        <v>2.0034000000000001</v>
      </c>
      <c r="I1109" s="354">
        <f>G1109+H1109</f>
        <v>7.7274000000000003</v>
      </c>
      <c r="J1109" s="381"/>
    </row>
    <row r="1110" spans="1:10" s="406" customFormat="1">
      <c r="A1110" s="350"/>
      <c r="B1110" s="351"/>
      <c r="C1110" s="352"/>
      <c r="D1110" s="353"/>
      <c r="E1110" s="353"/>
      <c r="F1110" s="353"/>
      <c r="G1110" s="353"/>
      <c r="H1110" s="353"/>
      <c r="I1110" s="354"/>
      <c r="J1110" s="381"/>
    </row>
    <row r="1111" spans="1:10" s="406" customFormat="1">
      <c r="A1111" s="345" t="s">
        <v>1339</v>
      </c>
      <c r="B1111" s="346"/>
      <c r="C1111" s="347">
        <f>C1112+C1113</f>
        <v>57.2</v>
      </c>
      <c r="D1111" s="347">
        <f>C1111*0.22</f>
        <v>12.584000000000001</v>
      </c>
      <c r="E1111" s="347">
        <v>500.94</v>
      </c>
      <c r="F1111" s="347">
        <f>C1111*0.9</f>
        <v>51.480000000000004</v>
      </c>
      <c r="G1111" s="347">
        <f>C1111+D1111+E1111+F1111</f>
        <v>622.20400000000006</v>
      </c>
      <c r="H1111" s="347">
        <f>G1111*0.35</f>
        <v>217.7714</v>
      </c>
      <c r="I1111" s="348">
        <f>G1111+H1111</f>
        <v>839.97540000000004</v>
      </c>
      <c r="J1111" s="349">
        <f>I1111+I1115+I1114</f>
        <v>855.43020000000001</v>
      </c>
    </row>
    <row r="1112" spans="1:10" s="406" customFormat="1">
      <c r="A1112" s="350" t="s">
        <v>258</v>
      </c>
      <c r="B1112" s="350">
        <v>40</v>
      </c>
      <c r="C1112" s="352">
        <v>34.4</v>
      </c>
      <c r="D1112" s="353"/>
      <c r="E1112" s="353"/>
      <c r="F1112" s="353"/>
      <c r="G1112" s="353"/>
      <c r="H1112" s="353"/>
      <c r="I1112" s="354"/>
      <c r="J1112" s="353"/>
    </row>
    <row r="1113" spans="1:10" s="406" customFormat="1">
      <c r="A1113" s="350" t="s">
        <v>337</v>
      </c>
      <c r="B1113" s="355">
        <v>40</v>
      </c>
      <c r="C1113" s="353">
        <v>22.8</v>
      </c>
      <c r="D1113" s="381"/>
      <c r="E1113" s="381"/>
      <c r="F1113" s="353"/>
      <c r="G1113" s="353"/>
      <c r="H1113" s="353"/>
      <c r="I1113" s="405"/>
      <c r="J1113" s="381"/>
    </row>
    <row r="1114" spans="1:10" s="406" customFormat="1">
      <c r="A1114" s="350" t="s">
        <v>385</v>
      </c>
      <c r="B1114" s="351">
        <v>10</v>
      </c>
      <c r="C1114" s="352">
        <v>5.4</v>
      </c>
      <c r="D1114" s="353">
        <f>C1114*0.22</f>
        <v>1.1880000000000002</v>
      </c>
      <c r="E1114" s="353"/>
      <c r="F1114" s="353">
        <f>C1114*0.9</f>
        <v>4.8600000000000003</v>
      </c>
      <c r="G1114" s="353">
        <f>C1114+D1114+E1114+F1114</f>
        <v>11.448</v>
      </c>
      <c r="H1114" s="353">
        <f>G1114*0.35</f>
        <v>4.0068000000000001</v>
      </c>
      <c r="I1114" s="354">
        <f>G1114+H1114</f>
        <v>15.454800000000001</v>
      </c>
      <c r="J1114" s="381"/>
    </row>
    <row r="1115" spans="1:10" s="406" customFormat="1">
      <c r="A1115" s="350"/>
      <c r="B1115" s="351"/>
      <c r="C1115" s="352"/>
      <c r="D1115" s="353"/>
      <c r="E1115" s="353"/>
      <c r="F1115" s="353"/>
      <c r="G1115" s="353"/>
      <c r="H1115" s="353"/>
      <c r="I1115" s="354"/>
      <c r="J1115" s="381"/>
    </row>
    <row r="1116" spans="1:10" s="406" customFormat="1">
      <c r="A1116" s="345" t="s">
        <v>1340</v>
      </c>
      <c r="B1116" s="346"/>
      <c r="C1116" s="347">
        <f>C1117+C1118</f>
        <v>42.900000000000006</v>
      </c>
      <c r="D1116" s="347">
        <f>C1116*0.22</f>
        <v>9.4380000000000006</v>
      </c>
      <c r="E1116" s="347">
        <v>108.02</v>
      </c>
      <c r="F1116" s="347">
        <f>C1116*0.9</f>
        <v>38.610000000000007</v>
      </c>
      <c r="G1116" s="347">
        <f>C1116+D1116+E1116+F1116</f>
        <v>198.96800000000002</v>
      </c>
      <c r="H1116" s="347">
        <f>G1116*0.35</f>
        <v>69.638800000000003</v>
      </c>
      <c r="I1116" s="348">
        <f>G1116+H1116</f>
        <v>268.60680000000002</v>
      </c>
      <c r="J1116" s="349">
        <f>I1116+I1120+I1119</f>
        <v>291.78900000000004</v>
      </c>
    </row>
    <row r="1117" spans="1:10" s="406" customFormat="1">
      <c r="A1117" s="350" t="s">
        <v>258</v>
      </c>
      <c r="B1117" s="350">
        <v>30</v>
      </c>
      <c r="C1117" s="352">
        <v>25.8</v>
      </c>
      <c r="D1117" s="353"/>
      <c r="E1117" s="353"/>
      <c r="F1117" s="353"/>
      <c r="G1117" s="353"/>
      <c r="H1117" s="353"/>
      <c r="I1117" s="354"/>
      <c r="J1117" s="353"/>
    </row>
    <row r="1118" spans="1:10" s="406" customFormat="1">
      <c r="A1118" s="350" t="s">
        <v>337</v>
      </c>
      <c r="B1118" s="355">
        <v>30</v>
      </c>
      <c r="C1118" s="353">
        <v>17.100000000000001</v>
      </c>
      <c r="D1118" s="381"/>
      <c r="E1118" s="381"/>
      <c r="F1118" s="353"/>
      <c r="G1118" s="353"/>
      <c r="H1118" s="353"/>
      <c r="I1118" s="405"/>
      <c r="J1118" s="381"/>
    </row>
    <row r="1119" spans="1:10" s="406" customFormat="1">
      <c r="A1119" s="350" t="s">
        <v>385</v>
      </c>
      <c r="B1119" s="351">
        <v>15</v>
      </c>
      <c r="C1119" s="352">
        <v>8.1</v>
      </c>
      <c r="D1119" s="353">
        <f>C1119*0.22</f>
        <v>1.782</v>
      </c>
      <c r="E1119" s="353"/>
      <c r="F1119" s="353">
        <f>C1119*0.9</f>
        <v>7.29</v>
      </c>
      <c r="G1119" s="353">
        <f>C1119+D1119+E1119+F1119</f>
        <v>17.172000000000001</v>
      </c>
      <c r="H1119" s="353">
        <f>G1119*0.35</f>
        <v>6.0102000000000002</v>
      </c>
      <c r="I1119" s="354">
        <f>G1119+H1119</f>
        <v>23.182200000000002</v>
      </c>
      <c r="J1119" s="381"/>
    </row>
    <row r="1120" spans="1:10" s="406" customFormat="1">
      <c r="A1120" s="350"/>
      <c r="B1120" s="351"/>
      <c r="C1120" s="352"/>
      <c r="D1120" s="353"/>
      <c r="E1120" s="353"/>
      <c r="F1120" s="353"/>
      <c r="G1120" s="353"/>
      <c r="H1120" s="353"/>
      <c r="I1120" s="354"/>
      <c r="J1120" s="381"/>
    </row>
    <row r="1121" spans="1:10" s="406" customFormat="1">
      <c r="A1121" s="345" t="s">
        <v>1341</v>
      </c>
      <c r="B1121" s="346"/>
      <c r="C1121" s="347">
        <f>C1122+C1123</f>
        <v>21.450000000000003</v>
      </c>
      <c r="D1121" s="347">
        <f>C1121*0.22</f>
        <v>4.7190000000000003</v>
      </c>
      <c r="E1121" s="347">
        <v>4.97</v>
      </c>
      <c r="F1121" s="347">
        <f>C1121*0.9</f>
        <v>19.305000000000003</v>
      </c>
      <c r="G1121" s="347">
        <f>C1121+D1121+E1121+F1121</f>
        <v>50.444000000000003</v>
      </c>
      <c r="H1121" s="347">
        <f>G1121*0.35</f>
        <v>17.6554</v>
      </c>
      <c r="I1121" s="348">
        <f>G1121+H1121</f>
        <v>68.099400000000003</v>
      </c>
      <c r="J1121" s="349">
        <f>I1121+I1125+I1124</f>
        <v>79.6905</v>
      </c>
    </row>
    <row r="1122" spans="1:10" s="406" customFormat="1">
      <c r="A1122" s="350" t="s">
        <v>258</v>
      </c>
      <c r="B1122" s="350">
        <v>15</v>
      </c>
      <c r="C1122" s="352">
        <v>12.9</v>
      </c>
      <c r="D1122" s="353"/>
      <c r="E1122" s="353"/>
      <c r="F1122" s="353"/>
      <c r="G1122" s="353"/>
      <c r="H1122" s="353"/>
      <c r="I1122" s="354"/>
      <c r="J1122" s="355"/>
    </row>
    <row r="1123" spans="1:10" s="406" customFormat="1">
      <c r="A1123" s="350" t="s">
        <v>337</v>
      </c>
      <c r="B1123" s="355">
        <v>15</v>
      </c>
      <c r="C1123" s="353">
        <v>8.5500000000000007</v>
      </c>
      <c r="D1123" s="381"/>
      <c r="E1123" s="381"/>
      <c r="F1123" s="353"/>
      <c r="G1123" s="353"/>
      <c r="H1123" s="353"/>
      <c r="I1123" s="405"/>
      <c r="J1123" s="408"/>
    </row>
    <row r="1124" spans="1:10" s="406" customFormat="1">
      <c r="A1124" s="350" t="s">
        <v>385</v>
      </c>
      <c r="B1124" s="351">
        <v>7.5</v>
      </c>
      <c r="C1124" s="352">
        <v>4.05</v>
      </c>
      <c r="D1124" s="353">
        <f>C1124*0.22</f>
        <v>0.89100000000000001</v>
      </c>
      <c r="E1124" s="353"/>
      <c r="F1124" s="353">
        <f>C1124*0.9</f>
        <v>3.645</v>
      </c>
      <c r="G1124" s="353">
        <f>C1124+D1124+E1124+F1124</f>
        <v>8.5860000000000003</v>
      </c>
      <c r="H1124" s="353">
        <f>G1124*0.35</f>
        <v>3.0051000000000001</v>
      </c>
      <c r="I1124" s="354">
        <f>G1124+H1124</f>
        <v>11.591100000000001</v>
      </c>
      <c r="J1124" s="408"/>
    </row>
    <row r="1125" spans="1:10" s="406" customFormat="1">
      <c r="A1125" s="350"/>
      <c r="B1125" s="351"/>
      <c r="C1125" s="352"/>
      <c r="D1125" s="353"/>
      <c r="E1125" s="353"/>
      <c r="F1125" s="353"/>
      <c r="G1125" s="353"/>
      <c r="H1125" s="353"/>
      <c r="I1125" s="354"/>
      <c r="J1125" s="408"/>
    </row>
    <row r="1126" spans="1:10" s="406" customFormat="1">
      <c r="A1126" s="345" t="s">
        <v>1342</v>
      </c>
      <c r="B1126" s="346"/>
      <c r="C1126" s="347">
        <f>C1127+C1128</f>
        <v>28.6</v>
      </c>
      <c r="D1126" s="347">
        <f>C1126*0.22</f>
        <v>6.2920000000000007</v>
      </c>
      <c r="E1126" s="347">
        <v>258.62</v>
      </c>
      <c r="F1126" s="347">
        <f>C1126*0.9</f>
        <v>25.740000000000002</v>
      </c>
      <c r="G1126" s="347">
        <f>C1126+D1126+E1126+F1126</f>
        <v>319.25200000000001</v>
      </c>
      <c r="H1126" s="347">
        <f>G1126*0.35</f>
        <v>111.73819999999999</v>
      </c>
      <c r="I1126" s="348">
        <f>G1126+H1126</f>
        <v>430.99020000000002</v>
      </c>
      <c r="J1126" s="349">
        <f>I1126+I1130+I1129</f>
        <v>446.44499999999999</v>
      </c>
    </row>
    <row r="1127" spans="1:10" s="406" customFormat="1">
      <c r="A1127" s="350" t="s">
        <v>258</v>
      </c>
      <c r="B1127" s="350">
        <v>20</v>
      </c>
      <c r="C1127" s="352">
        <v>17.2</v>
      </c>
      <c r="D1127" s="353"/>
      <c r="E1127" s="353"/>
      <c r="F1127" s="353"/>
      <c r="G1127" s="353"/>
      <c r="H1127" s="353"/>
      <c r="I1127" s="354"/>
      <c r="J1127" s="353"/>
    </row>
    <row r="1128" spans="1:10" s="406" customFormat="1">
      <c r="A1128" s="350" t="s">
        <v>337</v>
      </c>
      <c r="B1128" s="355">
        <v>20</v>
      </c>
      <c r="C1128" s="353">
        <v>11.4</v>
      </c>
      <c r="D1128" s="381"/>
      <c r="E1128" s="381"/>
      <c r="F1128" s="353"/>
      <c r="G1128" s="353"/>
      <c r="H1128" s="353"/>
      <c r="I1128" s="405"/>
      <c r="J1128" s="381"/>
    </row>
    <row r="1129" spans="1:10" s="406" customFormat="1">
      <c r="A1129" s="350" t="s">
        <v>385</v>
      </c>
      <c r="B1129" s="351">
        <v>10</v>
      </c>
      <c r="C1129" s="352">
        <v>5.4</v>
      </c>
      <c r="D1129" s="353">
        <f>C1129*0.22</f>
        <v>1.1880000000000002</v>
      </c>
      <c r="E1129" s="353"/>
      <c r="F1129" s="353">
        <f>C1129*0.9</f>
        <v>4.8600000000000003</v>
      </c>
      <c r="G1129" s="353">
        <f>C1129+D1129+E1129+F1129</f>
        <v>11.448</v>
      </c>
      <c r="H1129" s="353">
        <f>G1129*0.35</f>
        <v>4.0068000000000001</v>
      </c>
      <c r="I1129" s="354">
        <f>G1129+H1129</f>
        <v>15.454800000000001</v>
      </c>
      <c r="J1129" s="381"/>
    </row>
    <row r="1130" spans="1:10" s="406" customFormat="1">
      <c r="A1130" s="350"/>
      <c r="B1130" s="351"/>
      <c r="C1130" s="352"/>
      <c r="D1130" s="353"/>
      <c r="E1130" s="353"/>
      <c r="F1130" s="353"/>
      <c r="G1130" s="353"/>
      <c r="H1130" s="353"/>
      <c r="I1130" s="354"/>
      <c r="J1130" s="381"/>
    </row>
    <row r="1131" spans="1:10" s="406" customFormat="1" ht="21">
      <c r="A1131" s="345" t="s">
        <v>1343</v>
      </c>
      <c r="B1131" s="346"/>
      <c r="C1131" s="347">
        <f>C1132+C1133</f>
        <v>21.450000000000003</v>
      </c>
      <c r="D1131" s="347">
        <f>C1131*0.22</f>
        <v>4.7190000000000003</v>
      </c>
      <c r="E1131" s="347">
        <v>40.96</v>
      </c>
      <c r="F1131" s="347">
        <f>C1131*0.9</f>
        <v>19.305000000000003</v>
      </c>
      <c r="G1131" s="347">
        <f>C1131+D1131+E1131+F1131</f>
        <v>86.434000000000012</v>
      </c>
      <c r="H1131" s="347">
        <f>G1131*0.35</f>
        <v>30.251900000000003</v>
      </c>
      <c r="I1131" s="348">
        <f>G1131+H1131</f>
        <v>116.68590000000002</v>
      </c>
      <c r="J1131" s="349">
        <f>I1131+I1135+I1134</f>
        <v>128.27700000000002</v>
      </c>
    </row>
    <row r="1132" spans="1:10" s="406" customFormat="1">
      <c r="A1132" s="350" t="s">
        <v>258</v>
      </c>
      <c r="B1132" s="350">
        <v>15</v>
      </c>
      <c r="C1132" s="352">
        <v>12.9</v>
      </c>
      <c r="D1132" s="353"/>
      <c r="E1132" s="353"/>
      <c r="F1132" s="353"/>
      <c r="G1132" s="353"/>
      <c r="H1132" s="353"/>
      <c r="I1132" s="354"/>
      <c r="J1132" s="355"/>
    </row>
    <row r="1133" spans="1:10" s="406" customFormat="1">
      <c r="A1133" s="350" t="s">
        <v>337</v>
      </c>
      <c r="B1133" s="355">
        <v>15</v>
      </c>
      <c r="C1133" s="353">
        <v>8.5500000000000007</v>
      </c>
      <c r="D1133" s="381"/>
      <c r="E1133" s="381"/>
      <c r="F1133" s="353"/>
      <c r="G1133" s="353"/>
      <c r="H1133" s="353"/>
      <c r="I1133" s="405"/>
      <c r="J1133" s="408"/>
    </row>
    <row r="1134" spans="1:10" s="406" customFormat="1">
      <c r="A1134" s="350" t="s">
        <v>385</v>
      </c>
      <c r="B1134" s="351">
        <v>7.5</v>
      </c>
      <c r="C1134" s="352">
        <v>4.05</v>
      </c>
      <c r="D1134" s="353">
        <f>C1134*0.22</f>
        <v>0.89100000000000001</v>
      </c>
      <c r="E1134" s="353"/>
      <c r="F1134" s="353">
        <f>C1134*0.9</f>
        <v>3.645</v>
      </c>
      <c r="G1134" s="353">
        <f>C1134+D1134+E1134+F1134</f>
        <v>8.5860000000000003</v>
      </c>
      <c r="H1134" s="353">
        <f>G1134*0.35</f>
        <v>3.0051000000000001</v>
      </c>
      <c r="I1134" s="354">
        <f>G1134+H1134</f>
        <v>11.591100000000001</v>
      </c>
      <c r="J1134" s="408"/>
    </row>
    <row r="1135" spans="1:10" s="406" customFormat="1">
      <c r="A1135" s="350"/>
      <c r="B1135" s="351"/>
      <c r="C1135" s="352"/>
      <c r="D1135" s="353"/>
      <c r="E1135" s="353"/>
      <c r="F1135" s="353"/>
      <c r="G1135" s="353"/>
      <c r="H1135" s="353"/>
      <c r="I1135" s="354"/>
      <c r="J1135" s="408"/>
    </row>
    <row r="1136" spans="1:10" s="406" customFormat="1" ht="12.75">
      <c r="A1136" s="409" t="s">
        <v>1344</v>
      </c>
      <c r="B1136" s="410"/>
      <c r="C1136" s="410"/>
      <c r="D1136" s="410"/>
      <c r="E1136" s="410"/>
      <c r="F1136" s="410"/>
      <c r="G1136" s="410"/>
      <c r="H1136" s="410"/>
      <c r="I1136" s="410"/>
      <c r="J1136" s="411"/>
    </row>
    <row r="1137" spans="1:10" s="406" customFormat="1">
      <c r="A1137" s="345" t="s">
        <v>1304</v>
      </c>
      <c r="B1137" s="346"/>
      <c r="C1137" s="412">
        <f>C1138+C1139</f>
        <v>10.01</v>
      </c>
      <c r="D1137" s="412">
        <f t="shared" ref="D1137:D1165" si="120">C1137*0.22</f>
        <v>2.2021999999999999</v>
      </c>
      <c r="E1137" s="412">
        <v>4.59</v>
      </c>
      <c r="F1137" s="412">
        <f t="shared" ref="F1137:F1165" si="121">C1137*0.9</f>
        <v>9.0090000000000003</v>
      </c>
      <c r="G1137" s="412">
        <f>C1137+D1137+E1137+F1137</f>
        <v>25.811199999999999</v>
      </c>
      <c r="H1137" s="412">
        <f>G1137*0.35</f>
        <v>9.0339199999999984</v>
      </c>
      <c r="I1137" s="413">
        <f>G1137+H1137</f>
        <v>34.845119999999994</v>
      </c>
      <c r="J1137" s="349">
        <f>I1137+I1141+I1140</f>
        <v>39.481559999999995</v>
      </c>
    </row>
    <row r="1138" spans="1:10" s="406" customFormat="1">
      <c r="A1138" s="350" t="s">
        <v>258</v>
      </c>
      <c r="B1138" s="350">
        <v>7</v>
      </c>
      <c r="C1138" s="391">
        <v>6.02</v>
      </c>
      <c r="D1138" s="392"/>
      <c r="E1138" s="392"/>
      <c r="F1138" s="392"/>
      <c r="G1138" s="392"/>
      <c r="H1138" s="392"/>
      <c r="I1138" s="393"/>
      <c r="J1138" s="353"/>
    </row>
    <row r="1139" spans="1:10" s="406" customFormat="1">
      <c r="A1139" s="350" t="s">
        <v>337</v>
      </c>
      <c r="B1139" s="350">
        <v>7</v>
      </c>
      <c r="C1139" s="391">
        <v>3.99</v>
      </c>
      <c r="D1139" s="392"/>
      <c r="E1139" s="392"/>
      <c r="F1139" s="392"/>
      <c r="G1139" s="392"/>
      <c r="H1139" s="392"/>
      <c r="I1139" s="393"/>
      <c r="J1139" s="353"/>
    </row>
    <row r="1140" spans="1:10" s="406" customFormat="1">
      <c r="A1140" s="350" t="s">
        <v>385</v>
      </c>
      <c r="B1140" s="351">
        <v>3</v>
      </c>
      <c r="C1140" s="391">
        <v>1.62</v>
      </c>
      <c r="D1140" s="392">
        <f t="shared" si="120"/>
        <v>0.35640000000000005</v>
      </c>
      <c r="E1140" s="355"/>
      <c r="F1140" s="392">
        <f t="shared" si="121"/>
        <v>1.4580000000000002</v>
      </c>
      <c r="G1140" s="392">
        <f>C1140+D1140+E1140+F1140</f>
        <v>3.4344000000000001</v>
      </c>
      <c r="H1140" s="392">
        <f>G1140*0.35</f>
        <v>1.20204</v>
      </c>
      <c r="I1140" s="393">
        <f>G1140+H1140</f>
        <v>4.6364400000000003</v>
      </c>
      <c r="J1140" s="353"/>
    </row>
    <row r="1141" spans="1:10" s="406" customFormat="1">
      <c r="A1141" s="350"/>
      <c r="B1141" s="351"/>
      <c r="C1141" s="391"/>
      <c r="D1141" s="392"/>
      <c r="E1141" s="355"/>
      <c r="F1141" s="392"/>
      <c r="G1141" s="392"/>
      <c r="H1141" s="392"/>
      <c r="I1141" s="393"/>
      <c r="J1141" s="353"/>
    </row>
    <row r="1142" spans="1:10" s="406" customFormat="1" ht="21">
      <c r="A1142" s="345" t="s">
        <v>1345</v>
      </c>
      <c r="B1142" s="346"/>
      <c r="C1142" s="412">
        <f>C1143+C1144</f>
        <v>10.01</v>
      </c>
      <c r="D1142" s="412">
        <f t="shared" si="120"/>
        <v>2.2021999999999999</v>
      </c>
      <c r="E1142" s="412">
        <v>3.09</v>
      </c>
      <c r="F1142" s="412">
        <f t="shared" si="121"/>
        <v>9.0090000000000003</v>
      </c>
      <c r="G1142" s="412">
        <f>C1142+D1142+E1142+F1142</f>
        <v>24.311199999999999</v>
      </c>
      <c r="H1142" s="412">
        <f>G1142*0.35</f>
        <v>8.5089199999999998</v>
      </c>
      <c r="I1142" s="413">
        <f>G1142+H1142</f>
        <v>32.820120000000003</v>
      </c>
      <c r="J1142" s="349">
        <f>I1142+I1146+I1145</f>
        <v>37.456560000000003</v>
      </c>
    </row>
    <row r="1143" spans="1:10" s="406" customFormat="1">
      <c r="A1143" s="350" t="s">
        <v>258</v>
      </c>
      <c r="B1143" s="350">
        <v>7</v>
      </c>
      <c r="C1143" s="391">
        <v>6.02</v>
      </c>
      <c r="D1143" s="392"/>
      <c r="E1143" s="392"/>
      <c r="F1143" s="392"/>
      <c r="G1143" s="392"/>
      <c r="H1143" s="392"/>
      <c r="I1143" s="393"/>
      <c r="J1143" s="353"/>
    </row>
    <row r="1144" spans="1:10" s="406" customFormat="1">
      <c r="A1144" s="350" t="s">
        <v>337</v>
      </c>
      <c r="B1144" s="350">
        <v>7</v>
      </c>
      <c r="C1144" s="391">
        <v>3.99</v>
      </c>
      <c r="D1144" s="392"/>
      <c r="E1144" s="392"/>
      <c r="F1144" s="392"/>
      <c r="G1144" s="392"/>
      <c r="H1144" s="392"/>
      <c r="I1144" s="393"/>
      <c r="J1144" s="353"/>
    </row>
    <row r="1145" spans="1:10" s="406" customFormat="1">
      <c r="A1145" s="350" t="s">
        <v>385</v>
      </c>
      <c r="B1145" s="351">
        <v>3</v>
      </c>
      <c r="C1145" s="391">
        <v>1.62</v>
      </c>
      <c r="D1145" s="392">
        <f t="shared" si="120"/>
        <v>0.35640000000000005</v>
      </c>
      <c r="E1145" s="355"/>
      <c r="F1145" s="392">
        <f t="shared" si="121"/>
        <v>1.4580000000000002</v>
      </c>
      <c r="G1145" s="392">
        <f>C1145+D1145+E1145+F1145</f>
        <v>3.4344000000000001</v>
      </c>
      <c r="H1145" s="392">
        <f>G1145*0.35</f>
        <v>1.20204</v>
      </c>
      <c r="I1145" s="393">
        <f>G1145+H1145</f>
        <v>4.6364400000000003</v>
      </c>
      <c r="J1145" s="353"/>
    </row>
    <row r="1146" spans="1:10" s="406" customFormat="1">
      <c r="A1146" s="350"/>
      <c r="B1146" s="351"/>
      <c r="C1146" s="391"/>
      <c r="D1146" s="392"/>
      <c r="E1146" s="355"/>
      <c r="F1146" s="392"/>
      <c r="G1146" s="392"/>
      <c r="H1146" s="392"/>
      <c r="I1146" s="393"/>
      <c r="J1146" s="353"/>
    </row>
    <row r="1147" spans="1:10" s="406" customFormat="1" ht="21">
      <c r="A1147" s="345" t="s">
        <v>1346</v>
      </c>
      <c r="B1147" s="346"/>
      <c r="C1147" s="412">
        <f>C1148+C1149</f>
        <v>17.16</v>
      </c>
      <c r="D1147" s="412">
        <f t="shared" si="120"/>
        <v>3.7751999999999999</v>
      </c>
      <c r="E1147" s="412">
        <v>33.090000000000003</v>
      </c>
      <c r="F1147" s="412">
        <f t="shared" si="121"/>
        <v>15.444000000000001</v>
      </c>
      <c r="G1147" s="412">
        <f>C1147+D1147+E1147+F1147</f>
        <v>69.469200000000001</v>
      </c>
      <c r="H1147" s="412">
        <f>G1147*0.35</f>
        <v>24.314219999999999</v>
      </c>
      <c r="I1147" s="413">
        <f>G1147+H1147</f>
        <v>93.783420000000007</v>
      </c>
      <c r="J1147" s="349">
        <f>I1147+I1151+I1150</f>
        <v>103.05630000000001</v>
      </c>
    </row>
    <row r="1148" spans="1:10" s="406" customFormat="1">
      <c r="A1148" s="350" t="s">
        <v>258</v>
      </c>
      <c r="B1148" s="350">
        <v>12</v>
      </c>
      <c r="C1148" s="391">
        <v>10.32</v>
      </c>
      <c r="D1148" s="392"/>
      <c r="E1148" s="392"/>
      <c r="F1148" s="392"/>
      <c r="G1148" s="392"/>
      <c r="H1148" s="392"/>
      <c r="I1148" s="393"/>
      <c r="J1148" s="353"/>
    </row>
    <row r="1149" spans="1:10" s="406" customFormat="1">
      <c r="A1149" s="350" t="s">
        <v>337</v>
      </c>
      <c r="B1149" s="350">
        <v>12</v>
      </c>
      <c r="C1149" s="391">
        <v>6.84</v>
      </c>
      <c r="D1149" s="392"/>
      <c r="E1149" s="392"/>
      <c r="F1149" s="392"/>
      <c r="G1149" s="392"/>
      <c r="H1149" s="392"/>
      <c r="I1149" s="393"/>
      <c r="J1149" s="353"/>
    </row>
    <row r="1150" spans="1:10" s="406" customFormat="1">
      <c r="A1150" s="350" t="s">
        <v>385</v>
      </c>
      <c r="B1150" s="351">
        <v>6</v>
      </c>
      <c r="C1150" s="391">
        <v>3.24</v>
      </c>
      <c r="D1150" s="392">
        <f t="shared" si="120"/>
        <v>0.7128000000000001</v>
      </c>
      <c r="E1150" s="355"/>
      <c r="F1150" s="392">
        <f t="shared" si="121"/>
        <v>2.9160000000000004</v>
      </c>
      <c r="G1150" s="392">
        <f>C1150+D1150+E1150+F1150</f>
        <v>6.8688000000000002</v>
      </c>
      <c r="H1150" s="392">
        <f>G1150*0.35</f>
        <v>2.40408</v>
      </c>
      <c r="I1150" s="393">
        <f>G1150+H1150</f>
        <v>9.2728800000000007</v>
      </c>
      <c r="J1150" s="353"/>
    </row>
    <row r="1151" spans="1:10" s="406" customFormat="1">
      <c r="A1151" s="350"/>
      <c r="B1151" s="351"/>
      <c r="C1151" s="391"/>
      <c r="D1151" s="392"/>
      <c r="E1151" s="355"/>
      <c r="F1151" s="392"/>
      <c r="G1151" s="392"/>
      <c r="H1151" s="392"/>
      <c r="I1151" s="393"/>
      <c r="J1151" s="353"/>
    </row>
    <row r="1152" spans="1:10" s="406" customFormat="1">
      <c r="A1152" s="345" t="s">
        <v>1347</v>
      </c>
      <c r="B1152" s="346"/>
      <c r="C1152" s="412">
        <f>C1153+C1154</f>
        <v>10.01</v>
      </c>
      <c r="D1152" s="412">
        <f t="shared" si="120"/>
        <v>2.2021999999999999</v>
      </c>
      <c r="E1152" s="412">
        <v>12.09</v>
      </c>
      <c r="F1152" s="412">
        <f t="shared" si="121"/>
        <v>9.0090000000000003</v>
      </c>
      <c r="G1152" s="412">
        <f>C1152+D1152+E1152+F1152</f>
        <v>33.311199999999999</v>
      </c>
      <c r="H1152" s="412">
        <f>G1152*0.35</f>
        <v>11.658919999999998</v>
      </c>
      <c r="I1152" s="413">
        <f>G1152+H1152</f>
        <v>44.970119999999994</v>
      </c>
      <c r="J1152" s="349">
        <f>I1152+I1156+I1155</f>
        <v>49.606559999999995</v>
      </c>
    </row>
    <row r="1153" spans="1:10" s="406" customFormat="1">
      <c r="A1153" s="350" t="s">
        <v>258</v>
      </c>
      <c r="B1153" s="350">
        <v>7</v>
      </c>
      <c r="C1153" s="391">
        <v>6.02</v>
      </c>
      <c r="D1153" s="392"/>
      <c r="E1153" s="392"/>
      <c r="F1153" s="392"/>
      <c r="G1153" s="392"/>
      <c r="H1153" s="392"/>
      <c r="I1153" s="393"/>
      <c r="J1153" s="353"/>
    </row>
    <row r="1154" spans="1:10" s="406" customFormat="1">
      <c r="A1154" s="350" t="s">
        <v>337</v>
      </c>
      <c r="B1154" s="350">
        <v>7</v>
      </c>
      <c r="C1154" s="391">
        <v>3.99</v>
      </c>
      <c r="D1154" s="392"/>
      <c r="E1154" s="392"/>
      <c r="F1154" s="392"/>
      <c r="G1154" s="392"/>
      <c r="H1154" s="392"/>
      <c r="I1154" s="393"/>
      <c r="J1154" s="353"/>
    </row>
    <row r="1155" spans="1:10" s="406" customFormat="1">
      <c r="A1155" s="350" t="s">
        <v>385</v>
      </c>
      <c r="B1155" s="351">
        <v>3</v>
      </c>
      <c r="C1155" s="391">
        <v>1.62</v>
      </c>
      <c r="D1155" s="392">
        <f t="shared" si="120"/>
        <v>0.35640000000000005</v>
      </c>
      <c r="E1155" s="355"/>
      <c r="F1155" s="392">
        <f t="shared" si="121"/>
        <v>1.4580000000000002</v>
      </c>
      <c r="G1155" s="392">
        <f>C1155+D1155+E1155+F1155</f>
        <v>3.4344000000000001</v>
      </c>
      <c r="H1155" s="392">
        <f>G1155*0.35</f>
        <v>1.20204</v>
      </c>
      <c r="I1155" s="393">
        <f>G1155+H1155</f>
        <v>4.6364400000000003</v>
      </c>
      <c r="J1155" s="353"/>
    </row>
    <row r="1156" spans="1:10" s="406" customFormat="1">
      <c r="A1156" s="350"/>
      <c r="B1156" s="351"/>
      <c r="C1156" s="391"/>
      <c r="D1156" s="392"/>
      <c r="E1156" s="355"/>
      <c r="F1156" s="392"/>
      <c r="G1156" s="392"/>
      <c r="H1156" s="392"/>
      <c r="I1156" s="393"/>
      <c r="J1156" s="353"/>
    </row>
    <row r="1157" spans="1:10" s="406" customFormat="1">
      <c r="A1157" s="345" t="s">
        <v>1348</v>
      </c>
      <c r="B1157" s="346"/>
      <c r="C1157" s="412">
        <f>C1158+C1159</f>
        <v>10.01</v>
      </c>
      <c r="D1157" s="412">
        <f t="shared" si="120"/>
        <v>2.2021999999999999</v>
      </c>
      <c r="E1157" s="412">
        <v>8</v>
      </c>
      <c r="F1157" s="412">
        <f t="shared" si="121"/>
        <v>9.0090000000000003</v>
      </c>
      <c r="G1157" s="412">
        <f>C1157+D1157+E1157+F1157</f>
        <v>29.2212</v>
      </c>
      <c r="H1157" s="412">
        <f>G1157*0.35</f>
        <v>10.227419999999999</v>
      </c>
      <c r="I1157" s="413">
        <f>G1157+H1157</f>
        <v>39.448619999999998</v>
      </c>
      <c r="J1157" s="349">
        <f>(I1157+I1161+I1160)*7</f>
        <v>308.59541999999999</v>
      </c>
    </row>
    <row r="1158" spans="1:10" s="406" customFormat="1">
      <c r="A1158" s="350" t="s">
        <v>258</v>
      </c>
      <c r="B1158" s="350">
        <v>7</v>
      </c>
      <c r="C1158" s="391">
        <v>6.02</v>
      </c>
      <c r="D1158" s="392"/>
      <c r="E1158" s="392"/>
      <c r="F1158" s="392"/>
      <c r="G1158" s="392"/>
      <c r="H1158" s="392"/>
      <c r="I1158" s="393"/>
      <c r="J1158" s="353"/>
    </row>
    <row r="1159" spans="1:10" s="406" customFormat="1">
      <c r="A1159" s="350" t="s">
        <v>337</v>
      </c>
      <c r="B1159" s="350">
        <v>7</v>
      </c>
      <c r="C1159" s="391">
        <v>3.99</v>
      </c>
      <c r="D1159" s="392"/>
      <c r="E1159" s="392"/>
      <c r="F1159" s="392"/>
      <c r="G1159" s="392"/>
      <c r="H1159" s="392"/>
      <c r="I1159" s="393"/>
      <c r="J1159" s="353"/>
    </row>
    <row r="1160" spans="1:10">
      <c r="A1160" s="350" t="s">
        <v>385</v>
      </c>
      <c r="B1160" s="351">
        <v>3</v>
      </c>
      <c r="C1160" s="391">
        <v>1.62</v>
      </c>
      <c r="D1160" s="392">
        <f t="shared" si="120"/>
        <v>0.35640000000000005</v>
      </c>
      <c r="E1160" s="355"/>
      <c r="F1160" s="392">
        <f t="shared" si="121"/>
        <v>1.4580000000000002</v>
      </c>
      <c r="G1160" s="392">
        <f>C1160+D1160+E1160+F1160</f>
        <v>3.4344000000000001</v>
      </c>
      <c r="H1160" s="392">
        <f>G1160*0.35</f>
        <v>1.20204</v>
      </c>
      <c r="I1160" s="393">
        <f>G1160+H1160</f>
        <v>4.6364400000000003</v>
      </c>
      <c r="J1160" s="353"/>
    </row>
    <row r="1161" spans="1:10">
      <c r="A1161" s="350"/>
      <c r="B1161" s="351"/>
      <c r="C1161" s="391"/>
      <c r="D1161" s="392"/>
      <c r="E1161" s="355"/>
      <c r="F1161" s="392"/>
      <c r="G1161" s="392"/>
      <c r="H1161" s="392"/>
      <c r="I1161" s="393"/>
      <c r="J1161" s="353"/>
    </row>
    <row r="1162" spans="1:10" ht="31.5">
      <c r="A1162" s="345" t="s">
        <v>1349</v>
      </c>
      <c r="B1162" s="346"/>
      <c r="C1162" s="412">
        <f>C1163+C1164</f>
        <v>14.3</v>
      </c>
      <c r="D1162" s="412">
        <f t="shared" si="120"/>
        <v>3.1460000000000004</v>
      </c>
      <c r="E1162" s="412">
        <v>31.59</v>
      </c>
      <c r="F1162" s="412">
        <f t="shared" si="121"/>
        <v>12.870000000000001</v>
      </c>
      <c r="G1162" s="412">
        <f>C1162+D1162+E1162+F1162</f>
        <v>61.906000000000006</v>
      </c>
      <c r="H1162" s="412">
        <f>G1162*0.35</f>
        <v>21.667100000000001</v>
      </c>
      <c r="I1162" s="413">
        <f>G1162+H1162</f>
        <v>83.573100000000011</v>
      </c>
      <c r="J1162" s="349">
        <f>I1162+I1165</f>
        <v>91.300500000000014</v>
      </c>
    </row>
    <row r="1163" spans="1:10">
      <c r="A1163" s="350" t="s">
        <v>258</v>
      </c>
      <c r="B1163" s="350">
        <v>10</v>
      </c>
      <c r="C1163" s="391">
        <v>8.6</v>
      </c>
      <c r="D1163" s="392"/>
      <c r="E1163" s="392"/>
      <c r="F1163" s="392"/>
      <c r="G1163" s="392"/>
      <c r="H1163" s="392"/>
      <c r="I1163" s="393"/>
      <c r="J1163" s="353"/>
    </row>
    <row r="1164" spans="1:10">
      <c r="A1164" s="350" t="s">
        <v>337</v>
      </c>
      <c r="B1164" s="350">
        <v>10</v>
      </c>
      <c r="C1164" s="391">
        <v>5.7</v>
      </c>
      <c r="D1164" s="392"/>
      <c r="E1164" s="392"/>
      <c r="F1164" s="392"/>
      <c r="G1164" s="392"/>
      <c r="H1164" s="392"/>
      <c r="I1164" s="393"/>
      <c r="J1164" s="353"/>
    </row>
    <row r="1165" spans="1:10">
      <c r="A1165" s="350" t="s">
        <v>385</v>
      </c>
      <c r="B1165" s="351">
        <v>5</v>
      </c>
      <c r="C1165" s="391">
        <v>2.7</v>
      </c>
      <c r="D1165" s="392">
        <f t="shared" si="120"/>
        <v>0.59400000000000008</v>
      </c>
      <c r="E1165" s="355"/>
      <c r="F1165" s="392">
        <f t="shared" si="121"/>
        <v>2.4300000000000002</v>
      </c>
      <c r="G1165" s="392">
        <f>C1165+D1165+E1165+F1165</f>
        <v>5.7240000000000002</v>
      </c>
      <c r="H1165" s="392">
        <f>G1165*0.35</f>
        <v>2.0034000000000001</v>
      </c>
      <c r="I1165" s="393">
        <f>G1165+H1165</f>
        <v>7.7274000000000003</v>
      </c>
      <c r="J1165" s="353"/>
    </row>
    <row r="1166" spans="1:10">
      <c r="A1166" s="350"/>
      <c r="B1166" s="351"/>
      <c r="C1166" s="391"/>
      <c r="D1166" s="392"/>
      <c r="E1166" s="355"/>
      <c r="F1166" s="392"/>
      <c r="G1166" s="392"/>
      <c r="H1166" s="392"/>
      <c r="I1166" s="393"/>
      <c r="J1166" s="353"/>
    </row>
    <row r="1167" spans="1:10" ht="31.5">
      <c r="A1167" s="345" t="s">
        <v>1350</v>
      </c>
      <c r="B1167" s="346"/>
      <c r="C1167" s="412">
        <f>C1168+C1169</f>
        <v>14.3</v>
      </c>
      <c r="D1167" s="412">
        <f t="shared" ref="D1167:D1170" si="122">C1167*0.22</f>
        <v>3.1460000000000004</v>
      </c>
      <c r="E1167" s="412">
        <v>17.489999999999998</v>
      </c>
      <c r="F1167" s="412">
        <f t="shared" ref="F1167:F1170" si="123">C1167*0.9</f>
        <v>12.870000000000001</v>
      </c>
      <c r="G1167" s="412">
        <f>C1167+D1167+E1167+F1167</f>
        <v>47.805999999999997</v>
      </c>
      <c r="H1167" s="412">
        <f>G1167*0.35</f>
        <v>16.732099999999999</v>
      </c>
      <c r="I1167" s="413">
        <f>G1167+H1167</f>
        <v>64.5381</v>
      </c>
      <c r="J1167" s="349">
        <f>(I1167+I1207+I1170)*5</f>
        <v>399.96450000000004</v>
      </c>
    </row>
    <row r="1168" spans="1:10">
      <c r="A1168" s="350" t="s">
        <v>258</v>
      </c>
      <c r="B1168" s="350">
        <v>10</v>
      </c>
      <c r="C1168" s="391">
        <v>8.6</v>
      </c>
      <c r="D1168" s="392"/>
      <c r="E1168" s="392"/>
      <c r="F1168" s="392"/>
      <c r="G1168" s="392"/>
      <c r="H1168" s="392"/>
      <c r="I1168" s="393"/>
      <c r="J1168" s="353"/>
    </row>
    <row r="1169" spans="1:10">
      <c r="A1169" s="350" t="s">
        <v>337</v>
      </c>
      <c r="B1169" s="350">
        <v>10</v>
      </c>
      <c r="C1169" s="391">
        <v>5.7</v>
      </c>
      <c r="D1169" s="392"/>
      <c r="E1169" s="392"/>
      <c r="F1169" s="392"/>
      <c r="G1169" s="392"/>
      <c r="H1169" s="392"/>
      <c r="I1169" s="393"/>
      <c r="J1169" s="353"/>
    </row>
    <row r="1170" spans="1:10">
      <c r="A1170" s="350" t="s">
        <v>385</v>
      </c>
      <c r="B1170" s="351">
        <v>5</v>
      </c>
      <c r="C1170" s="391">
        <v>2.7</v>
      </c>
      <c r="D1170" s="392">
        <f t="shared" si="122"/>
        <v>0.59400000000000008</v>
      </c>
      <c r="E1170" s="355"/>
      <c r="F1170" s="392">
        <f t="shared" si="123"/>
        <v>2.4300000000000002</v>
      </c>
      <c r="G1170" s="392">
        <f>C1170+D1170+E1170+F1170</f>
        <v>5.7240000000000002</v>
      </c>
      <c r="H1170" s="392">
        <f>G1170*0.35</f>
        <v>2.0034000000000001</v>
      </c>
      <c r="I1170" s="393">
        <f>G1170+H1170</f>
        <v>7.7274000000000003</v>
      </c>
      <c r="J1170" s="353"/>
    </row>
    <row r="1171" spans="1:10">
      <c r="A1171" s="350"/>
      <c r="B1171" s="351"/>
      <c r="C1171" s="391"/>
      <c r="D1171" s="392"/>
      <c r="E1171" s="355"/>
      <c r="F1171" s="392"/>
      <c r="G1171" s="392"/>
      <c r="H1171" s="392"/>
      <c r="I1171" s="393"/>
      <c r="J1171" s="353"/>
    </row>
    <row r="1172" spans="1:10">
      <c r="A1172" s="345" t="s">
        <v>1351</v>
      </c>
      <c r="B1172" s="346"/>
      <c r="C1172" s="412">
        <f>C1173+C1174</f>
        <v>6.57</v>
      </c>
      <c r="D1172" s="412">
        <f t="shared" ref="D1172:D1175" si="124">C1172*0.22</f>
        <v>1.4454</v>
      </c>
      <c r="E1172" s="412">
        <v>17.489999999999998</v>
      </c>
      <c r="F1172" s="412">
        <f t="shared" ref="F1172:F1175" si="125">C1172*0.9</f>
        <v>5.9130000000000003</v>
      </c>
      <c r="G1172" s="412">
        <f>C1172+D1172+E1172+F1172</f>
        <v>31.418399999999998</v>
      </c>
      <c r="H1172" s="412">
        <f>G1172*0.35</f>
        <v>10.996439999999998</v>
      </c>
      <c r="I1172" s="413">
        <f>G1172+H1172</f>
        <v>42.414839999999998</v>
      </c>
      <c r="J1172" s="349">
        <f>I1172+I1176+I1175</f>
        <v>45.505800000000001</v>
      </c>
    </row>
    <row r="1173" spans="1:10">
      <c r="A1173" s="350" t="s">
        <v>258</v>
      </c>
      <c r="B1173" s="350">
        <v>3</v>
      </c>
      <c r="C1173" s="391">
        <v>2.58</v>
      </c>
      <c r="D1173" s="392"/>
      <c r="E1173" s="392"/>
      <c r="F1173" s="392"/>
      <c r="G1173" s="392"/>
      <c r="H1173" s="392"/>
      <c r="I1173" s="393"/>
      <c r="J1173" s="353"/>
    </row>
    <row r="1174" spans="1:10">
      <c r="A1174" s="350" t="s">
        <v>337</v>
      </c>
      <c r="B1174" s="350">
        <v>3</v>
      </c>
      <c r="C1174" s="391">
        <v>3.99</v>
      </c>
      <c r="D1174" s="392"/>
      <c r="E1174" s="392"/>
      <c r="F1174" s="392"/>
      <c r="G1174" s="392"/>
      <c r="H1174" s="392"/>
      <c r="I1174" s="393"/>
      <c r="J1174" s="353"/>
    </row>
    <row r="1175" spans="1:10">
      <c r="A1175" s="350" t="s">
        <v>385</v>
      </c>
      <c r="B1175" s="351">
        <v>2</v>
      </c>
      <c r="C1175" s="391">
        <v>1.08</v>
      </c>
      <c r="D1175" s="392">
        <f t="shared" si="124"/>
        <v>0.23760000000000001</v>
      </c>
      <c r="E1175" s="355"/>
      <c r="F1175" s="392">
        <f t="shared" si="125"/>
        <v>0.97200000000000009</v>
      </c>
      <c r="G1175" s="392">
        <f>C1175+D1175+E1175+F1175</f>
        <v>2.2896000000000001</v>
      </c>
      <c r="H1175" s="392">
        <f>G1175*0.35</f>
        <v>0.80135999999999996</v>
      </c>
      <c r="I1175" s="393">
        <f>G1175+H1175</f>
        <v>3.0909599999999999</v>
      </c>
      <c r="J1175" s="353"/>
    </row>
    <row r="1176" spans="1:10">
      <c r="A1176" s="350"/>
      <c r="B1176" s="351"/>
      <c r="C1176" s="391"/>
      <c r="D1176" s="392"/>
      <c r="E1176" s="355"/>
      <c r="F1176" s="392"/>
      <c r="G1176" s="392"/>
      <c r="H1176" s="392"/>
      <c r="I1176" s="393"/>
      <c r="J1176" s="353"/>
    </row>
    <row r="1177" spans="1:10" ht="12.75">
      <c r="A1177" s="414" t="s">
        <v>1352</v>
      </c>
      <c r="B1177" s="351"/>
      <c r="C1177" s="391"/>
      <c r="D1177" s="392"/>
      <c r="E1177" s="355"/>
      <c r="F1177" s="392"/>
      <c r="G1177" s="392"/>
      <c r="H1177" s="392"/>
      <c r="I1177" s="393"/>
      <c r="J1177" s="353"/>
    </row>
    <row r="1178" spans="1:10">
      <c r="A1178" s="345" t="s">
        <v>1353</v>
      </c>
      <c r="B1178" s="346"/>
      <c r="C1178" s="412">
        <f>C1179+C1180</f>
        <v>28.6</v>
      </c>
      <c r="D1178" s="412">
        <f t="shared" ref="D1178:D1181" si="126">C1178*0.22</f>
        <v>6.2920000000000007</v>
      </c>
      <c r="E1178" s="412">
        <v>19.59</v>
      </c>
      <c r="F1178" s="412">
        <f t="shared" ref="F1178:F1181" si="127">C1178*0.9</f>
        <v>25.740000000000002</v>
      </c>
      <c r="G1178" s="412">
        <f>C1178+D1178+E1178+F1178</f>
        <v>80.222000000000008</v>
      </c>
      <c r="H1178" s="412">
        <f>G1178*0.35</f>
        <v>28.0777</v>
      </c>
      <c r="I1178" s="413">
        <f>G1178+H1178</f>
        <v>108.2997</v>
      </c>
      <c r="J1178" s="349">
        <f>I1178+I1218+I1181</f>
        <v>123.75450000000001</v>
      </c>
    </row>
    <row r="1179" spans="1:10">
      <c r="A1179" s="350" t="s">
        <v>258</v>
      </c>
      <c r="B1179" s="350">
        <v>20</v>
      </c>
      <c r="C1179" s="391">
        <v>17.2</v>
      </c>
      <c r="D1179" s="392"/>
      <c r="E1179" s="392"/>
      <c r="F1179" s="392"/>
      <c r="G1179" s="392"/>
      <c r="H1179" s="392"/>
      <c r="I1179" s="393"/>
      <c r="J1179" s="353"/>
    </row>
    <row r="1180" spans="1:10">
      <c r="A1180" s="350" t="s">
        <v>337</v>
      </c>
      <c r="B1180" s="350">
        <v>20</v>
      </c>
      <c r="C1180" s="391">
        <v>11.4</v>
      </c>
      <c r="D1180" s="392"/>
      <c r="E1180" s="392"/>
      <c r="F1180" s="392"/>
      <c r="G1180" s="392"/>
      <c r="H1180" s="392"/>
      <c r="I1180" s="393"/>
      <c r="J1180" s="353"/>
    </row>
    <row r="1181" spans="1:10">
      <c r="A1181" s="350" t="s">
        <v>385</v>
      </c>
      <c r="B1181" s="351">
        <v>10</v>
      </c>
      <c r="C1181" s="391">
        <v>5.4</v>
      </c>
      <c r="D1181" s="392">
        <f t="shared" si="126"/>
        <v>1.1880000000000002</v>
      </c>
      <c r="E1181" s="355"/>
      <c r="F1181" s="392">
        <f t="shared" si="127"/>
        <v>4.8600000000000003</v>
      </c>
      <c r="G1181" s="392">
        <f>C1181+D1181+E1181+F1181</f>
        <v>11.448</v>
      </c>
      <c r="H1181" s="392">
        <f>G1181*0.35</f>
        <v>4.0068000000000001</v>
      </c>
      <c r="I1181" s="393">
        <f>G1181+H1181</f>
        <v>15.454800000000001</v>
      </c>
      <c r="J1181" s="353"/>
    </row>
    <row r="1182" spans="1:10">
      <c r="A1182" s="350"/>
      <c r="B1182" s="351"/>
      <c r="C1182" s="391"/>
      <c r="D1182" s="392"/>
      <c r="E1182" s="355"/>
      <c r="F1182" s="392"/>
      <c r="G1182" s="392"/>
      <c r="H1182" s="392"/>
      <c r="I1182" s="393"/>
      <c r="J1182" s="353"/>
    </row>
    <row r="1183" spans="1:10">
      <c r="A1183" s="345" t="s">
        <v>1354</v>
      </c>
      <c r="B1183" s="346"/>
      <c r="C1183" s="412">
        <f>C1184+C1185</f>
        <v>10.01</v>
      </c>
      <c r="D1183" s="412">
        <f t="shared" ref="D1183:D1186" si="128">C1183*0.22</f>
        <v>2.2021999999999999</v>
      </c>
      <c r="E1183" s="412">
        <v>0.09</v>
      </c>
      <c r="F1183" s="412">
        <f t="shared" ref="F1183:F1186" si="129">C1183*0.9</f>
        <v>9.0090000000000003</v>
      </c>
      <c r="G1183" s="412">
        <f>C1183+D1183+E1183+F1183</f>
        <v>21.311199999999999</v>
      </c>
      <c r="H1183" s="412">
        <f>G1183*0.35</f>
        <v>7.4589199999999991</v>
      </c>
      <c r="I1183" s="413">
        <f>G1183+H1183</f>
        <v>28.770119999999999</v>
      </c>
      <c r="J1183" s="349">
        <f>(I1183+I1187+I1186)*3</f>
        <v>100.21968</v>
      </c>
    </row>
    <row r="1184" spans="1:10">
      <c r="A1184" s="350" t="s">
        <v>258</v>
      </c>
      <c r="B1184" s="350">
        <v>7</v>
      </c>
      <c r="C1184" s="391">
        <v>6.02</v>
      </c>
      <c r="D1184" s="392"/>
      <c r="E1184" s="392"/>
      <c r="F1184" s="392"/>
      <c r="G1184" s="392"/>
      <c r="H1184" s="392"/>
      <c r="I1184" s="393"/>
      <c r="J1184" s="353"/>
    </row>
    <row r="1185" spans="1:10">
      <c r="A1185" s="350" t="s">
        <v>337</v>
      </c>
      <c r="B1185" s="350">
        <v>7</v>
      </c>
      <c r="C1185" s="391">
        <v>3.99</v>
      </c>
      <c r="D1185" s="392"/>
      <c r="E1185" s="392"/>
      <c r="F1185" s="392"/>
      <c r="G1185" s="392"/>
      <c r="H1185" s="392"/>
      <c r="I1185" s="393"/>
      <c r="J1185" s="353"/>
    </row>
    <row r="1186" spans="1:10">
      <c r="A1186" s="350" t="s">
        <v>385</v>
      </c>
      <c r="B1186" s="351">
        <v>3</v>
      </c>
      <c r="C1186" s="391">
        <v>1.62</v>
      </c>
      <c r="D1186" s="392">
        <f t="shared" si="128"/>
        <v>0.35640000000000005</v>
      </c>
      <c r="E1186" s="355"/>
      <c r="F1186" s="392">
        <f t="shared" si="129"/>
        <v>1.4580000000000002</v>
      </c>
      <c r="G1186" s="392">
        <f>C1186+D1186+E1186+F1186</f>
        <v>3.4344000000000001</v>
      </c>
      <c r="H1186" s="392">
        <f>G1186*0.35</f>
        <v>1.20204</v>
      </c>
      <c r="I1186" s="393">
        <f>G1186+H1186</f>
        <v>4.6364400000000003</v>
      </c>
      <c r="J1186" s="353"/>
    </row>
    <row r="1187" spans="1:10">
      <c r="A1187" s="350"/>
      <c r="B1187" s="351"/>
      <c r="C1187" s="391"/>
      <c r="D1187" s="392"/>
      <c r="E1187" s="355"/>
      <c r="F1187" s="392"/>
      <c r="G1187" s="392"/>
      <c r="H1187" s="392"/>
      <c r="I1187" s="393"/>
      <c r="J1187" s="353"/>
    </row>
    <row r="1188" spans="1:10" ht="31.5">
      <c r="A1188" s="345" t="s">
        <v>1355</v>
      </c>
      <c r="B1188" s="346"/>
      <c r="C1188" s="412">
        <f>C1189+C1190</f>
        <v>14.3</v>
      </c>
      <c r="D1188" s="412">
        <f t="shared" ref="D1188:D1191" si="130">C1188*0.22</f>
        <v>3.1460000000000004</v>
      </c>
      <c r="E1188" s="412">
        <v>0.09</v>
      </c>
      <c r="F1188" s="412">
        <f t="shared" ref="F1188:F1191" si="131">C1188*0.9</f>
        <v>12.870000000000001</v>
      </c>
      <c r="G1188" s="412">
        <f>C1188+D1188+E1188+F1188</f>
        <v>30.406000000000002</v>
      </c>
      <c r="H1188" s="412">
        <f>G1188*0.35</f>
        <v>10.642100000000001</v>
      </c>
      <c r="I1188" s="413">
        <f>G1188+H1188</f>
        <v>41.048100000000005</v>
      </c>
      <c r="J1188" s="349">
        <f>(I1188+I1228+I1191)</f>
        <v>48.775500000000008</v>
      </c>
    </row>
    <row r="1189" spans="1:10">
      <c r="A1189" s="350" t="s">
        <v>258</v>
      </c>
      <c r="B1189" s="350">
        <v>10</v>
      </c>
      <c r="C1189" s="391">
        <v>8.6</v>
      </c>
      <c r="D1189" s="392"/>
      <c r="E1189" s="392"/>
      <c r="F1189" s="392"/>
      <c r="G1189" s="392"/>
      <c r="H1189" s="392"/>
      <c r="I1189" s="393"/>
      <c r="J1189" s="353"/>
    </row>
    <row r="1190" spans="1:10">
      <c r="A1190" s="350" t="s">
        <v>337</v>
      </c>
      <c r="B1190" s="350">
        <v>10</v>
      </c>
      <c r="C1190" s="391">
        <v>5.7</v>
      </c>
      <c r="D1190" s="392"/>
      <c r="E1190" s="392"/>
      <c r="F1190" s="392"/>
      <c r="G1190" s="392"/>
      <c r="H1190" s="392"/>
      <c r="I1190" s="393"/>
      <c r="J1190" s="353"/>
    </row>
    <row r="1191" spans="1:10">
      <c r="A1191" s="350" t="s">
        <v>385</v>
      </c>
      <c r="B1191" s="351">
        <v>5</v>
      </c>
      <c r="C1191" s="391">
        <v>2.7</v>
      </c>
      <c r="D1191" s="392">
        <f t="shared" si="130"/>
        <v>0.59400000000000008</v>
      </c>
      <c r="E1191" s="355"/>
      <c r="F1191" s="392">
        <f t="shared" si="131"/>
        <v>2.4300000000000002</v>
      </c>
      <c r="G1191" s="392">
        <f>C1191+D1191+E1191+F1191</f>
        <v>5.7240000000000002</v>
      </c>
      <c r="H1191" s="392">
        <f>G1191*0.35</f>
        <v>2.0034000000000001</v>
      </c>
      <c r="I1191" s="393">
        <f>G1191+H1191</f>
        <v>7.7274000000000003</v>
      </c>
      <c r="J1191" s="353"/>
    </row>
    <row r="1192" spans="1:10">
      <c r="A1192" s="350"/>
      <c r="B1192" s="351"/>
      <c r="C1192" s="391"/>
      <c r="D1192" s="392"/>
      <c r="E1192" s="355"/>
      <c r="F1192" s="392"/>
      <c r="G1192" s="392"/>
      <c r="H1192" s="392"/>
      <c r="I1192" s="393"/>
      <c r="J1192" s="353"/>
    </row>
    <row r="1193" spans="1:10" ht="21">
      <c r="A1193" s="345" t="s">
        <v>1356</v>
      </c>
      <c r="B1193" s="346"/>
      <c r="C1193" s="412">
        <f>C1194+C1195</f>
        <v>21.450000000000003</v>
      </c>
      <c r="D1193" s="412">
        <f t="shared" ref="D1193:D1196" si="132">C1193*0.22</f>
        <v>4.7190000000000003</v>
      </c>
      <c r="E1193" s="412">
        <v>11.09</v>
      </c>
      <c r="F1193" s="412">
        <f t="shared" ref="F1193:F1196" si="133">C1193*0.9</f>
        <v>19.305000000000003</v>
      </c>
      <c r="G1193" s="412">
        <f>C1193+D1193+E1193+F1193</f>
        <v>56.564000000000007</v>
      </c>
      <c r="H1193" s="412">
        <f>G1193*0.35</f>
        <v>19.7974</v>
      </c>
      <c r="I1193" s="413">
        <f>G1193+H1193</f>
        <v>76.361400000000003</v>
      </c>
      <c r="J1193" s="349">
        <f>(I1193+I1197+I1196)*10</f>
        <v>871.79759999999999</v>
      </c>
    </row>
    <row r="1194" spans="1:10">
      <c r="A1194" s="350" t="s">
        <v>258</v>
      </c>
      <c r="B1194" s="350">
        <v>15</v>
      </c>
      <c r="C1194" s="391">
        <v>12.9</v>
      </c>
      <c r="D1194" s="392"/>
      <c r="E1194" s="392"/>
      <c r="F1194" s="392"/>
      <c r="G1194" s="392"/>
      <c r="H1194" s="392"/>
      <c r="I1194" s="393"/>
      <c r="J1194" s="353"/>
    </row>
    <row r="1195" spans="1:10">
      <c r="A1195" s="350" t="s">
        <v>337</v>
      </c>
      <c r="B1195" s="350">
        <v>15</v>
      </c>
      <c r="C1195" s="391">
        <v>8.5500000000000007</v>
      </c>
      <c r="D1195" s="392"/>
      <c r="E1195" s="392"/>
      <c r="F1195" s="392"/>
      <c r="G1195" s="392"/>
      <c r="H1195" s="392"/>
      <c r="I1195" s="393"/>
      <c r="J1195" s="353"/>
    </row>
    <row r="1196" spans="1:10">
      <c r="A1196" s="350" t="s">
        <v>385</v>
      </c>
      <c r="B1196" s="351">
        <v>7</v>
      </c>
      <c r="C1196" s="391">
        <v>3.78</v>
      </c>
      <c r="D1196" s="392">
        <f t="shared" si="132"/>
        <v>0.83160000000000001</v>
      </c>
      <c r="E1196" s="355"/>
      <c r="F1196" s="392">
        <f t="shared" si="133"/>
        <v>3.4019999999999997</v>
      </c>
      <c r="G1196" s="392">
        <f>C1196+D1196+E1196+F1196</f>
        <v>8.0136000000000003</v>
      </c>
      <c r="H1196" s="392">
        <f>G1196*0.35</f>
        <v>2.8047599999999999</v>
      </c>
      <c r="I1196" s="393">
        <f>G1196+H1196</f>
        <v>10.81836</v>
      </c>
      <c r="J1196" s="353"/>
    </row>
    <row r="1197" spans="1:10">
      <c r="A1197" s="350"/>
      <c r="B1197" s="351"/>
      <c r="C1197" s="391"/>
      <c r="D1197" s="392"/>
      <c r="E1197" s="355"/>
      <c r="F1197" s="392"/>
      <c r="G1197" s="392"/>
      <c r="H1197" s="392"/>
      <c r="I1197" s="393"/>
      <c r="J1197" s="353"/>
    </row>
    <row r="1198" spans="1:10" ht="21">
      <c r="A1198" s="345" t="s">
        <v>1357</v>
      </c>
      <c r="B1198" s="346"/>
      <c r="C1198" s="412">
        <f>C1199+C1200</f>
        <v>14.3</v>
      </c>
      <c r="D1198" s="412">
        <f t="shared" ref="D1198:D1201" si="134">C1198*0.22</f>
        <v>3.1460000000000004</v>
      </c>
      <c r="E1198" s="412">
        <v>39.19</v>
      </c>
      <c r="F1198" s="412">
        <f t="shared" ref="F1198:F1201" si="135">C1198*0.9</f>
        <v>12.870000000000001</v>
      </c>
      <c r="G1198" s="412">
        <f>C1198+D1198+E1198+F1198</f>
        <v>69.506</v>
      </c>
      <c r="H1198" s="412">
        <f>G1198*0.35</f>
        <v>24.327099999999998</v>
      </c>
      <c r="I1198" s="413">
        <f>G1198+H1198</f>
        <v>93.833100000000002</v>
      </c>
      <c r="J1198" s="349">
        <f>(I1198+I1233+I1201)</f>
        <v>143.28845999999999</v>
      </c>
    </row>
    <row r="1199" spans="1:10">
      <c r="A1199" s="350" t="s">
        <v>258</v>
      </c>
      <c r="B1199" s="350">
        <v>10</v>
      </c>
      <c r="C1199" s="391">
        <v>8.6</v>
      </c>
      <c r="D1199" s="392"/>
      <c r="E1199" s="392"/>
      <c r="F1199" s="392"/>
      <c r="G1199" s="392"/>
      <c r="H1199" s="392"/>
      <c r="I1199" s="393"/>
      <c r="J1199" s="355"/>
    </row>
    <row r="1200" spans="1:10">
      <c r="A1200" s="350" t="s">
        <v>337</v>
      </c>
      <c r="B1200" s="350">
        <v>10</v>
      </c>
      <c r="C1200" s="391">
        <v>5.7</v>
      </c>
      <c r="D1200" s="392"/>
      <c r="E1200" s="392"/>
      <c r="F1200" s="392"/>
      <c r="G1200" s="392"/>
      <c r="H1200" s="392"/>
      <c r="I1200" s="393"/>
      <c r="J1200" s="355"/>
    </row>
    <row r="1201" spans="1:10">
      <c r="A1201" s="350" t="s">
        <v>385</v>
      </c>
      <c r="B1201" s="351">
        <v>5</v>
      </c>
      <c r="C1201" s="391">
        <v>2.7</v>
      </c>
      <c r="D1201" s="392">
        <f t="shared" si="134"/>
        <v>0.59400000000000008</v>
      </c>
      <c r="E1201" s="355"/>
      <c r="F1201" s="392">
        <f t="shared" si="135"/>
        <v>2.4300000000000002</v>
      </c>
      <c r="G1201" s="392">
        <f>C1201+D1201+E1201+F1201</f>
        <v>5.7240000000000002</v>
      </c>
      <c r="H1201" s="392">
        <f>G1201*0.35</f>
        <v>2.0034000000000001</v>
      </c>
      <c r="I1201" s="393">
        <f>G1201+H1201</f>
        <v>7.7274000000000003</v>
      </c>
      <c r="J1201" s="355"/>
    </row>
    <row r="1202" spans="1:10">
      <c r="A1202" s="361"/>
      <c r="B1202" s="362"/>
      <c r="C1202" s="363"/>
      <c r="D1202" s="364"/>
      <c r="E1202" s="365"/>
      <c r="F1202" s="364"/>
      <c r="G1202" s="364"/>
      <c r="H1202" s="364"/>
      <c r="I1202" s="366"/>
      <c r="J1202" s="355"/>
    </row>
    <row r="1203" spans="1:10" ht="12.75">
      <c r="A1203" s="368" t="s">
        <v>1358</v>
      </c>
      <c r="B1203" s="369"/>
      <c r="C1203" s="369"/>
      <c r="D1203" s="369"/>
      <c r="E1203" s="369"/>
      <c r="F1203" s="369"/>
      <c r="G1203" s="369"/>
      <c r="H1203" s="369"/>
      <c r="I1203" s="370"/>
      <c r="J1203" s="355"/>
    </row>
    <row r="1204" spans="1:10">
      <c r="A1204" s="345" t="s">
        <v>1359</v>
      </c>
      <c r="B1204" s="346"/>
      <c r="C1204" s="412">
        <f>C1205+C1206</f>
        <v>12.600000000000001</v>
      </c>
      <c r="D1204" s="412">
        <f t="shared" ref="D1204:D1227" si="136">C1204*0.22</f>
        <v>2.7720000000000002</v>
      </c>
      <c r="E1204" s="412">
        <v>4.09</v>
      </c>
      <c r="F1204" s="412">
        <f t="shared" ref="F1204:F1227" si="137">C1204*0.9</f>
        <v>11.340000000000002</v>
      </c>
      <c r="G1204" s="412">
        <f>C1204+D1204+E1204+F1204</f>
        <v>30.802000000000007</v>
      </c>
      <c r="H1204" s="412">
        <f>G1204*0.35</f>
        <v>10.780700000000001</v>
      </c>
      <c r="I1204" s="413">
        <f>G1204+H1204</f>
        <v>41.58270000000001</v>
      </c>
      <c r="J1204" s="349">
        <f>I1204+I1208+I1207</f>
        <v>49.310100000000013</v>
      </c>
    </row>
    <row r="1205" spans="1:10">
      <c r="A1205" s="350" t="s">
        <v>258</v>
      </c>
      <c r="B1205" s="350">
        <v>10</v>
      </c>
      <c r="C1205" s="391">
        <v>6.9</v>
      </c>
      <c r="D1205" s="392"/>
      <c r="E1205" s="392"/>
      <c r="F1205" s="392"/>
      <c r="G1205" s="392"/>
      <c r="H1205" s="392"/>
      <c r="I1205" s="393"/>
      <c r="J1205" s="353"/>
    </row>
    <row r="1206" spans="1:10">
      <c r="A1206" s="350" t="s">
        <v>337</v>
      </c>
      <c r="B1206" s="350">
        <v>10</v>
      </c>
      <c r="C1206" s="391">
        <v>5.7</v>
      </c>
      <c r="D1206" s="392"/>
      <c r="E1206" s="392"/>
      <c r="F1206" s="392"/>
      <c r="G1206" s="392"/>
      <c r="H1206" s="392"/>
      <c r="I1206" s="393"/>
      <c r="J1206" s="353"/>
    </row>
    <row r="1207" spans="1:10">
      <c r="A1207" s="350" t="s">
        <v>385</v>
      </c>
      <c r="B1207" s="351">
        <v>5</v>
      </c>
      <c r="C1207" s="391">
        <v>2.7</v>
      </c>
      <c r="D1207" s="392">
        <f t="shared" si="136"/>
        <v>0.59400000000000008</v>
      </c>
      <c r="E1207" s="355"/>
      <c r="F1207" s="392">
        <f t="shared" si="137"/>
        <v>2.4300000000000002</v>
      </c>
      <c r="G1207" s="392">
        <f>C1207+D1207+E1207+F1207</f>
        <v>5.7240000000000002</v>
      </c>
      <c r="H1207" s="392">
        <f>G1207*0.35</f>
        <v>2.0034000000000001</v>
      </c>
      <c r="I1207" s="393">
        <f>G1207+H1207</f>
        <v>7.7274000000000003</v>
      </c>
      <c r="J1207" s="353"/>
    </row>
    <row r="1208" spans="1:10">
      <c r="A1208" s="350"/>
      <c r="B1208" s="351"/>
      <c r="C1208" s="391"/>
      <c r="D1208" s="392"/>
      <c r="E1208" s="355"/>
      <c r="F1208" s="392"/>
      <c r="G1208" s="392"/>
      <c r="H1208" s="392"/>
      <c r="I1208" s="393"/>
      <c r="J1208" s="353"/>
    </row>
    <row r="1209" spans="1:10">
      <c r="A1209" s="345" t="s">
        <v>1360</v>
      </c>
      <c r="B1209" s="346"/>
      <c r="C1209" s="412">
        <f>C1210+C1211</f>
        <v>12.600000000000001</v>
      </c>
      <c r="D1209" s="412">
        <f t="shared" si="136"/>
        <v>2.7720000000000002</v>
      </c>
      <c r="E1209" s="412">
        <v>4.09</v>
      </c>
      <c r="F1209" s="412">
        <f t="shared" si="137"/>
        <v>11.340000000000002</v>
      </c>
      <c r="G1209" s="412">
        <f>C1209+D1209+E1209+F1209</f>
        <v>30.802000000000007</v>
      </c>
      <c r="H1209" s="412">
        <f>G1209*0.35</f>
        <v>10.780700000000001</v>
      </c>
      <c r="I1209" s="413">
        <f>G1209+H1209</f>
        <v>41.58270000000001</v>
      </c>
      <c r="J1209" s="349">
        <f>I1209+I1213+I1212</f>
        <v>49.310100000000013</v>
      </c>
    </row>
    <row r="1210" spans="1:10">
      <c r="A1210" s="350" t="s">
        <v>258</v>
      </c>
      <c r="B1210" s="350">
        <v>10</v>
      </c>
      <c r="C1210" s="391">
        <v>6.9</v>
      </c>
      <c r="D1210" s="392"/>
      <c r="E1210" s="392"/>
      <c r="F1210" s="392"/>
      <c r="G1210" s="392"/>
      <c r="H1210" s="392"/>
      <c r="I1210" s="393"/>
      <c r="J1210" s="353"/>
    </row>
    <row r="1211" spans="1:10">
      <c r="A1211" s="350" t="s">
        <v>337</v>
      </c>
      <c r="B1211" s="350">
        <v>10</v>
      </c>
      <c r="C1211" s="391">
        <v>5.7</v>
      </c>
      <c r="D1211" s="392"/>
      <c r="E1211" s="392"/>
      <c r="F1211" s="392"/>
      <c r="G1211" s="392"/>
      <c r="H1211" s="392"/>
      <c r="I1211" s="393"/>
      <c r="J1211" s="353"/>
    </row>
    <row r="1212" spans="1:10">
      <c r="A1212" s="350" t="s">
        <v>385</v>
      </c>
      <c r="B1212" s="351">
        <v>5</v>
      </c>
      <c r="C1212" s="391">
        <v>2.7</v>
      </c>
      <c r="D1212" s="392">
        <f t="shared" si="136"/>
        <v>0.59400000000000008</v>
      </c>
      <c r="E1212" s="355"/>
      <c r="F1212" s="392">
        <f t="shared" si="137"/>
        <v>2.4300000000000002</v>
      </c>
      <c r="G1212" s="392">
        <f>C1212+D1212+E1212+F1212</f>
        <v>5.7240000000000002</v>
      </c>
      <c r="H1212" s="392">
        <f>G1212*0.35</f>
        <v>2.0034000000000001</v>
      </c>
      <c r="I1212" s="393">
        <f>G1212+H1212</f>
        <v>7.7274000000000003</v>
      </c>
      <c r="J1212" s="353"/>
    </row>
    <row r="1213" spans="1:10">
      <c r="A1213" s="350"/>
      <c r="B1213" s="351"/>
      <c r="C1213" s="391"/>
      <c r="D1213" s="392"/>
      <c r="E1213" s="355"/>
      <c r="F1213" s="392"/>
      <c r="G1213" s="392"/>
      <c r="H1213" s="392"/>
      <c r="I1213" s="393"/>
      <c r="J1213" s="353"/>
    </row>
    <row r="1214" spans="1:10" ht="21">
      <c r="A1214" s="345" t="s">
        <v>1361</v>
      </c>
      <c r="B1214" s="346"/>
      <c r="C1214" s="412">
        <f>C1215+C1216</f>
        <v>12.600000000000001</v>
      </c>
      <c r="D1214" s="412">
        <f t="shared" si="136"/>
        <v>2.7720000000000002</v>
      </c>
      <c r="E1214" s="412">
        <v>4.09</v>
      </c>
      <c r="F1214" s="412">
        <f t="shared" si="137"/>
        <v>11.340000000000002</v>
      </c>
      <c r="G1214" s="412">
        <f>C1214+D1214+E1214+F1214</f>
        <v>30.802000000000007</v>
      </c>
      <c r="H1214" s="412">
        <f>G1214*0.35</f>
        <v>10.780700000000001</v>
      </c>
      <c r="I1214" s="413">
        <f>G1214+H1214</f>
        <v>41.58270000000001</v>
      </c>
      <c r="J1214" s="349">
        <f>I1214+I1218+I1217</f>
        <v>49.310100000000013</v>
      </c>
    </row>
    <row r="1215" spans="1:10">
      <c r="A1215" s="350" t="s">
        <v>258</v>
      </c>
      <c r="B1215" s="350">
        <v>10</v>
      </c>
      <c r="C1215" s="391">
        <v>6.9</v>
      </c>
      <c r="D1215" s="392"/>
      <c r="E1215" s="392"/>
      <c r="F1215" s="392"/>
      <c r="G1215" s="392"/>
      <c r="H1215" s="392"/>
      <c r="I1215" s="393"/>
      <c r="J1215" s="353"/>
    </row>
    <row r="1216" spans="1:10">
      <c r="A1216" s="350" t="s">
        <v>337</v>
      </c>
      <c r="B1216" s="350">
        <v>10</v>
      </c>
      <c r="C1216" s="391">
        <v>5.7</v>
      </c>
      <c r="D1216" s="392"/>
      <c r="E1216" s="392"/>
      <c r="F1216" s="392"/>
      <c r="G1216" s="392"/>
      <c r="H1216" s="392"/>
      <c r="I1216" s="393"/>
      <c r="J1216" s="353"/>
    </row>
    <row r="1217" spans="1:10">
      <c r="A1217" s="350" t="s">
        <v>385</v>
      </c>
      <c r="B1217" s="351">
        <v>5</v>
      </c>
      <c r="C1217" s="391">
        <v>2.7</v>
      </c>
      <c r="D1217" s="392">
        <f t="shared" si="136"/>
        <v>0.59400000000000008</v>
      </c>
      <c r="E1217" s="355"/>
      <c r="F1217" s="392">
        <f t="shared" si="137"/>
        <v>2.4300000000000002</v>
      </c>
      <c r="G1217" s="392">
        <f>C1217+D1217+E1217+F1217</f>
        <v>5.7240000000000002</v>
      </c>
      <c r="H1217" s="392">
        <f>G1217*0.35</f>
        <v>2.0034000000000001</v>
      </c>
      <c r="I1217" s="393">
        <f>G1217+H1217</f>
        <v>7.7274000000000003</v>
      </c>
      <c r="J1217" s="353"/>
    </row>
    <row r="1218" spans="1:10">
      <c r="A1218" s="350"/>
      <c r="B1218" s="351"/>
      <c r="C1218" s="391"/>
      <c r="D1218" s="392"/>
      <c r="E1218" s="355"/>
      <c r="F1218" s="392"/>
      <c r="G1218" s="392"/>
      <c r="H1218" s="392"/>
      <c r="I1218" s="393"/>
      <c r="J1218" s="353"/>
    </row>
    <row r="1219" spans="1:10">
      <c r="A1219" s="345" t="s">
        <v>1362</v>
      </c>
      <c r="B1219" s="346"/>
      <c r="C1219" s="412">
        <f>C1220+C1221</f>
        <v>12.600000000000001</v>
      </c>
      <c r="D1219" s="412">
        <f t="shared" si="136"/>
        <v>2.7720000000000002</v>
      </c>
      <c r="E1219" s="412">
        <v>4.09</v>
      </c>
      <c r="F1219" s="412">
        <f t="shared" si="137"/>
        <v>11.340000000000002</v>
      </c>
      <c r="G1219" s="412">
        <f>C1219+D1219+E1219+F1219</f>
        <v>30.802000000000007</v>
      </c>
      <c r="H1219" s="412">
        <f>G1219*0.35</f>
        <v>10.780700000000001</v>
      </c>
      <c r="I1219" s="413">
        <f>G1219+H1219</f>
        <v>41.58270000000001</v>
      </c>
      <c r="J1219" s="349">
        <f>I1219+I1223+I1222</f>
        <v>49.310100000000013</v>
      </c>
    </row>
    <row r="1220" spans="1:10">
      <c r="A1220" s="350" t="s">
        <v>258</v>
      </c>
      <c r="B1220" s="350">
        <v>10</v>
      </c>
      <c r="C1220" s="391">
        <v>6.9</v>
      </c>
      <c r="D1220" s="392"/>
      <c r="E1220" s="392"/>
      <c r="F1220" s="392"/>
      <c r="G1220" s="392"/>
      <c r="H1220" s="392"/>
      <c r="I1220" s="393"/>
      <c r="J1220" s="353"/>
    </row>
    <row r="1221" spans="1:10">
      <c r="A1221" s="350" t="s">
        <v>337</v>
      </c>
      <c r="B1221" s="350">
        <v>10</v>
      </c>
      <c r="C1221" s="391">
        <v>5.7</v>
      </c>
      <c r="D1221" s="392"/>
      <c r="E1221" s="392"/>
      <c r="F1221" s="392"/>
      <c r="G1221" s="392"/>
      <c r="H1221" s="392"/>
      <c r="I1221" s="393"/>
      <c r="J1221" s="353"/>
    </row>
    <row r="1222" spans="1:10">
      <c r="A1222" s="350" t="s">
        <v>385</v>
      </c>
      <c r="B1222" s="351">
        <v>5</v>
      </c>
      <c r="C1222" s="391">
        <v>2.7</v>
      </c>
      <c r="D1222" s="392">
        <f t="shared" si="136"/>
        <v>0.59400000000000008</v>
      </c>
      <c r="E1222" s="355"/>
      <c r="F1222" s="392">
        <f t="shared" si="137"/>
        <v>2.4300000000000002</v>
      </c>
      <c r="G1222" s="392">
        <f>C1222+D1222+E1222+F1222</f>
        <v>5.7240000000000002</v>
      </c>
      <c r="H1222" s="392">
        <f>G1222*0.35</f>
        <v>2.0034000000000001</v>
      </c>
      <c r="I1222" s="393">
        <f>G1222+H1222</f>
        <v>7.7274000000000003</v>
      </c>
      <c r="J1222" s="353"/>
    </row>
    <row r="1223" spans="1:10">
      <c r="A1223" s="350"/>
      <c r="B1223" s="351"/>
      <c r="C1223" s="391"/>
      <c r="D1223" s="392"/>
      <c r="E1223" s="355"/>
      <c r="F1223" s="392"/>
      <c r="G1223" s="392"/>
      <c r="H1223" s="392"/>
      <c r="I1223" s="393"/>
      <c r="J1223" s="353"/>
    </row>
    <row r="1224" spans="1:10" ht="42">
      <c r="A1224" s="345" t="s">
        <v>1363</v>
      </c>
      <c r="B1224" s="346"/>
      <c r="C1224" s="412">
        <f>C1225+C1226</f>
        <v>18.899999999999999</v>
      </c>
      <c r="D1224" s="412">
        <f t="shared" si="136"/>
        <v>4.1579999999999995</v>
      </c>
      <c r="E1224" s="412">
        <v>4.09</v>
      </c>
      <c r="F1224" s="412">
        <f t="shared" si="137"/>
        <v>17.009999999999998</v>
      </c>
      <c r="G1224" s="412">
        <f>C1224+D1224+E1224+F1224</f>
        <v>44.158000000000001</v>
      </c>
      <c r="H1224" s="412">
        <f>G1224*0.35</f>
        <v>15.455299999999999</v>
      </c>
      <c r="I1224" s="413">
        <f>G1224+H1224</f>
        <v>59.613300000000002</v>
      </c>
      <c r="J1224" s="349">
        <f>I1224+I1228+I1227</f>
        <v>70.431660000000008</v>
      </c>
    </row>
    <row r="1225" spans="1:10">
      <c r="A1225" s="350" t="s">
        <v>258</v>
      </c>
      <c r="B1225" s="350">
        <v>15</v>
      </c>
      <c r="C1225" s="391">
        <v>10.35</v>
      </c>
      <c r="D1225" s="392"/>
      <c r="E1225" s="392"/>
      <c r="F1225" s="392"/>
      <c r="G1225" s="392"/>
      <c r="H1225" s="392"/>
      <c r="I1225" s="393"/>
      <c r="J1225" s="355"/>
    </row>
    <row r="1226" spans="1:10">
      <c r="A1226" s="350" t="s">
        <v>337</v>
      </c>
      <c r="B1226" s="350">
        <v>15</v>
      </c>
      <c r="C1226" s="391">
        <v>8.5500000000000007</v>
      </c>
      <c r="D1226" s="392"/>
      <c r="E1226" s="392"/>
      <c r="F1226" s="392"/>
      <c r="G1226" s="392"/>
      <c r="H1226" s="392"/>
      <c r="I1226" s="393"/>
      <c r="J1226" s="355"/>
    </row>
    <row r="1227" spans="1:10">
      <c r="A1227" s="350" t="s">
        <v>385</v>
      </c>
      <c r="B1227" s="351">
        <v>7</v>
      </c>
      <c r="C1227" s="391">
        <v>3.78</v>
      </c>
      <c r="D1227" s="392">
        <f t="shared" si="136"/>
        <v>0.83160000000000001</v>
      </c>
      <c r="E1227" s="355"/>
      <c r="F1227" s="392">
        <f t="shared" si="137"/>
        <v>3.4019999999999997</v>
      </c>
      <c r="G1227" s="392">
        <f>C1227+D1227+E1227+F1227</f>
        <v>8.0136000000000003</v>
      </c>
      <c r="H1227" s="392">
        <f>G1227*0.35</f>
        <v>2.8047599999999999</v>
      </c>
      <c r="I1227" s="393">
        <f>G1227+H1227</f>
        <v>10.81836</v>
      </c>
      <c r="J1227" s="355"/>
    </row>
    <row r="1228" spans="1:10">
      <c r="A1228" s="350"/>
      <c r="B1228" s="351"/>
      <c r="C1228" s="391"/>
      <c r="D1228" s="392"/>
      <c r="E1228" s="355"/>
      <c r="F1228" s="392"/>
      <c r="G1228" s="392"/>
      <c r="H1228" s="392"/>
      <c r="I1228" s="393"/>
      <c r="J1228" s="355"/>
    </row>
    <row r="1229" spans="1:10" ht="12.75">
      <c r="A1229" s="368" t="s">
        <v>1364</v>
      </c>
      <c r="B1229" s="369"/>
      <c r="C1229" s="369"/>
      <c r="D1229" s="369"/>
      <c r="E1229" s="369"/>
      <c r="F1229" s="369"/>
      <c r="G1229" s="369"/>
      <c r="H1229" s="369"/>
      <c r="I1229" s="369"/>
      <c r="J1229" s="370"/>
    </row>
    <row r="1230" spans="1:10">
      <c r="A1230" s="345" t="s">
        <v>1365</v>
      </c>
      <c r="B1230" s="346"/>
      <c r="C1230" s="412">
        <f>C1231+C1232</f>
        <v>82.5</v>
      </c>
      <c r="D1230" s="412">
        <f t="shared" ref="D1230:D1243" si="138">C1230*0.22</f>
        <v>18.149999999999999</v>
      </c>
      <c r="E1230" s="412">
        <v>0.09</v>
      </c>
      <c r="F1230" s="412">
        <f t="shared" ref="F1230:F1243" si="139">C1230*0.9</f>
        <v>74.25</v>
      </c>
      <c r="G1230" s="412">
        <f>C1230+D1230+E1230+F1230</f>
        <v>174.99</v>
      </c>
      <c r="H1230" s="412">
        <f>G1230*0.35</f>
        <v>61.246499999999997</v>
      </c>
      <c r="I1230" s="413">
        <f>G1230+H1230</f>
        <v>236.23650000000001</v>
      </c>
      <c r="J1230" s="349">
        <f>I1230+I1234+I1233</f>
        <v>277.96446000000003</v>
      </c>
    </row>
    <row r="1231" spans="1:10">
      <c r="A1231" s="350" t="s">
        <v>258</v>
      </c>
      <c r="B1231" s="350">
        <v>55</v>
      </c>
      <c r="C1231" s="391">
        <v>51.15</v>
      </c>
      <c r="D1231" s="392"/>
      <c r="E1231" s="392"/>
      <c r="F1231" s="392"/>
      <c r="G1231" s="392"/>
      <c r="H1231" s="392"/>
      <c r="I1231" s="393"/>
      <c r="J1231" s="353"/>
    </row>
    <row r="1232" spans="1:10">
      <c r="A1232" s="350" t="s">
        <v>337</v>
      </c>
      <c r="B1232" s="350">
        <v>55</v>
      </c>
      <c r="C1232" s="391">
        <v>31.35</v>
      </c>
      <c r="D1232" s="392"/>
      <c r="E1232" s="392"/>
      <c r="F1232" s="392"/>
      <c r="G1232" s="392"/>
      <c r="H1232" s="392"/>
      <c r="I1232" s="393"/>
      <c r="J1232" s="353"/>
    </row>
    <row r="1233" spans="1:10">
      <c r="A1233" s="350" t="s">
        <v>385</v>
      </c>
      <c r="B1233" s="351">
        <v>27</v>
      </c>
      <c r="C1233" s="391">
        <v>14.58</v>
      </c>
      <c r="D1233" s="392">
        <f t="shared" si="138"/>
        <v>3.2076000000000002</v>
      </c>
      <c r="E1233" s="355"/>
      <c r="F1233" s="392">
        <f t="shared" si="139"/>
        <v>13.122</v>
      </c>
      <c r="G1233" s="392">
        <f>C1233+D1233+E1233+F1233</f>
        <v>30.909600000000001</v>
      </c>
      <c r="H1233" s="392">
        <f>G1233*0.35</f>
        <v>10.81836</v>
      </c>
      <c r="I1233" s="393">
        <f>G1233+H1233</f>
        <v>41.727960000000003</v>
      </c>
      <c r="J1233" s="353"/>
    </row>
    <row r="1234" spans="1:10">
      <c r="A1234" s="350"/>
      <c r="B1234" s="351"/>
      <c r="C1234" s="391"/>
      <c r="D1234" s="392"/>
      <c r="E1234" s="355"/>
      <c r="F1234" s="392"/>
      <c r="G1234" s="392"/>
      <c r="H1234" s="392"/>
      <c r="I1234" s="393"/>
      <c r="J1234" s="353"/>
    </row>
    <row r="1235" spans="1:10">
      <c r="A1235" s="345" t="s">
        <v>1366</v>
      </c>
      <c r="B1235" s="346"/>
      <c r="C1235" s="412">
        <f>C1236+C1237</f>
        <v>82.5</v>
      </c>
      <c r="D1235" s="412">
        <f t="shared" si="138"/>
        <v>18.149999999999999</v>
      </c>
      <c r="E1235" s="412">
        <v>0.09</v>
      </c>
      <c r="F1235" s="412">
        <f t="shared" si="139"/>
        <v>74.25</v>
      </c>
      <c r="G1235" s="412">
        <f>C1235+D1235+E1235+F1235</f>
        <v>174.99</v>
      </c>
      <c r="H1235" s="412">
        <f>G1235*0.35</f>
        <v>61.246499999999997</v>
      </c>
      <c r="I1235" s="413">
        <f>G1235+H1235</f>
        <v>236.23650000000001</v>
      </c>
      <c r="J1235" s="349">
        <f>I1235+I1239+I1238</f>
        <v>277.96446000000003</v>
      </c>
    </row>
    <row r="1236" spans="1:10">
      <c r="A1236" s="350" t="s">
        <v>258</v>
      </c>
      <c r="B1236" s="350">
        <v>55</v>
      </c>
      <c r="C1236" s="391">
        <v>51.15</v>
      </c>
      <c r="D1236" s="392"/>
      <c r="E1236" s="392"/>
      <c r="F1236" s="392"/>
      <c r="G1236" s="392"/>
      <c r="H1236" s="392"/>
      <c r="I1236" s="393"/>
      <c r="J1236" s="353"/>
    </row>
    <row r="1237" spans="1:10">
      <c r="A1237" s="350" t="s">
        <v>337</v>
      </c>
      <c r="B1237" s="350">
        <v>55</v>
      </c>
      <c r="C1237" s="391">
        <v>31.35</v>
      </c>
      <c r="D1237" s="392"/>
      <c r="E1237" s="392"/>
      <c r="F1237" s="392"/>
      <c r="G1237" s="392"/>
      <c r="H1237" s="392"/>
      <c r="I1237" s="393"/>
      <c r="J1237" s="353"/>
    </row>
    <row r="1238" spans="1:10">
      <c r="A1238" s="350" t="s">
        <v>385</v>
      </c>
      <c r="B1238" s="351">
        <v>27</v>
      </c>
      <c r="C1238" s="391">
        <v>14.58</v>
      </c>
      <c r="D1238" s="392">
        <f t="shared" si="138"/>
        <v>3.2076000000000002</v>
      </c>
      <c r="E1238" s="355"/>
      <c r="F1238" s="392">
        <f t="shared" si="139"/>
        <v>13.122</v>
      </c>
      <c r="G1238" s="392">
        <f>C1238+D1238+E1238+F1238</f>
        <v>30.909600000000001</v>
      </c>
      <c r="H1238" s="392">
        <f>G1238*0.35</f>
        <v>10.81836</v>
      </c>
      <c r="I1238" s="393">
        <f>G1238+H1238</f>
        <v>41.727960000000003</v>
      </c>
      <c r="J1238" s="353"/>
    </row>
    <row r="1239" spans="1:10">
      <c r="A1239" s="350"/>
      <c r="B1239" s="351"/>
      <c r="C1239" s="391"/>
      <c r="D1239" s="392"/>
      <c r="E1239" s="355"/>
      <c r="F1239" s="392"/>
      <c r="G1239" s="392"/>
      <c r="H1239" s="392"/>
      <c r="I1239" s="393"/>
      <c r="J1239" s="353"/>
    </row>
    <row r="1240" spans="1:10">
      <c r="A1240" s="345" t="s">
        <v>1367</v>
      </c>
      <c r="B1240" s="346"/>
      <c r="C1240" s="412">
        <f>C1241+C1242</f>
        <v>22.5</v>
      </c>
      <c r="D1240" s="412">
        <f t="shared" si="138"/>
        <v>4.95</v>
      </c>
      <c r="E1240" s="412">
        <v>0.09</v>
      </c>
      <c r="F1240" s="412">
        <f t="shared" si="139"/>
        <v>20.25</v>
      </c>
      <c r="G1240" s="412">
        <f>C1240+D1240+E1240+F1240</f>
        <v>47.79</v>
      </c>
      <c r="H1240" s="412">
        <f>G1240*0.35</f>
        <v>16.726499999999998</v>
      </c>
      <c r="I1240" s="413">
        <f>G1240+H1240</f>
        <v>64.516499999999994</v>
      </c>
      <c r="J1240" s="349">
        <f>I1240+I1244+I1243</f>
        <v>75.334859999999992</v>
      </c>
    </row>
    <row r="1241" spans="1:10">
      <c r="A1241" s="350" t="s">
        <v>258</v>
      </c>
      <c r="B1241" s="350">
        <v>15</v>
      </c>
      <c r="C1241" s="391">
        <v>13.95</v>
      </c>
      <c r="D1241" s="392"/>
      <c r="E1241" s="392"/>
      <c r="F1241" s="392"/>
      <c r="G1241" s="392"/>
      <c r="H1241" s="392"/>
      <c r="I1241" s="393"/>
      <c r="J1241" s="353"/>
    </row>
    <row r="1242" spans="1:10">
      <c r="A1242" s="350" t="s">
        <v>337</v>
      </c>
      <c r="B1242" s="350">
        <v>15</v>
      </c>
      <c r="C1242" s="391">
        <v>8.5500000000000007</v>
      </c>
      <c r="D1242" s="392"/>
      <c r="E1242" s="392"/>
      <c r="F1242" s="392"/>
      <c r="G1242" s="392"/>
      <c r="H1242" s="392"/>
      <c r="I1242" s="393"/>
      <c r="J1242" s="353"/>
    </row>
    <row r="1243" spans="1:10">
      <c r="A1243" s="350" t="s">
        <v>385</v>
      </c>
      <c r="B1243" s="351">
        <v>7</v>
      </c>
      <c r="C1243" s="391">
        <v>3.78</v>
      </c>
      <c r="D1243" s="392">
        <f t="shared" si="138"/>
        <v>0.83160000000000001</v>
      </c>
      <c r="E1243" s="355"/>
      <c r="F1243" s="392">
        <f t="shared" si="139"/>
        <v>3.4019999999999997</v>
      </c>
      <c r="G1243" s="392">
        <f>C1243+D1243+E1243+F1243</f>
        <v>8.0136000000000003</v>
      </c>
      <c r="H1243" s="392">
        <f>G1243*0.35</f>
        <v>2.8047599999999999</v>
      </c>
      <c r="I1243" s="393">
        <f>G1243+H1243</f>
        <v>10.81836</v>
      </c>
      <c r="J1243" s="353"/>
    </row>
    <row r="1244" spans="1:10">
      <c r="A1244" s="350"/>
      <c r="B1244" s="351"/>
      <c r="C1244" s="391"/>
      <c r="D1244" s="392"/>
      <c r="E1244" s="355"/>
      <c r="F1244" s="392"/>
      <c r="G1244" s="392"/>
      <c r="H1244" s="392"/>
      <c r="I1244" s="393"/>
      <c r="J1244" s="353"/>
    </row>
    <row r="1245" spans="1:10" ht="31.5">
      <c r="A1245" s="345" t="s">
        <v>1368</v>
      </c>
      <c r="B1245" s="346"/>
      <c r="C1245" s="412">
        <f>C1246+C1247</f>
        <v>135</v>
      </c>
      <c r="D1245" s="412">
        <f t="shared" ref="D1245:D1258" si="140">C1245*0.22</f>
        <v>29.7</v>
      </c>
      <c r="E1245" s="412">
        <v>0.09</v>
      </c>
      <c r="F1245" s="412">
        <f t="shared" ref="F1245:F1258" si="141">C1245*0.9</f>
        <v>121.5</v>
      </c>
      <c r="G1245" s="412">
        <f>C1245+D1245+E1245+F1245</f>
        <v>286.28999999999996</v>
      </c>
      <c r="H1245" s="412">
        <f>G1245*0.35</f>
        <v>100.20149999999998</v>
      </c>
      <c r="I1245" s="413">
        <f>G1245+H1245</f>
        <v>386.49149999999997</v>
      </c>
      <c r="J1245" s="349">
        <f>I1245+I1249+I1248</f>
        <v>456.03809999999999</v>
      </c>
    </row>
    <row r="1246" spans="1:10">
      <c r="A1246" s="350" t="s">
        <v>258</v>
      </c>
      <c r="B1246" s="350">
        <v>90</v>
      </c>
      <c r="C1246" s="391">
        <v>83.7</v>
      </c>
      <c r="D1246" s="392"/>
      <c r="E1246" s="392"/>
      <c r="F1246" s="392"/>
      <c r="G1246" s="392"/>
      <c r="H1246" s="392"/>
      <c r="I1246" s="393"/>
      <c r="J1246" s="353"/>
    </row>
    <row r="1247" spans="1:10">
      <c r="A1247" s="350" t="s">
        <v>337</v>
      </c>
      <c r="B1247" s="350">
        <v>90</v>
      </c>
      <c r="C1247" s="391">
        <v>51.3</v>
      </c>
      <c r="D1247" s="392"/>
      <c r="E1247" s="392"/>
      <c r="F1247" s="392"/>
      <c r="G1247" s="392"/>
      <c r="H1247" s="392"/>
      <c r="I1247" s="393"/>
      <c r="J1247" s="353"/>
    </row>
    <row r="1248" spans="1:10">
      <c r="A1248" s="350" t="s">
        <v>385</v>
      </c>
      <c r="B1248" s="351">
        <v>45</v>
      </c>
      <c r="C1248" s="391">
        <v>24.3</v>
      </c>
      <c r="D1248" s="392">
        <f t="shared" si="140"/>
        <v>5.3460000000000001</v>
      </c>
      <c r="E1248" s="355"/>
      <c r="F1248" s="392">
        <f t="shared" si="141"/>
        <v>21.87</v>
      </c>
      <c r="G1248" s="392">
        <f>C1248+D1248+E1248+F1248</f>
        <v>51.516000000000005</v>
      </c>
      <c r="H1248" s="392">
        <f>G1248*0.35</f>
        <v>18.0306</v>
      </c>
      <c r="I1248" s="393">
        <f>G1248+H1248</f>
        <v>69.546600000000012</v>
      </c>
      <c r="J1248" s="353"/>
    </row>
    <row r="1249" spans="1:10">
      <c r="A1249" s="350"/>
      <c r="B1249" s="351"/>
      <c r="C1249" s="391"/>
      <c r="D1249" s="392"/>
      <c r="E1249" s="355"/>
      <c r="F1249" s="392"/>
      <c r="G1249" s="392"/>
      <c r="H1249" s="392"/>
      <c r="I1249" s="393"/>
      <c r="J1249" s="353"/>
    </row>
    <row r="1250" spans="1:10" ht="21">
      <c r="A1250" s="345" t="s">
        <v>1369</v>
      </c>
      <c r="B1250" s="346"/>
      <c r="C1250" s="412">
        <f>C1251+C1252</f>
        <v>30</v>
      </c>
      <c r="D1250" s="412">
        <f t="shared" si="140"/>
        <v>6.6</v>
      </c>
      <c r="E1250" s="412">
        <v>0.09</v>
      </c>
      <c r="F1250" s="412">
        <f t="shared" si="141"/>
        <v>27</v>
      </c>
      <c r="G1250" s="412">
        <f>C1250+D1250+E1250+F1250</f>
        <v>63.690000000000005</v>
      </c>
      <c r="H1250" s="412">
        <f>G1250*0.35</f>
        <v>22.291499999999999</v>
      </c>
      <c r="I1250" s="413">
        <f>G1250+H1250</f>
        <v>85.981500000000011</v>
      </c>
      <c r="J1250" s="349">
        <f>I1250+I1254+I1253</f>
        <v>101.43630000000002</v>
      </c>
    </row>
    <row r="1251" spans="1:10">
      <c r="A1251" s="350" t="s">
        <v>258</v>
      </c>
      <c r="B1251" s="350">
        <v>20</v>
      </c>
      <c r="C1251" s="391">
        <v>18.600000000000001</v>
      </c>
      <c r="D1251" s="392"/>
      <c r="E1251" s="392"/>
      <c r="F1251" s="392"/>
      <c r="G1251" s="392"/>
      <c r="H1251" s="392"/>
      <c r="I1251" s="393"/>
      <c r="J1251" s="353"/>
    </row>
    <row r="1252" spans="1:10">
      <c r="A1252" s="350" t="s">
        <v>337</v>
      </c>
      <c r="B1252" s="350">
        <v>20</v>
      </c>
      <c r="C1252" s="391">
        <v>11.4</v>
      </c>
      <c r="D1252" s="392"/>
      <c r="E1252" s="392"/>
      <c r="F1252" s="392"/>
      <c r="G1252" s="392"/>
      <c r="H1252" s="392"/>
      <c r="I1252" s="393"/>
      <c r="J1252" s="353"/>
    </row>
    <row r="1253" spans="1:10">
      <c r="A1253" s="350" t="s">
        <v>385</v>
      </c>
      <c r="B1253" s="351">
        <v>10</v>
      </c>
      <c r="C1253" s="391">
        <v>5.4</v>
      </c>
      <c r="D1253" s="392">
        <f t="shared" si="140"/>
        <v>1.1880000000000002</v>
      </c>
      <c r="E1253" s="355"/>
      <c r="F1253" s="392">
        <f t="shared" si="141"/>
        <v>4.8600000000000003</v>
      </c>
      <c r="G1253" s="392">
        <f>C1253+D1253+E1253+F1253</f>
        <v>11.448</v>
      </c>
      <c r="H1253" s="392">
        <f>G1253*0.35</f>
        <v>4.0068000000000001</v>
      </c>
      <c r="I1253" s="393">
        <f>G1253+H1253</f>
        <v>15.454800000000001</v>
      </c>
      <c r="J1253" s="353"/>
    </row>
    <row r="1254" spans="1:10">
      <c r="A1254" s="350"/>
      <c r="B1254" s="351"/>
      <c r="C1254" s="391"/>
      <c r="D1254" s="392"/>
      <c r="E1254" s="355"/>
      <c r="F1254" s="392"/>
      <c r="G1254" s="392"/>
      <c r="H1254" s="392"/>
      <c r="I1254" s="393"/>
      <c r="J1254" s="353"/>
    </row>
    <row r="1255" spans="1:10" ht="21">
      <c r="A1255" s="345" t="s">
        <v>1370</v>
      </c>
      <c r="B1255" s="346"/>
      <c r="C1255" s="412">
        <f>C1256+C1257</f>
        <v>75</v>
      </c>
      <c r="D1255" s="412">
        <f t="shared" si="140"/>
        <v>16.5</v>
      </c>
      <c r="E1255" s="412">
        <v>0.09</v>
      </c>
      <c r="F1255" s="412">
        <f t="shared" si="141"/>
        <v>67.5</v>
      </c>
      <c r="G1255" s="412">
        <f>C1255+D1255+E1255+F1255</f>
        <v>159.09</v>
      </c>
      <c r="H1255" s="412">
        <f>G1255*0.35</f>
        <v>55.6815</v>
      </c>
      <c r="I1255" s="413">
        <f>G1255+H1255</f>
        <v>214.7715</v>
      </c>
      <c r="J1255" s="349">
        <f>I1255+I1259+I1258</f>
        <v>253.4085</v>
      </c>
    </row>
    <row r="1256" spans="1:10">
      <c r="A1256" s="350" t="s">
        <v>258</v>
      </c>
      <c r="B1256" s="350">
        <v>50</v>
      </c>
      <c r="C1256" s="391">
        <v>46.5</v>
      </c>
      <c r="D1256" s="392"/>
      <c r="E1256" s="392"/>
      <c r="F1256" s="392"/>
      <c r="G1256" s="392"/>
      <c r="H1256" s="392"/>
      <c r="I1256" s="393"/>
      <c r="J1256" s="353"/>
    </row>
    <row r="1257" spans="1:10">
      <c r="A1257" s="350" t="s">
        <v>337</v>
      </c>
      <c r="B1257" s="350">
        <v>50</v>
      </c>
      <c r="C1257" s="391">
        <v>28.5</v>
      </c>
      <c r="D1257" s="392"/>
      <c r="E1257" s="392"/>
      <c r="F1257" s="392"/>
      <c r="G1257" s="392"/>
      <c r="H1257" s="392"/>
      <c r="I1257" s="393"/>
      <c r="J1257" s="353"/>
    </row>
    <row r="1258" spans="1:10">
      <c r="A1258" s="350" t="s">
        <v>385</v>
      </c>
      <c r="B1258" s="351">
        <v>25</v>
      </c>
      <c r="C1258" s="391">
        <v>13.5</v>
      </c>
      <c r="D1258" s="392">
        <f t="shared" si="140"/>
        <v>2.97</v>
      </c>
      <c r="E1258" s="355"/>
      <c r="F1258" s="392">
        <f t="shared" si="141"/>
        <v>12.15</v>
      </c>
      <c r="G1258" s="392">
        <f>C1258+D1258+E1258+F1258</f>
        <v>28.619999999999997</v>
      </c>
      <c r="H1258" s="392">
        <f>G1258*0.35</f>
        <v>10.016999999999998</v>
      </c>
      <c r="I1258" s="393">
        <f>G1258+H1258</f>
        <v>38.636999999999993</v>
      </c>
      <c r="J1258" s="353"/>
    </row>
    <row r="1259" spans="1:10">
      <c r="A1259" s="350"/>
      <c r="B1259" s="351"/>
      <c r="C1259" s="391"/>
      <c r="D1259" s="392"/>
      <c r="E1259" s="355"/>
      <c r="F1259" s="392"/>
      <c r="G1259" s="392"/>
      <c r="H1259" s="392"/>
      <c r="I1259" s="393"/>
      <c r="J1259" s="353"/>
    </row>
    <row r="1260" spans="1:10" ht="21">
      <c r="A1260" s="345" t="s">
        <v>1371</v>
      </c>
      <c r="B1260" s="346"/>
      <c r="C1260" s="412">
        <f>C1261+C1262</f>
        <v>45</v>
      </c>
      <c r="D1260" s="412">
        <f t="shared" ref="D1260:D1263" si="142">C1260*0.22</f>
        <v>9.9</v>
      </c>
      <c r="E1260" s="412">
        <v>0.09</v>
      </c>
      <c r="F1260" s="412">
        <f t="shared" ref="F1260:F1263" si="143">C1260*0.9</f>
        <v>40.5</v>
      </c>
      <c r="G1260" s="412">
        <f>C1260+D1260+E1260+F1260</f>
        <v>95.490000000000009</v>
      </c>
      <c r="H1260" s="412">
        <f>G1260*0.35</f>
        <v>33.421500000000002</v>
      </c>
      <c r="I1260" s="413">
        <f>G1260+H1260</f>
        <v>128.91150000000002</v>
      </c>
      <c r="J1260" s="349">
        <f>I1260+I1264+I1263</f>
        <v>152.09370000000001</v>
      </c>
    </row>
    <row r="1261" spans="1:10">
      <c r="A1261" s="350" t="s">
        <v>258</v>
      </c>
      <c r="B1261" s="350">
        <v>30</v>
      </c>
      <c r="C1261" s="391">
        <v>27.9</v>
      </c>
      <c r="D1261" s="392"/>
      <c r="E1261" s="392"/>
      <c r="F1261" s="392"/>
      <c r="G1261" s="392"/>
      <c r="H1261" s="392"/>
      <c r="I1261" s="393"/>
      <c r="J1261" s="355"/>
    </row>
    <row r="1262" spans="1:10">
      <c r="A1262" s="350" t="s">
        <v>337</v>
      </c>
      <c r="B1262" s="350">
        <v>30</v>
      </c>
      <c r="C1262" s="391">
        <v>17.100000000000001</v>
      </c>
      <c r="D1262" s="392"/>
      <c r="E1262" s="392"/>
      <c r="F1262" s="392"/>
      <c r="G1262" s="392"/>
      <c r="H1262" s="392"/>
      <c r="I1262" s="393"/>
      <c r="J1262" s="355"/>
    </row>
    <row r="1263" spans="1:10">
      <c r="A1263" s="350" t="s">
        <v>385</v>
      </c>
      <c r="B1263" s="351">
        <v>15</v>
      </c>
      <c r="C1263" s="391">
        <v>8.1</v>
      </c>
      <c r="D1263" s="392">
        <f t="shared" si="142"/>
        <v>1.782</v>
      </c>
      <c r="E1263" s="355"/>
      <c r="F1263" s="392">
        <f t="shared" si="143"/>
        <v>7.29</v>
      </c>
      <c r="G1263" s="392">
        <f>C1263+D1263+E1263+F1263</f>
        <v>17.172000000000001</v>
      </c>
      <c r="H1263" s="392">
        <f>G1263*0.35</f>
        <v>6.0102000000000002</v>
      </c>
      <c r="I1263" s="393">
        <f>G1263+H1263</f>
        <v>23.182200000000002</v>
      </c>
      <c r="J1263" s="355"/>
    </row>
    <row r="1264" spans="1:10">
      <c r="A1264" s="350"/>
      <c r="B1264" s="351"/>
      <c r="C1264" s="391"/>
      <c r="D1264" s="392"/>
      <c r="E1264" s="355"/>
      <c r="F1264" s="392"/>
      <c r="G1264" s="392"/>
      <c r="H1264" s="392"/>
      <c r="I1264" s="393"/>
      <c r="J1264" s="355"/>
    </row>
    <row r="1265" spans="1:10" ht="12.75">
      <c r="A1265" s="415" t="s">
        <v>1372</v>
      </c>
      <c r="B1265" s="416"/>
      <c r="C1265" s="416"/>
      <c r="D1265" s="416"/>
      <c r="E1265" s="416"/>
      <c r="F1265" s="416"/>
      <c r="G1265" s="416"/>
      <c r="H1265" s="416"/>
      <c r="I1265" s="417"/>
      <c r="J1265" s="355"/>
    </row>
    <row r="1266" spans="1:10" ht="21">
      <c r="A1266" s="345" t="s">
        <v>1373</v>
      </c>
      <c r="B1266" s="356"/>
      <c r="C1266" s="412">
        <f>C1267+C1268</f>
        <v>12.100000000000001</v>
      </c>
      <c r="D1266" s="412">
        <f t="shared" ref="D1266" si="144">C1266*0.22</f>
        <v>2.6620000000000004</v>
      </c>
      <c r="E1266" s="412">
        <v>0.09</v>
      </c>
      <c r="F1266" s="412">
        <f t="shared" ref="F1266" si="145">C1266*0.9</f>
        <v>10.890000000000002</v>
      </c>
      <c r="G1266" s="412">
        <f>C1266+D1266+E1266+F1266</f>
        <v>25.742000000000004</v>
      </c>
      <c r="H1266" s="412">
        <f>G1266*0.35</f>
        <v>9.0097000000000005</v>
      </c>
      <c r="I1266" s="413">
        <f>G1266+H1266</f>
        <v>34.751700000000007</v>
      </c>
      <c r="J1266" s="349">
        <f>I1266+I1269</f>
        <v>41.048100000000005</v>
      </c>
    </row>
    <row r="1267" spans="1:10">
      <c r="A1267" s="350" t="s">
        <v>258</v>
      </c>
      <c r="B1267" s="360">
        <v>10</v>
      </c>
      <c r="C1267" s="391">
        <v>6.4</v>
      </c>
      <c r="D1267" s="392"/>
      <c r="E1267" s="360"/>
      <c r="F1267" s="392"/>
      <c r="G1267" s="392"/>
      <c r="H1267" s="392"/>
      <c r="I1267" s="393"/>
      <c r="J1267" s="353"/>
    </row>
    <row r="1268" spans="1:10">
      <c r="A1268" s="350" t="s">
        <v>337</v>
      </c>
      <c r="B1268" s="360">
        <v>10</v>
      </c>
      <c r="C1268" s="391">
        <v>5.7</v>
      </c>
      <c r="D1268" s="392"/>
      <c r="E1268" s="360"/>
      <c r="F1268" s="392"/>
      <c r="G1268" s="392"/>
      <c r="H1268" s="392"/>
      <c r="I1268" s="393"/>
      <c r="J1268" s="353"/>
    </row>
    <row r="1269" spans="1:10">
      <c r="A1269" s="350" t="s">
        <v>385</v>
      </c>
      <c r="B1269" s="351">
        <v>5</v>
      </c>
      <c r="C1269" s="391">
        <v>2.7</v>
      </c>
      <c r="D1269" s="392">
        <v>0.48400000000000004</v>
      </c>
      <c r="E1269" s="355"/>
      <c r="F1269" s="392">
        <v>1.9800000000000002</v>
      </c>
      <c r="G1269" s="392">
        <v>4.6640000000000006</v>
      </c>
      <c r="H1269" s="392">
        <v>1.6324000000000001</v>
      </c>
      <c r="I1269" s="393">
        <v>6.2964000000000002</v>
      </c>
      <c r="J1269" s="353"/>
    </row>
    <row r="1270" spans="1:10">
      <c r="A1270" s="350"/>
      <c r="B1270" s="351"/>
      <c r="C1270" s="391"/>
      <c r="D1270" s="392"/>
      <c r="E1270" s="355"/>
      <c r="F1270" s="392"/>
      <c r="G1270" s="392"/>
      <c r="H1270" s="392"/>
      <c r="I1270" s="393"/>
      <c r="J1270" s="353"/>
    </row>
    <row r="1271" spans="1:10" ht="21">
      <c r="A1271" s="345" t="s">
        <v>1374</v>
      </c>
      <c r="B1271" s="356"/>
      <c r="C1271" s="412">
        <f>C1272+C1273</f>
        <v>24.200000000000003</v>
      </c>
      <c r="D1271" s="412">
        <f t="shared" ref="D1271" si="146">C1271*0.22</f>
        <v>5.3240000000000007</v>
      </c>
      <c r="E1271" s="412">
        <v>0.09</v>
      </c>
      <c r="F1271" s="412">
        <f t="shared" ref="F1271" si="147">C1271*0.9</f>
        <v>21.780000000000005</v>
      </c>
      <c r="G1271" s="412">
        <f>C1271+D1271+E1271+F1271</f>
        <v>51.394000000000005</v>
      </c>
      <c r="H1271" s="412">
        <f>G1271*0.35</f>
        <v>17.9879</v>
      </c>
      <c r="I1271" s="413">
        <f>G1271+H1271</f>
        <v>69.381900000000002</v>
      </c>
      <c r="J1271" s="349">
        <f>I1271+I1274</f>
        <v>81.974699999999999</v>
      </c>
    </row>
    <row r="1272" spans="1:10">
      <c r="A1272" s="350" t="s">
        <v>258</v>
      </c>
      <c r="B1272" s="360">
        <v>20</v>
      </c>
      <c r="C1272" s="391">
        <v>12.8</v>
      </c>
      <c r="D1272" s="392"/>
      <c r="E1272" s="360"/>
      <c r="F1272" s="392"/>
      <c r="G1272" s="392"/>
      <c r="H1272" s="392"/>
      <c r="I1272" s="393"/>
      <c r="J1272" s="380"/>
    </row>
    <row r="1273" spans="1:10">
      <c r="A1273" s="350" t="s">
        <v>337</v>
      </c>
      <c r="B1273" s="360">
        <v>20</v>
      </c>
      <c r="C1273" s="391">
        <v>11.4</v>
      </c>
      <c r="D1273" s="392"/>
      <c r="E1273" s="360"/>
      <c r="F1273" s="392"/>
      <c r="G1273" s="392"/>
      <c r="H1273" s="392"/>
      <c r="I1273" s="393"/>
      <c r="J1273" s="380"/>
    </row>
    <row r="1274" spans="1:10">
      <c r="A1274" s="350" t="s">
        <v>385</v>
      </c>
      <c r="B1274" s="351">
        <v>10</v>
      </c>
      <c r="C1274" s="391">
        <v>5.4</v>
      </c>
      <c r="D1274" s="392">
        <v>0.96800000000000008</v>
      </c>
      <c r="E1274" s="355"/>
      <c r="F1274" s="392">
        <v>3.9600000000000004</v>
      </c>
      <c r="G1274" s="392">
        <v>9.3280000000000012</v>
      </c>
      <c r="H1274" s="392">
        <v>3.2648000000000001</v>
      </c>
      <c r="I1274" s="393">
        <v>12.5928</v>
      </c>
      <c r="J1274" s="380"/>
    </row>
    <row r="1275" spans="1:10">
      <c r="A1275" s="350"/>
      <c r="B1275" s="351"/>
      <c r="C1275" s="391"/>
      <c r="D1275" s="392"/>
      <c r="E1275" s="355"/>
      <c r="F1275" s="392"/>
      <c r="G1275" s="392"/>
      <c r="H1275" s="392"/>
      <c r="I1275" s="393"/>
      <c r="J1275" s="380"/>
    </row>
    <row r="1276" spans="1:10" ht="21">
      <c r="A1276" s="345" t="s">
        <v>1375</v>
      </c>
      <c r="B1276" s="356"/>
      <c r="C1276" s="412">
        <f>C1277+C1278</f>
        <v>24.200000000000003</v>
      </c>
      <c r="D1276" s="412">
        <f t="shared" ref="D1276" si="148">C1276*0.22</f>
        <v>5.3240000000000007</v>
      </c>
      <c r="E1276" s="412">
        <v>0.09</v>
      </c>
      <c r="F1276" s="412">
        <f t="shared" ref="F1276" si="149">C1276*0.9</f>
        <v>21.780000000000005</v>
      </c>
      <c r="G1276" s="412">
        <f>C1276+D1276+E1276+F1276</f>
        <v>51.394000000000005</v>
      </c>
      <c r="H1276" s="412">
        <f>G1276*0.35</f>
        <v>17.9879</v>
      </c>
      <c r="I1276" s="413">
        <f>G1276+H1276</f>
        <v>69.381900000000002</v>
      </c>
      <c r="J1276" s="349">
        <f t="shared" ref="J1276" si="150">I1276+I1279</f>
        <v>81.974699999999999</v>
      </c>
    </row>
    <row r="1277" spans="1:10">
      <c r="A1277" s="350" t="s">
        <v>258</v>
      </c>
      <c r="B1277" s="360">
        <v>20</v>
      </c>
      <c r="C1277" s="391">
        <v>12.8</v>
      </c>
      <c r="D1277" s="392"/>
      <c r="E1277" s="360"/>
      <c r="F1277" s="392"/>
      <c r="G1277" s="392"/>
      <c r="H1277" s="392"/>
      <c r="I1277" s="393"/>
      <c r="J1277" s="379"/>
    </row>
    <row r="1278" spans="1:10">
      <c r="A1278" s="350" t="s">
        <v>337</v>
      </c>
      <c r="B1278" s="360">
        <v>20</v>
      </c>
      <c r="C1278" s="391">
        <v>11.4</v>
      </c>
      <c r="D1278" s="392"/>
      <c r="E1278" s="360"/>
      <c r="F1278" s="392"/>
      <c r="G1278" s="392"/>
      <c r="H1278" s="392"/>
      <c r="I1278" s="393"/>
      <c r="J1278" s="379"/>
    </row>
    <row r="1279" spans="1:10">
      <c r="A1279" s="350" t="s">
        <v>385</v>
      </c>
      <c r="B1279" s="351">
        <v>10</v>
      </c>
      <c r="C1279" s="391">
        <v>5.4</v>
      </c>
      <c r="D1279" s="392">
        <v>0.96800000000000008</v>
      </c>
      <c r="E1279" s="355"/>
      <c r="F1279" s="392">
        <v>3.9600000000000004</v>
      </c>
      <c r="G1279" s="392">
        <v>9.3280000000000012</v>
      </c>
      <c r="H1279" s="392">
        <v>3.2648000000000001</v>
      </c>
      <c r="I1279" s="393">
        <v>12.5928</v>
      </c>
      <c r="J1279" s="379"/>
    </row>
    <row r="1280" spans="1:10">
      <c r="A1280" s="350"/>
      <c r="B1280" s="351"/>
      <c r="C1280" s="391"/>
      <c r="D1280" s="392"/>
      <c r="E1280" s="355"/>
      <c r="F1280" s="392"/>
      <c r="G1280" s="392"/>
      <c r="H1280" s="392"/>
      <c r="I1280" s="393"/>
      <c r="J1280" s="379"/>
    </row>
    <row r="1281" spans="1:10" ht="12.75">
      <c r="A1281" s="369" t="s">
        <v>1376</v>
      </c>
      <c r="B1281" s="369"/>
      <c r="C1281" s="369"/>
      <c r="D1281" s="369"/>
      <c r="E1281" s="369"/>
      <c r="F1281" s="369"/>
      <c r="G1281" s="369"/>
      <c r="H1281" s="369"/>
      <c r="I1281" s="369"/>
      <c r="J1281" s="370"/>
    </row>
    <row r="1282" spans="1:10">
      <c r="A1282" s="358" t="s">
        <v>1377</v>
      </c>
      <c r="B1282" s="359"/>
      <c r="C1282" s="412">
        <f>C1283+C1284</f>
        <v>24</v>
      </c>
      <c r="D1282" s="412">
        <f t="shared" ref="D1282" si="151">C1282*0.22</f>
        <v>5.28</v>
      </c>
      <c r="E1282" s="412">
        <v>4.09</v>
      </c>
      <c r="F1282" s="412">
        <f t="shared" ref="F1282" si="152">C1282*0.9</f>
        <v>21.6</v>
      </c>
      <c r="G1282" s="412">
        <f>C1282+D1282+E1282+F1282</f>
        <v>54.970000000000006</v>
      </c>
      <c r="H1282" s="412">
        <f>G1282*0.35</f>
        <v>19.2395</v>
      </c>
      <c r="I1282" s="413">
        <f>G1282+H1282</f>
        <v>74.209500000000006</v>
      </c>
      <c r="J1282" s="349">
        <f>I1282+I1285+I1676</f>
        <v>97.391700000000014</v>
      </c>
    </row>
    <row r="1283" spans="1:10">
      <c r="A1283" s="360" t="s">
        <v>258</v>
      </c>
      <c r="B1283" s="360">
        <v>20</v>
      </c>
      <c r="C1283" s="391">
        <v>12.6</v>
      </c>
      <c r="D1283" s="392"/>
      <c r="E1283" s="360"/>
      <c r="F1283" s="392"/>
      <c r="G1283" s="392"/>
      <c r="H1283" s="392"/>
      <c r="I1283" s="393"/>
      <c r="J1283" s="353"/>
    </row>
    <row r="1284" spans="1:10">
      <c r="A1284" s="360" t="s">
        <v>337</v>
      </c>
      <c r="B1284" s="360">
        <v>20</v>
      </c>
      <c r="C1284" s="391">
        <v>11.4</v>
      </c>
      <c r="D1284" s="392"/>
      <c r="E1284" s="360"/>
      <c r="F1284" s="392"/>
      <c r="G1284" s="392"/>
      <c r="H1284" s="392"/>
      <c r="I1284" s="393"/>
      <c r="J1284" s="353"/>
    </row>
    <row r="1285" spans="1:10">
      <c r="A1285" s="350" t="s">
        <v>385</v>
      </c>
      <c r="B1285" s="351">
        <v>15</v>
      </c>
      <c r="C1285" s="391">
        <v>8.1</v>
      </c>
      <c r="D1285" s="392">
        <f>C1285*0.22</f>
        <v>1.782</v>
      </c>
      <c r="E1285" s="355"/>
      <c r="F1285" s="392">
        <f>C1285*0.9</f>
        <v>7.29</v>
      </c>
      <c r="G1285" s="392">
        <f>C1285+D1285+E1285+F1285</f>
        <v>17.172000000000001</v>
      </c>
      <c r="H1285" s="392">
        <f>G1285*0.35</f>
        <v>6.0102000000000002</v>
      </c>
      <c r="I1285" s="393">
        <f>G1285+H1285</f>
        <v>23.182200000000002</v>
      </c>
      <c r="J1285" s="353"/>
    </row>
    <row r="1286" spans="1:10" ht="14.25">
      <c r="A1286" s="418"/>
      <c r="B1286" s="418"/>
      <c r="C1286" s="418"/>
      <c r="D1286" s="418"/>
      <c r="E1286" s="418"/>
      <c r="F1286" s="418"/>
      <c r="G1286" s="418"/>
      <c r="H1286" s="418"/>
      <c r="I1286" s="418"/>
      <c r="J1286" s="419"/>
    </row>
    <row r="1287" spans="1:10">
      <c r="A1287" s="358" t="s">
        <v>991</v>
      </c>
      <c r="B1287" s="359"/>
      <c r="C1287" s="412">
        <f>C1288+C1289</f>
        <v>36</v>
      </c>
      <c r="D1287" s="412">
        <f t="shared" ref="D1287" si="153">C1287*0.22</f>
        <v>7.92</v>
      </c>
      <c r="E1287" s="412">
        <v>140.05000000000001</v>
      </c>
      <c r="F1287" s="412">
        <f t="shared" ref="F1287" si="154">C1287*0.9</f>
        <v>32.4</v>
      </c>
      <c r="G1287" s="412">
        <f>C1287+D1287+E1287+F1287</f>
        <v>216.37000000000003</v>
      </c>
      <c r="H1287" s="412">
        <f>G1287*0.35</f>
        <v>75.729500000000002</v>
      </c>
      <c r="I1287" s="413">
        <f>G1287+H1287</f>
        <v>292.09950000000003</v>
      </c>
      <c r="J1287" s="349">
        <f>I1287+I1290</f>
        <v>315.28170000000006</v>
      </c>
    </row>
    <row r="1288" spans="1:10">
      <c r="A1288" s="360" t="s">
        <v>258</v>
      </c>
      <c r="B1288" s="360">
        <v>30</v>
      </c>
      <c r="C1288" s="391">
        <v>18.899999999999999</v>
      </c>
      <c r="D1288" s="392"/>
      <c r="E1288" s="360"/>
      <c r="F1288" s="392"/>
      <c r="G1288" s="392"/>
      <c r="H1288" s="392"/>
      <c r="I1288" s="393"/>
      <c r="J1288" s="353"/>
    </row>
    <row r="1289" spans="1:10">
      <c r="A1289" s="360" t="s">
        <v>337</v>
      </c>
      <c r="B1289" s="360">
        <v>30</v>
      </c>
      <c r="C1289" s="391">
        <v>17.100000000000001</v>
      </c>
      <c r="D1289" s="392"/>
      <c r="E1289" s="360"/>
      <c r="F1289" s="392"/>
      <c r="G1289" s="392"/>
      <c r="H1289" s="392"/>
      <c r="I1289" s="393"/>
      <c r="J1289" s="353"/>
    </row>
    <row r="1290" spans="1:10">
      <c r="A1290" s="350" t="s">
        <v>385</v>
      </c>
      <c r="B1290" s="351">
        <v>15</v>
      </c>
      <c r="C1290" s="391">
        <v>8.1</v>
      </c>
      <c r="D1290" s="392">
        <f>C1290*0.22</f>
        <v>1.782</v>
      </c>
      <c r="E1290" s="355"/>
      <c r="F1290" s="392">
        <f>C1290*0.9</f>
        <v>7.29</v>
      </c>
      <c r="G1290" s="392">
        <f>C1290+D1290+E1290+F1290</f>
        <v>17.172000000000001</v>
      </c>
      <c r="H1290" s="392">
        <f>G1290*0.35</f>
        <v>6.0102000000000002</v>
      </c>
      <c r="I1290" s="393">
        <f>G1290+H1290</f>
        <v>23.182200000000002</v>
      </c>
      <c r="J1290" s="353"/>
    </row>
    <row r="1291" spans="1:10">
      <c r="A1291" s="350"/>
      <c r="B1291" s="351"/>
      <c r="C1291" s="391"/>
      <c r="D1291" s="392"/>
      <c r="E1291" s="355"/>
      <c r="F1291" s="392"/>
      <c r="G1291" s="392"/>
      <c r="H1291" s="392"/>
      <c r="I1291" s="393"/>
      <c r="J1291" s="353"/>
    </row>
    <row r="1292" spans="1:10">
      <c r="A1292" s="358" t="s">
        <v>1378</v>
      </c>
      <c r="B1292" s="359"/>
      <c r="C1292" s="412">
        <f>C1293+C1294</f>
        <v>36</v>
      </c>
      <c r="D1292" s="412">
        <f t="shared" ref="D1292" si="155">C1292*0.22</f>
        <v>7.92</v>
      </c>
      <c r="E1292" s="412">
        <v>15.3</v>
      </c>
      <c r="F1292" s="412">
        <f t="shared" ref="F1292" si="156">C1292*0.9</f>
        <v>32.4</v>
      </c>
      <c r="G1292" s="412">
        <f>C1292+D1292+E1292+F1292</f>
        <v>91.62</v>
      </c>
      <c r="H1292" s="412">
        <f>G1292*0.35</f>
        <v>32.067</v>
      </c>
      <c r="I1292" s="413">
        <f>G1292+H1292</f>
        <v>123.68700000000001</v>
      </c>
      <c r="J1292" s="349">
        <f>I1292+I1295</f>
        <v>146.86920000000001</v>
      </c>
    </row>
    <row r="1293" spans="1:10">
      <c r="A1293" s="360" t="s">
        <v>258</v>
      </c>
      <c r="B1293" s="360">
        <v>30</v>
      </c>
      <c r="C1293" s="391">
        <v>18.899999999999999</v>
      </c>
      <c r="D1293" s="392"/>
      <c r="E1293" s="360"/>
      <c r="F1293" s="392"/>
      <c r="G1293" s="392"/>
      <c r="H1293" s="392"/>
      <c r="I1293" s="393"/>
      <c r="J1293" s="353"/>
    </row>
    <row r="1294" spans="1:10">
      <c r="A1294" s="360" t="s">
        <v>337</v>
      </c>
      <c r="B1294" s="360">
        <v>30</v>
      </c>
      <c r="C1294" s="391">
        <v>17.100000000000001</v>
      </c>
      <c r="D1294" s="392"/>
      <c r="E1294" s="360"/>
      <c r="F1294" s="392"/>
      <c r="G1294" s="392"/>
      <c r="H1294" s="392"/>
      <c r="I1294" s="393"/>
      <c r="J1294" s="353"/>
    </row>
    <row r="1295" spans="1:10">
      <c r="A1295" s="350" t="s">
        <v>385</v>
      </c>
      <c r="B1295" s="351">
        <v>15</v>
      </c>
      <c r="C1295" s="391">
        <v>8.1</v>
      </c>
      <c r="D1295" s="392">
        <f>C1295*0.22</f>
        <v>1.782</v>
      </c>
      <c r="E1295" s="355"/>
      <c r="F1295" s="392">
        <f>C1295*0.9</f>
        <v>7.29</v>
      </c>
      <c r="G1295" s="392">
        <f>C1295+D1295+E1295+F1295</f>
        <v>17.172000000000001</v>
      </c>
      <c r="H1295" s="392">
        <f>G1295*0.35</f>
        <v>6.0102000000000002</v>
      </c>
      <c r="I1295" s="393">
        <f>G1295+H1295</f>
        <v>23.182200000000002</v>
      </c>
      <c r="J1295" s="353"/>
    </row>
    <row r="1296" spans="1:10">
      <c r="A1296" s="350"/>
      <c r="B1296" s="351"/>
      <c r="C1296" s="391"/>
      <c r="D1296" s="392"/>
      <c r="E1296" s="355"/>
      <c r="F1296" s="392"/>
      <c r="G1296" s="392"/>
      <c r="H1296" s="392"/>
      <c r="I1296" s="393"/>
      <c r="J1296" s="353"/>
    </row>
    <row r="1297" spans="1:10" ht="21.75">
      <c r="A1297" s="373" t="s">
        <v>1379</v>
      </c>
      <c r="B1297" s="359"/>
      <c r="C1297" s="412">
        <f>C1298+C1299</f>
        <v>36</v>
      </c>
      <c r="D1297" s="412">
        <f t="shared" ref="D1297" si="157">C1297*0.22</f>
        <v>7.92</v>
      </c>
      <c r="E1297" s="412">
        <v>70.3</v>
      </c>
      <c r="F1297" s="412">
        <f t="shared" ref="F1297" si="158">C1297*0.9</f>
        <v>32.4</v>
      </c>
      <c r="G1297" s="412">
        <f>C1297+D1297+E1297+F1297</f>
        <v>146.62</v>
      </c>
      <c r="H1297" s="412">
        <f>G1297*0.35</f>
        <v>51.317</v>
      </c>
      <c r="I1297" s="413">
        <f>G1297+H1297</f>
        <v>197.93700000000001</v>
      </c>
      <c r="J1297" s="349">
        <f>I1297+I1300+I1681</f>
        <v>221.11920000000001</v>
      </c>
    </row>
    <row r="1298" spans="1:10">
      <c r="A1298" s="360" t="s">
        <v>258</v>
      </c>
      <c r="B1298" s="360">
        <v>30</v>
      </c>
      <c r="C1298" s="391">
        <v>18.899999999999999</v>
      </c>
      <c r="D1298" s="392"/>
      <c r="E1298" s="360"/>
      <c r="F1298" s="392"/>
      <c r="G1298" s="392"/>
      <c r="H1298" s="392"/>
      <c r="I1298" s="393"/>
      <c r="J1298" s="353"/>
    </row>
    <row r="1299" spans="1:10">
      <c r="A1299" s="360" t="s">
        <v>337</v>
      </c>
      <c r="B1299" s="360">
        <v>30</v>
      </c>
      <c r="C1299" s="391">
        <v>17.100000000000001</v>
      </c>
      <c r="D1299" s="392"/>
      <c r="E1299" s="360"/>
      <c r="F1299" s="392"/>
      <c r="G1299" s="392"/>
      <c r="H1299" s="392"/>
      <c r="I1299" s="393"/>
      <c r="J1299" s="353"/>
    </row>
    <row r="1300" spans="1:10">
      <c r="A1300" s="350" t="s">
        <v>385</v>
      </c>
      <c r="B1300" s="351">
        <v>15</v>
      </c>
      <c r="C1300" s="391">
        <v>8.1</v>
      </c>
      <c r="D1300" s="392">
        <f>C1300*0.22</f>
        <v>1.782</v>
      </c>
      <c r="E1300" s="355"/>
      <c r="F1300" s="392">
        <f>C1300*0.9</f>
        <v>7.29</v>
      </c>
      <c r="G1300" s="392">
        <f>C1300+D1300+E1300+F1300</f>
        <v>17.172000000000001</v>
      </c>
      <c r="H1300" s="392">
        <f>G1300*0.35</f>
        <v>6.0102000000000002</v>
      </c>
      <c r="I1300" s="393">
        <f>G1300+H1300</f>
        <v>23.182200000000002</v>
      </c>
      <c r="J1300" s="353"/>
    </row>
    <row r="1301" spans="1:10">
      <c r="A1301" s="350"/>
      <c r="B1301" s="351"/>
      <c r="C1301" s="391"/>
      <c r="D1301" s="392"/>
      <c r="E1301" s="355"/>
      <c r="F1301" s="392"/>
      <c r="G1301" s="392"/>
      <c r="H1301" s="392"/>
      <c r="I1301" s="393"/>
      <c r="J1301" s="353"/>
    </row>
    <row r="1302" spans="1:10" ht="21.75">
      <c r="A1302" s="373" t="s">
        <v>1380</v>
      </c>
      <c r="B1302" s="359"/>
      <c r="C1302" s="412">
        <f>C1303+C1304</f>
        <v>36</v>
      </c>
      <c r="D1302" s="412">
        <f t="shared" ref="D1302" si="159">C1302*0.22</f>
        <v>7.92</v>
      </c>
      <c r="E1302" s="412">
        <v>9.25</v>
      </c>
      <c r="F1302" s="412">
        <f t="shared" ref="F1302" si="160">C1302*0.9</f>
        <v>32.4</v>
      </c>
      <c r="G1302" s="412">
        <f>C1302+D1302+E1302+F1302</f>
        <v>85.57</v>
      </c>
      <c r="H1302" s="412">
        <f>G1302*0.35</f>
        <v>29.949499999999997</v>
      </c>
      <c r="I1302" s="413">
        <f>G1302+H1302</f>
        <v>115.51949999999999</v>
      </c>
      <c r="J1302" s="349">
        <f>I1302+I1305+I1686</f>
        <v>138.70169999999999</v>
      </c>
    </row>
    <row r="1303" spans="1:10">
      <c r="A1303" s="360" t="s">
        <v>258</v>
      </c>
      <c r="B1303" s="360">
        <v>30</v>
      </c>
      <c r="C1303" s="391">
        <v>18.899999999999999</v>
      </c>
      <c r="D1303" s="392"/>
      <c r="E1303" s="360"/>
      <c r="F1303" s="392"/>
      <c r="G1303" s="392"/>
      <c r="H1303" s="392"/>
      <c r="I1303" s="393"/>
      <c r="J1303" s="353"/>
    </row>
    <row r="1304" spans="1:10">
      <c r="A1304" s="360" t="s">
        <v>337</v>
      </c>
      <c r="B1304" s="360">
        <v>30</v>
      </c>
      <c r="C1304" s="391">
        <v>17.100000000000001</v>
      </c>
      <c r="D1304" s="392"/>
      <c r="E1304" s="360"/>
      <c r="F1304" s="392"/>
      <c r="G1304" s="392"/>
      <c r="H1304" s="392"/>
      <c r="I1304" s="393"/>
      <c r="J1304" s="353"/>
    </row>
    <row r="1305" spans="1:10">
      <c r="A1305" s="350" t="s">
        <v>385</v>
      </c>
      <c r="B1305" s="351">
        <v>15</v>
      </c>
      <c r="C1305" s="391">
        <v>8.1</v>
      </c>
      <c r="D1305" s="392">
        <f>C1305*0.22</f>
        <v>1.782</v>
      </c>
      <c r="E1305" s="355"/>
      <c r="F1305" s="392">
        <f>C1305*0.9</f>
        <v>7.29</v>
      </c>
      <c r="G1305" s="392">
        <f>C1305+D1305+E1305+F1305</f>
        <v>17.172000000000001</v>
      </c>
      <c r="H1305" s="392">
        <f>G1305*0.35</f>
        <v>6.0102000000000002</v>
      </c>
      <c r="I1305" s="393">
        <f>G1305+H1305</f>
        <v>23.182200000000002</v>
      </c>
      <c r="J1305" s="353"/>
    </row>
    <row r="1306" spans="1:10">
      <c r="A1306" s="350"/>
      <c r="B1306" s="351"/>
      <c r="C1306" s="391"/>
      <c r="D1306" s="392"/>
      <c r="E1306" s="355"/>
      <c r="F1306" s="392"/>
      <c r="G1306" s="392"/>
      <c r="H1306" s="392"/>
      <c r="I1306" s="393"/>
      <c r="J1306" s="353"/>
    </row>
    <row r="1307" spans="1:10">
      <c r="A1307" s="373" t="s">
        <v>1381</v>
      </c>
      <c r="B1307" s="359"/>
      <c r="C1307" s="412">
        <f>C1308+C1309</f>
        <v>36</v>
      </c>
      <c r="D1307" s="412">
        <f t="shared" ref="D1307" si="161">C1307*0.22</f>
        <v>7.92</v>
      </c>
      <c r="E1307" s="412">
        <v>4.09</v>
      </c>
      <c r="F1307" s="412">
        <f t="shared" ref="F1307" si="162">C1307*0.9</f>
        <v>32.4</v>
      </c>
      <c r="G1307" s="412">
        <f>C1307+D1307+E1307+F1307</f>
        <v>80.41</v>
      </c>
      <c r="H1307" s="412">
        <f>G1307*0.35</f>
        <v>28.143499999999996</v>
      </c>
      <c r="I1307" s="413">
        <f>G1307+H1307</f>
        <v>108.55349999999999</v>
      </c>
      <c r="J1307" s="349">
        <f>I1307+I1310+I1691</f>
        <v>131.73569999999998</v>
      </c>
    </row>
    <row r="1308" spans="1:10">
      <c r="A1308" s="360" t="s">
        <v>258</v>
      </c>
      <c r="B1308" s="360">
        <v>30</v>
      </c>
      <c r="C1308" s="391">
        <v>18.899999999999999</v>
      </c>
      <c r="D1308" s="392"/>
      <c r="E1308" s="360"/>
      <c r="F1308" s="392"/>
      <c r="G1308" s="392"/>
      <c r="H1308" s="392"/>
      <c r="I1308" s="393"/>
      <c r="J1308" s="353"/>
    </row>
    <row r="1309" spans="1:10">
      <c r="A1309" s="360" t="s">
        <v>337</v>
      </c>
      <c r="B1309" s="360">
        <v>30</v>
      </c>
      <c r="C1309" s="391">
        <v>17.100000000000001</v>
      </c>
      <c r="D1309" s="392"/>
      <c r="E1309" s="360"/>
      <c r="F1309" s="392"/>
      <c r="G1309" s="392"/>
      <c r="H1309" s="392"/>
      <c r="I1309" s="393"/>
      <c r="J1309" s="353"/>
    </row>
    <row r="1310" spans="1:10">
      <c r="A1310" s="350" t="s">
        <v>385</v>
      </c>
      <c r="B1310" s="351">
        <v>15</v>
      </c>
      <c r="C1310" s="391">
        <v>8.1</v>
      </c>
      <c r="D1310" s="392">
        <f>C1310*0.22</f>
        <v>1.782</v>
      </c>
      <c r="E1310" s="355"/>
      <c r="F1310" s="392">
        <f>C1310*0.9</f>
        <v>7.29</v>
      </c>
      <c r="G1310" s="392">
        <f>C1310+D1310+E1310+F1310</f>
        <v>17.172000000000001</v>
      </c>
      <c r="H1310" s="392">
        <f>G1310*0.35</f>
        <v>6.0102000000000002</v>
      </c>
      <c r="I1310" s="393">
        <f>G1310+H1310</f>
        <v>23.182200000000002</v>
      </c>
      <c r="J1310" s="353"/>
    </row>
    <row r="1311" spans="1:10">
      <c r="A1311" s="350"/>
      <c r="B1311" s="351"/>
      <c r="C1311" s="391"/>
      <c r="D1311" s="392"/>
      <c r="E1311" s="355"/>
      <c r="F1311" s="392"/>
      <c r="G1311" s="392"/>
      <c r="H1311" s="392"/>
      <c r="I1311" s="393"/>
      <c r="J1311" s="353"/>
    </row>
    <row r="1312" spans="1:10" ht="21.75">
      <c r="A1312" s="373" t="s">
        <v>1382</v>
      </c>
      <c r="B1312" s="359"/>
      <c r="C1312" s="412">
        <f>C1313+C1314</f>
        <v>48</v>
      </c>
      <c r="D1312" s="412">
        <f t="shared" ref="D1312" si="163">C1312*0.22</f>
        <v>10.56</v>
      </c>
      <c r="E1312" s="412">
        <v>169.51</v>
      </c>
      <c r="F1312" s="412">
        <f t="shared" ref="F1312" si="164">C1312*0.9</f>
        <v>43.2</v>
      </c>
      <c r="G1312" s="412">
        <f>C1312+D1312+E1312+F1312</f>
        <v>271.27</v>
      </c>
      <c r="H1312" s="412">
        <f>G1312*0.35</f>
        <v>94.944499999999991</v>
      </c>
      <c r="I1312" s="413">
        <f>G1312+H1312</f>
        <v>366.21449999999999</v>
      </c>
      <c r="J1312" s="349">
        <f>I1312+I1315</f>
        <v>397.1241</v>
      </c>
    </row>
    <row r="1313" spans="1:12">
      <c r="A1313" s="360" t="s">
        <v>258</v>
      </c>
      <c r="B1313" s="360">
        <v>40</v>
      </c>
      <c r="C1313" s="391">
        <v>25.2</v>
      </c>
      <c r="D1313" s="392"/>
      <c r="E1313" s="360"/>
      <c r="F1313" s="392"/>
      <c r="G1313" s="392"/>
      <c r="H1313" s="392"/>
      <c r="I1313" s="393"/>
      <c r="J1313" s="355"/>
    </row>
    <row r="1314" spans="1:12">
      <c r="A1314" s="360" t="s">
        <v>337</v>
      </c>
      <c r="B1314" s="360">
        <v>40</v>
      </c>
      <c r="C1314" s="391">
        <v>22.8</v>
      </c>
      <c r="D1314" s="392"/>
      <c r="E1314" s="360"/>
      <c r="F1314" s="392"/>
      <c r="G1314" s="392"/>
      <c r="H1314" s="392"/>
      <c r="I1314" s="393"/>
      <c r="J1314" s="355"/>
    </row>
    <row r="1315" spans="1:12">
      <c r="A1315" s="350" t="s">
        <v>385</v>
      </c>
      <c r="B1315" s="351">
        <v>20</v>
      </c>
      <c r="C1315" s="391">
        <v>10.8</v>
      </c>
      <c r="D1315" s="392">
        <f>C1315*0.22</f>
        <v>2.3760000000000003</v>
      </c>
      <c r="E1315" s="355"/>
      <c r="F1315" s="392">
        <f>C1315*0.9</f>
        <v>9.7200000000000006</v>
      </c>
      <c r="G1315" s="392">
        <f>C1315+D1315+E1315+F1315</f>
        <v>22.896000000000001</v>
      </c>
      <c r="H1315" s="392">
        <f>G1315*0.35</f>
        <v>8.0136000000000003</v>
      </c>
      <c r="I1315" s="393">
        <f>G1315+H1315</f>
        <v>30.909600000000001</v>
      </c>
      <c r="J1315" s="355"/>
    </row>
    <row r="1316" spans="1:12">
      <c r="A1316" s="350"/>
      <c r="B1316" s="351"/>
      <c r="C1316" s="391"/>
      <c r="D1316" s="392"/>
      <c r="E1316" s="355"/>
      <c r="F1316" s="392"/>
      <c r="G1316" s="392"/>
      <c r="H1316" s="392"/>
      <c r="I1316" s="393"/>
      <c r="J1316" s="355"/>
    </row>
    <row r="1317" spans="1:12">
      <c r="A1317" s="373" t="s">
        <v>1383</v>
      </c>
      <c r="B1317" s="359"/>
      <c r="C1317" s="412">
        <f>C1318+C1319</f>
        <v>30</v>
      </c>
      <c r="D1317" s="412">
        <f t="shared" ref="D1317" si="165">C1317*0.22</f>
        <v>6.6</v>
      </c>
      <c r="E1317" s="412">
        <v>126.25</v>
      </c>
      <c r="F1317" s="412">
        <f t="shared" ref="F1317" si="166">C1317*0.9</f>
        <v>27</v>
      </c>
      <c r="G1317" s="412">
        <f>C1317+D1317+E1317+F1317</f>
        <v>189.85</v>
      </c>
      <c r="H1317" s="412">
        <f>G1317*0.35</f>
        <v>66.447499999999991</v>
      </c>
      <c r="I1317" s="413">
        <f>G1317+H1317</f>
        <v>256.29750000000001</v>
      </c>
      <c r="J1317" s="349">
        <f>I1317+I1320+I1696</f>
        <v>274.84325999999999</v>
      </c>
    </row>
    <row r="1318" spans="1:12">
      <c r="A1318" s="360" t="s">
        <v>258</v>
      </c>
      <c r="B1318" s="360">
        <v>25</v>
      </c>
      <c r="C1318" s="391">
        <v>15.75</v>
      </c>
      <c r="D1318" s="392"/>
      <c r="E1318" s="360"/>
      <c r="F1318" s="392"/>
      <c r="G1318" s="392"/>
      <c r="H1318" s="392"/>
      <c r="I1318" s="393"/>
      <c r="J1318" s="355"/>
    </row>
    <row r="1319" spans="1:12">
      <c r="A1319" s="360" t="s">
        <v>337</v>
      </c>
      <c r="B1319" s="360">
        <v>25</v>
      </c>
      <c r="C1319" s="391">
        <v>14.25</v>
      </c>
      <c r="D1319" s="392"/>
      <c r="E1319" s="360"/>
      <c r="F1319" s="392"/>
      <c r="G1319" s="392"/>
      <c r="H1319" s="392"/>
      <c r="I1319" s="393"/>
      <c r="J1319" s="355"/>
    </row>
    <row r="1320" spans="1:12">
      <c r="A1320" s="350" t="s">
        <v>385</v>
      </c>
      <c r="B1320" s="351">
        <v>12</v>
      </c>
      <c r="C1320" s="391">
        <v>6.48</v>
      </c>
      <c r="D1320" s="392">
        <f>C1320*0.22</f>
        <v>1.4256000000000002</v>
      </c>
      <c r="E1320" s="355"/>
      <c r="F1320" s="392">
        <f>C1320*0.9</f>
        <v>5.8320000000000007</v>
      </c>
      <c r="G1320" s="392">
        <f>C1320+D1320+E1320+F1320</f>
        <v>13.7376</v>
      </c>
      <c r="H1320" s="392">
        <f>G1320*0.35</f>
        <v>4.80816</v>
      </c>
      <c r="I1320" s="393">
        <f>G1320+H1320</f>
        <v>18.545760000000001</v>
      </c>
      <c r="J1320" s="355"/>
    </row>
    <row r="1321" spans="1:12">
      <c r="A1321" s="350"/>
      <c r="B1321" s="351"/>
      <c r="C1321" s="391"/>
      <c r="D1321" s="392"/>
      <c r="E1321" s="355"/>
      <c r="F1321" s="392"/>
      <c r="G1321" s="392"/>
      <c r="H1321" s="392"/>
      <c r="I1321" s="393"/>
      <c r="J1321" s="355"/>
    </row>
    <row r="1322" spans="1:12" ht="12.75">
      <c r="A1322" s="420" t="s">
        <v>1384</v>
      </c>
      <c r="B1322" s="420"/>
      <c r="C1322" s="420"/>
      <c r="D1322" s="420"/>
      <c r="E1322" s="420"/>
      <c r="F1322" s="420"/>
      <c r="G1322" s="420"/>
      <c r="H1322" s="420"/>
      <c r="I1322" s="420"/>
      <c r="J1322" s="421"/>
    </row>
    <row r="1323" spans="1:12" ht="21.75">
      <c r="A1323" s="373" t="s">
        <v>1385</v>
      </c>
      <c r="B1323" s="384"/>
      <c r="C1323" s="412">
        <v>44.1</v>
      </c>
      <c r="D1323" s="412">
        <f>C1323*0.22</f>
        <v>9.702</v>
      </c>
      <c r="E1323" s="384">
        <v>233.23</v>
      </c>
      <c r="F1323" s="412">
        <f t="shared" ref="F1323" si="167">C1323*0.9</f>
        <v>39.690000000000005</v>
      </c>
      <c r="G1323" s="412">
        <f>C1323+D1323+E1323+F1323</f>
        <v>326.72199999999998</v>
      </c>
      <c r="H1323" s="412">
        <f t="shared" ref="H1323" si="168">G1323*0.35</f>
        <v>114.35269999999998</v>
      </c>
      <c r="I1323" s="413">
        <f>G1323+H1323</f>
        <v>441.07469999999995</v>
      </c>
      <c r="J1323" s="349">
        <f>I1323+I1326+I1327</f>
        <v>471.98429999999996</v>
      </c>
    </row>
    <row r="1324" spans="1:12">
      <c r="A1324" s="422" t="s">
        <v>1386</v>
      </c>
      <c r="B1324" s="423">
        <v>45</v>
      </c>
      <c r="C1324" s="424">
        <v>41.4</v>
      </c>
      <c r="D1324" s="424"/>
      <c r="E1324" s="423"/>
      <c r="F1324" s="424"/>
      <c r="G1324" s="424"/>
      <c r="H1324" s="424"/>
      <c r="I1324" s="425"/>
      <c r="J1324" s="380"/>
      <c r="K1324" s="371"/>
      <c r="L1324" s="371"/>
    </row>
    <row r="1325" spans="1:12">
      <c r="A1325" s="426" t="s">
        <v>1387</v>
      </c>
      <c r="B1325" s="386">
        <v>45</v>
      </c>
      <c r="C1325" s="392">
        <v>25.65</v>
      </c>
      <c r="D1325" s="386"/>
      <c r="E1325" s="386"/>
      <c r="F1325" s="392"/>
      <c r="G1325" s="386"/>
      <c r="H1325" s="392"/>
      <c r="I1325" s="427"/>
      <c r="J1325" s="381"/>
      <c r="K1325" s="371"/>
      <c r="L1325" s="371"/>
    </row>
    <row r="1326" spans="1:12">
      <c r="A1326" s="350" t="s">
        <v>385</v>
      </c>
      <c r="B1326" s="351">
        <v>20</v>
      </c>
      <c r="C1326" s="391">
        <v>10.8</v>
      </c>
      <c r="D1326" s="392">
        <f>C1326*0.22</f>
        <v>2.3760000000000003</v>
      </c>
      <c r="E1326" s="355"/>
      <c r="F1326" s="392">
        <f t="shared" ref="F1326" si="169">C1326*0.9</f>
        <v>9.7200000000000006</v>
      </c>
      <c r="G1326" s="392">
        <f>C1326+D1326+E1326+F1326</f>
        <v>22.896000000000001</v>
      </c>
      <c r="H1326" s="392">
        <f t="shared" ref="H1326" si="170">G1326*0.35</f>
        <v>8.0136000000000003</v>
      </c>
      <c r="I1326" s="393">
        <f>G1326+H1326</f>
        <v>30.909600000000001</v>
      </c>
      <c r="J1326" s="381"/>
      <c r="K1326" s="371"/>
      <c r="L1326" s="371"/>
    </row>
    <row r="1327" spans="1:12">
      <c r="A1327" s="350"/>
      <c r="B1327" s="351"/>
      <c r="C1327" s="391"/>
      <c r="D1327" s="392"/>
      <c r="E1327" s="355"/>
      <c r="F1327" s="392"/>
      <c r="G1327" s="392"/>
      <c r="H1327" s="392"/>
      <c r="I1327" s="393"/>
      <c r="J1327" s="381"/>
      <c r="K1327" s="371"/>
      <c r="L1327" s="371"/>
    </row>
    <row r="1328" spans="1:12" ht="21.75">
      <c r="A1328" s="373" t="s">
        <v>1388</v>
      </c>
      <c r="B1328" s="384"/>
      <c r="C1328" s="412">
        <f>C1329+C1330</f>
        <v>89.4</v>
      </c>
      <c r="D1328" s="412">
        <f>C1328*0.22</f>
        <v>19.668000000000003</v>
      </c>
      <c r="E1328" s="384">
        <v>233.23</v>
      </c>
      <c r="F1328" s="412">
        <f t="shared" ref="F1328" si="171">C1328*0.9</f>
        <v>80.460000000000008</v>
      </c>
      <c r="G1328" s="412">
        <f>C1328+D1328+E1328+F1328</f>
        <v>422.75800000000004</v>
      </c>
      <c r="H1328" s="412">
        <f t="shared" ref="H1328" si="172">G1328*0.35</f>
        <v>147.96530000000001</v>
      </c>
      <c r="I1328" s="413">
        <f>G1328+H1328</f>
        <v>570.72330000000011</v>
      </c>
      <c r="J1328" s="349">
        <f>I1328+I1331+I1332</f>
        <v>617.08770000000015</v>
      </c>
      <c r="K1328" s="371"/>
      <c r="L1328" s="371"/>
    </row>
    <row r="1329" spans="1:12">
      <c r="A1329" s="422" t="s">
        <v>1389</v>
      </c>
      <c r="B1329" s="423">
        <v>60</v>
      </c>
      <c r="C1329" s="424">
        <v>55.2</v>
      </c>
      <c r="D1329" s="424"/>
      <c r="E1329" s="423"/>
      <c r="F1329" s="424"/>
      <c r="G1329" s="424"/>
      <c r="H1329" s="424"/>
      <c r="I1329" s="425"/>
      <c r="J1329" s="380"/>
      <c r="K1329" s="371"/>
      <c r="L1329" s="371"/>
    </row>
    <row r="1330" spans="1:12">
      <c r="A1330" s="426" t="s">
        <v>1387</v>
      </c>
      <c r="B1330" s="386">
        <v>60</v>
      </c>
      <c r="C1330" s="392">
        <v>34.200000000000003</v>
      </c>
      <c r="D1330" s="386"/>
      <c r="E1330" s="386"/>
      <c r="F1330" s="392"/>
      <c r="G1330" s="386"/>
      <c r="H1330" s="392"/>
      <c r="I1330" s="427"/>
      <c r="J1330" s="381"/>
      <c r="K1330" s="371"/>
      <c r="L1330" s="371"/>
    </row>
    <row r="1331" spans="1:12">
      <c r="A1331" s="350" t="s">
        <v>385</v>
      </c>
      <c r="B1331" s="351">
        <v>30</v>
      </c>
      <c r="C1331" s="391">
        <v>16.2</v>
      </c>
      <c r="D1331" s="392">
        <f>C1331*0.22</f>
        <v>3.5640000000000001</v>
      </c>
      <c r="E1331" s="355"/>
      <c r="F1331" s="392">
        <f>C1331*0.9</f>
        <v>14.58</v>
      </c>
      <c r="G1331" s="392">
        <f>C1331+D1331+E1331+F1331</f>
        <v>34.344000000000001</v>
      </c>
      <c r="H1331" s="392">
        <f>G1331*0.35</f>
        <v>12.0204</v>
      </c>
      <c r="I1331" s="393">
        <f>G1331+H1331</f>
        <v>46.364400000000003</v>
      </c>
      <c r="J1331" s="381"/>
      <c r="K1331" s="371"/>
      <c r="L1331" s="371"/>
    </row>
    <row r="1332" spans="1:12">
      <c r="A1332" s="350"/>
      <c r="B1332" s="351"/>
      <c r="C1332" s="391"/>
      <c r="D1332" s="392"/>
      <c r="E1332" s="355"/>
      <c r="F1332" s="392"/>
      <c r="G1332" s="392"/>
      <c r="H1332" s="392"/>
      <c r="I1332" s="393"/>
      <c r="J1332" s="381"/>
      <c r="K1332" s="371"/>
      <c r="L1332" s="371"/>
    </row>
    <row r="1333" spans="1:12">
      <c r="A1333" s="373" t="s">
        <v>1390</v>
      </c>
      <c r="B1333" s="384"/>
      <c r="C1333" s="412">
        <f>C1334+C1335</f>
        <v>15.299999999999999</v>
      </c>
      <c r="D1333" s="412">
        <f>C1333*0.22</f>
        <v>3.3659999999999997</v>
      </c>
      <c r="E1333" s="384">
        <v>54.5</v>
      </c>
      <c r="F1333" s="412">
        <f t="shared" ref="F1333" si="173">C1333*0.9</f>
        <v>13.77</v>
      </c>
      <c r="G1333" s="412">
        <f>C1333+D1333+E1333+F1333</f>
        <v>86.935999999999993</v>
      </c>
      <c r="H1333" s="412">
        <f t="shared" ref="H1333" si="174">G1333*0.35</f>
        <v>30.427599999999995</v>
      </c>
      <c r="I1333" s="413">
        <f>G1333+H1333</f>
        <v>117.36359999999999</v>
      </c>
      <c r="J1333" s="349">
        <f>I1333+I1336+I1337</f>
        <v>125.09099999999999</v>
      </c>
      <c r="K1333" s="371"/>
      <c r="L1333" s="371"/>
    </row>
    <row r="1334" spans="1:12">
      <c r="A1334" s="422" t="s">
        <v>1386</v>
      </c>
      <c r="B1334" s="423">
        <v>10</v>
      </c>
      <c r="C1334" s="424">
        <v>9.1999999999999993</v>
      </c>
      <c r="D1334" s="424"/>
      <c r="E1334" s="423"/>
      <c r="F1334" s="424"/>
      <c r="G1334" s="424"/>
      <c r="H1334" s="424"/>
      <c r="I1334" s="425"/>
      <c r="J1334" s="380"/>
      <c r="K1334" s="371"/>
      <c r="L1334" s="371"/>
    </row>
    <row r="1335" spans="1:12">
      <c r="A1335" s="426" t="s">
        <v>1387</v>
      </c>
      <c r="B1335" s="386">
        <v>10</v>
      </c>
      <c r="C1335" s="392">
        <v>6.1</v>
      </c>
      <c r="D1335" s="386"/>
      <c r="E1335" s="386"/>
      <c r="F1335" s="392"/>
      <c r="G1335" s="386"/>
      <c r="H1335" s="392"/>
      <c r="I1335" s="427"/>
      <c r="J1335" s="381"/>
      <c r="K1335" s="371"/>
      <c r="L1335" s="371"/>
    </row>
    <row r="1336" spans="1:12">
      <c r="A1336" s="350" t="s">
        <v>385</v>
      </c>
      <c r="B1336" s="351">
        <v>5</v>
      </c>
      <c r="C1336" s="391">
        <v>2.7</v>
      </c>
      <c r="D1336" s="392">
        <f>C1336*0.22</f>
        <v>0.59400000000000008</v>
      </c>
      <c r="E1336" s="355"/>
      <c r="F1336" s="392">
        <f t="shared" ref="F1336:F1338" si="175">C1336*0.9</f>
        <v>2.4300000000000002</v>
      </c>
      <c r="G1336" s="392">
        <f>C1336+D1336+E1336+F1336</f>
        <v>5.7240000000000002</v>
      </c>
      <c r="H1336" s="392">
        <f t="shared" ref="H1336:H1338" si="176">G1336*0.35</f>
        <v>2.0034000000000001</v>
      </c>
      <c r="I1336" s="393">
        <f>G1336+H1336</f>
        <v>7.7274000000000003</v>
      </c>
      <c r="J1336" s="381"/>
      <c r="K1336" s="371"/>
      <c r="L1336" s="371"/>
    </row>
    <row r="1337" spans="1:12">
      <c r="A1337" s="350"/>
      <c r="B1337" s="351"/>
      <c r="C1337" s="391"/>
      <c r="D1337" s="392"/>
      <c r="E1337" s="355"/>
      <c r="F1337" s="392"/>
      <c r="G1337" s="392"/>
      <c r="H1337" s="392"/>
      <c r="I1337" s="393"/>
      <c r="J1337" s="381"/>
      <c r="K1337" s="371"/>
      <c r="L1337" s="371"/>
    </row>
    <row r="1338" spans="1:12">
      <c r="A1338" s="373" t="s">
        <v>948</v>
      </c>
      <c r="B1338" s="384"/>
      <c r="C1338" s="412">
        <f>C1339+C1340</f>
        <v>22.950000000000003</v>
      </c>
      <c r="D1338" s="412">
        <f>C1338*0.22</f>
        <v>5.0490000000000004</v>
      </c>
      <c r="E1338" s="384">
        <v>45</v>
      </c>
      <c r="F1338" s="412">
        <f t="shared" si="175"/>
        <v>20.655000000000005</v>
      </c>
      <c r="G1338" s="412">
        <f>C1338+D1338+E1338+F1338</f>
        <v>93.653999999999996</v>
      </c>
      <c r="H1338" s="412">
        <f t="shared" si="176"/>
        <v>32.7789</v>
      </c>
      <c r="I1338" s="413">
        <f>G1338+H1338</f>
        <v>126.43289999999999</v>
      </c>
      <c r="J1338" s="349">
        <f>I1338+I1341+I1342</f>
        <v>137.25126</v>
      </c>
      <c r="K1338" s="371"/>
      <c r="L1338" s="371"/>
    </row>
    <row r="1339" spans="1:12">
      <c r="A1339" s="422" t="s">
        <v>1386</v>
      </c>
      <c r="B1339" s="423">
        <v>15</v>
      </c>
      <c r="C1339" s="424">
        <v>13.8</v>
      </c>
      <c r="D1339" s="424"/>
      <c r="E1339" s="423"/>
      <c r="F1339" s="424"/>
      <c r="G1339" s="424"/>
      <c r="H1339" s="424"/>
      <c r="I1339" s="425"/>
      <c r="J1339" s="380"/>
      <c r="K1339" s="371"/>
      <c r="L1339" s="371"/>
    </row>
    <row r="1340" spans="1:12">
      <c r="A1340" s="426" t="s">
        <v>1387</v>
      </c>
      <c r="B1340" s="386">
        <v>15</v>
      </c>
      <c r="C1340" s="392">
        <v>9.15</v>
      </c>
      <c r="D1340" s="386"/>
      <c r="E1340" s="386"/>
      <c r="F1340" s="392"/>
      <c r="G1340" s="386"/>
      <c r="H1340" s="392"/>
      <c r="I1340" s="427"/>
      <c r="J1340" s="381"/>
      <c r="K1340" s="371"/>
      <c r="L1340" s="371"/>
    </row>
    <row r="1341" spans="1:12">
      <c r="A1341" s="350" t="s">
        <v>385</v>
      </c>
      <c r="B1341" s="351">
        <v>7</v>
      </c>
      <c r="C1341" s="391">
        <v>3.78</v>
      </c>
      <c r="D1341" s="392">
        <f>C1341*0.22</f>
        <v>0.83160000000000001</v>
      </c>
      <c r="E1341" s="355"/>
      <c r="F1341" s="392">
        <f>C1341*0.9</f>
        <v>3.4019999999999997</v>
      </c>
      <c r="G1341" s="392">
        <f>C1341+D1341+E1341+F1341</f>
        <v>8.0136000000000003</v>
      </c>
      <c r="H1341" s="392">
        <f>G1341*0.35</f>
        <v>2.8047599999999999</v>
      </c>
      <c r="I1341" s="393">
        <f>G1341+H1341</f>
        <v>10.81836</v>
      </c>
      <c r="J1341" s="381"/>
      <c r="K1341" s="371"/>
      <c r="L1341" s="371"/>
    </row>
    <row r="1342" spans="1:12">
      <c r="A1342" s="350"/>
      <c r="B1342" s="351"/>
      <c r="C1342" s="391"/>
      <c r="D1342" s="392"/>
      <c r="E1342" s="355"/>
      <c r="F1342" s="392"/>
      <c r="G1342" s="392"/>
      <c r="H1342" s="392"/>
      <c r="I1342" s="393"/>
      <c r="J1342" s="381"/>
      <c r="K1342" s="371"/>
      <c r="L1342" s="371"/>
    </row>
    <row r="1343" spans="1:12">
      <c r="A1343" s="373" t="s">
        <v>1391</v>
      </c>
      <c r="B1343" s="384"/>
      <c r="C1343" s="412">
        <f>C1344+C1345</f>
        <v>15.299999999999999</v>
      </c>
      <c r="D1343" s="412">
        <f>C1343*0.22</f>
        <v>3.3659999999999997</v>
      </c>
      <c r="E1343" s="384">
        <v>48.13</v>
      </c>
      <c r="F1343" s="412">
        <f t="shared" ref="F1343" si="177">C1343*0.9</f>
        <v>13.77</v>
      </c>
      <c r="G1343" s="412">
        <f>C1343+D1343+E1343+F1343</f>
        <v>80.565999999999988</v>
      </c>
      <c r="H1343" s="412">
        <f t="shared" ref="H1343" si="178">G1343*0.35</f>
        <v>28.198099999999993</v>
      </c>
      <c r="I1343" s="413">
        <f>G1343+H1343</f>
        <v>108.76409999999998</v>
      </c>
      <c r="J1343" s="349">
        <f>I1343+I1346+I1352</f>
        <v>116.49149999999999</v>
      </c>
      <c r="K1343" s="371"/>
      <c r="L1343" s="371"/>
    </row>
    <row r="1344" spans="1:12">
      <c r="A1344" s="422" t="s">
        <v>1386</v>
      </c>
      <c r="B1344" s="423">
        <v>10</v>
      </c>
      <c r="C1344" s="424">
        <v>9.1999999999999993</v>
      </c>
      <c r="D1344" s="424"/>
      <c r="E1344" s="423"/>
      <c r="F1344" s="424"/>
      <c r="G1344" s="424"/>
      <c r="H1344" s="424"/>
      <c r="I1344" s="425"/>
      <c r="J1344" s="380"/>
      <c r="K1344" s="371"/>
      <c r="L1344" s="371"/>
    </row>
    <row r="1345" spans="1:12">
      <c r="A1345" s="426" t="s">
        <v>1387</v>
      </c>
      <c r="B1345" s="386">
        <v>10</v>
      </c>
      <c r="C1345" s="392">
        <v>6.1</v>
      </c>
      <c r="D1345" s="386"/>
      <c r="E1345" s="386"/>
      <c r="F1345" s="392"/>
      <c r="G1345" s="386"/>
      <c r="H1345" s="392"/>
      <c r="I1345" s="427"/>
      <c r="J1345" s="381"/>
      <c r="K1345" s="371"/>
      <c r="L1345" s="371"/>
    </row>
    <row r="1346" spans="1:12">
      <c r="A1346" s="350" t="s">
        <v>385</v>
      </c>
      <c r="B1346" s="351">
        <v>5</v>
      </c>
      <c r="C1346" s="391">
        <v>2.7</v>
      </c>
      <c r="D1346" s="392">
        <f>C1346*0.22</f>
        <v>0.59400000000000008</v>
      </c>
      <c r="E1346" s="355"/>
      <c r="F1346" s="392">
        <f>C1346*0.9</f>
        <v>2.4300000000000002</v>
      </c>
      <c r="G1346" s="392">
        <f>C1346+D1346+E1346+F1346</f>
        <v>5.7240000000000002</v>
      </c>
      <c r="H1346" s="392">
        <f>G1346*0.35</f>
        <v>2.0034000000000001</v>
      </c>
      <c r="I1346" s="393">
        <f>G1346+H1346</f>
        <v>7.7274000000000003</v>
      </c>
      <c r="J1346" s="381"/>
      <c r="K1346" s="371"/>
      <c r="L1346" s="371"/>
    </row>
    <row r="1347" spans="1:12">
      <c r="A1347" s="350"/>
      <c r="B1347" s="351"/>
      <c r="C1347" s="391"/>
      <c r="D1347" s="392"/>
      <c r="E1347" s="355"/>
      <c r="F1347" s="392"/>
      <c r="G1347" s="392"/>
      <c r="H1347" s="392"/>
      <c r="I1347" s="393"/>
      <c r="J1347" s="381"/>
      <c r="K1347" s="371"/>
      <c r="L1347" s="371"/>
    </row>
    <row r="1348" spans="1:12">
      <c r="A1348" s="373" t="s">
        <v>1392</v>
      </c>
      <c r="B1348" s="384"/>
      <c r="C1348" s="412">
        <v>35.9</v>
      </c>
      <c r="D1348" s="412">
        <f>C1348*0.22</f>
        <v>7.8979999999999997</v>
      </c>
      <c r="E1348" s="384">
        <v>85.13</v>
      </c>
      <c r="F1348" s="412">
        <f t="shared" ref="F1348" si="179">C1348*0.9</f>
        <v>32.31</v>
      </c>
      <c r="G1348" s="412">
        <f>C1348+D1348+E1348+F1348</f>
        <v>161.238</v>
      </c>
      <c r="H1348" s="412">
        <f t="shared" ref="H1348" si="180">G1348*0.35</f>
        <v>56.433299999999996</v>
      </c>
      <c r="I1348" s="413">
        <f>G1348+H1348</f>
        <v>217.6713</v>
      </c>
      <c r="J1348" s="349">
        <f>I1348+I1351+I1352</f>
        <v>233.12610000000001</v>
      </c>
      <c r="K1348" s="371"/>
      <c r="L1348" s="371"/>
    </row>
    <row r="1349" spans="1:12">
      <c r="A1349" s="422" t="s">
        <v>1386</v>
      </c>
      <c r="B1349" s="423">
        <v>20</v>
      </c>
      <c r="C1349" s="424">
        <v>18.399999999999999</v>
      </c>
      <c r="D1349" s="424"/>
      <c r="E1349" s="423"/>
      <c r="F1349" s="424"/>
      <c r="G1349" s="424"/>
      <c r="H1349" s="424"/>
      <c r="I1349" s="425"/>
      <c r="J1349" s="380"/>
      <c r="K1349" s="371"/>
      <c r="L1349" s="371"/>
    </row>
    <row r="1350" spans="1:12">
      <c r="A1350" s="426" t="s">
        <v>1387</v>
      </c>
      <c r="B1350" s="386">
        <v>20</v>
      </c>
      <c r="C1350" s="392">
        <v>12.2</v>
      </c>
      <c r="D1350" s="386"/>
      <c r="E1350" s="386"/>
      <c r="F1350" s="392"/>
      <c r="G1350" s="386"/>
      <c r="H1350" s="392"/>
      <c r="I1350" s="427"/>
      <c r="J1350" s="381"/>
      <c r="K1350" s="371"/>
      <c r="L1350" s="371"/>
    </row>
    <row r="1351" spans="1:12">
      <c r="A1351" s="350" t="s">
        <v>385</v>
      </c>
      <c r="B1351" s="351">
        <v>10</v>
      </c>
      <c r="C1351" s="391">
        <v>5.4</v>
      </c>
      <c r="D1351" s="392">
        <f>C1351*0.22</f>
        <v>1.1880000000000002</v>
      </c>
      <c r="E1351" s="355"/>
      <c r="F1351" s="392">
        <f>C1351*0.9</f>
        <v>4.8600000000000003</v>
      </c>
      <c r="G1351" s="392">
        <f>C1351+D1351+E1351+F1351</f>
        <v>11.448</v>
      </c>
      <c r="H1351" s="392">
        <f>G1351*0.35</f>
        <v>4.0068000000000001</v>
      </c>
      <c r="I1351" s="393">
        <f>G1351+H1351</f>
        <v>15.454800000000001</v>
      </c>
      <c r="J1351" s="381"/>
      <c r="K1351" s="371"/>
      <c r="L1351" s="371"/>
    </row>
    <row r="1352" spans="1:12">
      <c r="A1352" s="350"/>
      <c r="B1352" s="351"/>
      <c r="C1352" s="391"/>
      <c r="D1352" s="392"/>
      <c r="E1352" s="355"/>
      <c r="F1352" s="392"/>
      <c r="G1352" s="392"/>
      <c r="H1352" s="392"/>
      <c r="I1352" s="393"/>
      <c r="J1352" s="381"/>
      <c r="K1352" s="371"/>
      <c r="L1352" s="371"/>
    </row>
    <row r="1353" spans="1:12">
      <c r="A1353" s="373" t="s">
        <v>1393</v>
      </c>
      <c r="B1353" s="384"/>
      <c r="C1353" s="412">
        <v>103.5</v>
      </c>
      <c r="D1353" s="412">
        <f>C1353*0.22</f>
        <v>22.77</v>
      </c>
      <c r="E1353" s="384">
        <v>85.63</v>
      </c>
      <c r="F1353" s="412">
        <f t="shared" ref="F1353" si="181">C1353*0.9</f>
        <v>93.15</v>
      </c>
      <c r="G1353" s="412">
        <f>C1353+D1353+E1353+F1353</f>
        <v>305.04999999999995</v>
      </c>
      <c r="H1353" s="412">
        <f t="shared" ref="H1353" si="182">G1353*0.35</f>
        <v>106.76749999999998</v>
      </c>
      <c r="I1353" s="413">
        <f>G1353+H1353</f>
        <v>411.81749999999994</v>
      </c>
      <c r="J1353" s="349">
        <f>I1353+I1356+I1357</f>
        <v>458.18189999999993</v>
      </c>
      <c r="K1353" s="371"/>
      <c r="L1353" s="371"/>
    </row>
    <row r="1354" spans="1:12">
      <c r="A1354" s="422" t="s">
        <v>1386</v>
      </c>
      <c r="B1354" s="423">
        <v>60</v>
      </c>
      <c r="C1354" s="424">
        <v>55.2</v>
      </c>
      <c r="D1354" s="424"/>
      <c r="E1354" s="423"/>
      <c r="F1354" s="424"/>
      <c r="G1354" s="424"/>
      <c r="H1354" s="424"/>
      <c r="I1354" s="425"/>
      <c r="J1354" s="380"/>
      <c r="K1354" s="371"/>
      <c r="L1354" s="371"/>
    </row>
    <row r="1355" spans="1:12">
      <c r="A1355" s="350" t="s">
        <v>385</v>
      </c>
      <c r="B1355" s="386">
        <v>60</v>
      </c>
      <c r="C1355" s="392">
        <v>36.6</v>
      </c>
      <c r="D1355" s="386"/>
      <c r="E1355" s="386"/>
      <c r="F1355" s="392"/>
      <c r="G1355" s="386"/>
      <c r="H1355" s="392"/>
      <c r="I1355" s="427"/>
      <c r="J1355" s="381"/>
      <c r="K1355" s="371"/>
      <c r="L1355" s="371"/>
    </row>
    <row r="1356" spans="1:12">
      <c r="A1356" s="350" t="s">
        <v>385</v>
      </c>
      <c r="B1356" s="351">
        <v>30</v>
      </c>
      <c r="C1356" s="391">
        <v>16.2</v>
      </c>
      <c r="D1356" s="392">
        <f>C1356*0.22</f>
        <v>3.5640000000000001</v>
      </c>
      <c r="E1356" s="355"/>
      <c r="F1356" s="392">
        <f>C1356*0.9</f>
        <v>14.58</v>
      </c>
      <c r="G1356" s="392">
        <f>C1356+D1356+E1356+F1356</f>
        <v>34.344000000000001</v>
      </c>
      <c r="H1356" s="392">
        <f>G1356*0.35</f>
        <v>12.0204</v>
      </c>
      <c r="I1356" s="393">
        <f>G1356+H1356</f>
        <v>46.364400000000003</v>
      </c>
      <c r="J1356" s="381"/>
      <c r="K1356" s="371"/>
      <c r="L1356" s="371"/>
    </row>
    <row r="1357" spans="1:12">
      <c r="A1357" s="350"/>
      <c r="B1357" s="351"/>
      <c r="C1357" s="391"/>
      <c r="D1357" s="392"/>
      <c r="E1357" s="355"/>
      <c r="F1357" s="392"/>
      <c r="G1357" s="392"/>
      <c r="H1357" s="392"/>
      <c r="I1357" s="393"/>
      <c r="J1357" s="381"/>
      <c r="K1357" s="371"/>
      <c r="L1357" s="371"/>
    </row>
    <row r="1358" spans="1:12">
      <c r="A1358" s="373" t="s">
        <v>1394</v>
      </c>
      <c r="B1358" s="384"/>
      <c r="C1358" s="412">
        <f>C1359+C1360</f>
        <v>22.950000000000003</v>
      </c>
      <c r="D1358" s="412">
        <f>C1358*0.22</f>
        <v>5.0490000000000004</v>
      </c>
      <c r="E1358" s="384">
        <v>85.63</v>
      </c>
      <c r="F1358" s="412">
        <f t="shared" ref="F1358" si="183">C1358*0.9</f>
        <v>20.655000000000005</v>
      </c>
      <c r="G1358" s="412">
        <f>C1358+D1358+E1358+F1358</f>
        <v>134.28399999999999</v>
      </c>
      <c r="H1358" s="412">
        <f t="shared" ref="H1358" si="184">G1358*0.35</f>
        <v>46.999399999999994</v>
      </c>
      <c r="I1358" s="413">
        <f>G1358+H1358</f>
        <v>181.28339999999997</v>
      </c>
      <c r="J1358" s="349">
        <f>I1358+I1361+I1362</f>
        <v>192.10175999999998</v>
      </c>
      <c r="K1358" s="371"/>
      <c r="L1358" s="371"/>
    </row>
    <row r="1359" spans="1:12">
      <c r="A1359" s="422" t="s">
        <v>1386</v>
      </c>
      <c r="B1359" s="423">
        <v>15</v>
      </c>
      <c r="C1359" s="424">
        <v>13.8</v>
      </c>
      <c r="D1359" s="424"/>
      <c r="E1359" s="423"/>
      <c r="F1359" s="424"/>
      <c r="G1359" s="424"/>
      <c r="H1359" s="424"/>
      <c r="I1359" s="425"/>
      <c r="J1359" s="380"/>
      <c r="K1359" s="371"/>
      <c r="L1359" s="371"/>
    </row>
    <row r="1360" spans="1:12">
      <c r="A1360" s="426" t="s">
        <v>1387</v>
      </c>
      <c r="B1360" s="386">
        <v>15</v>
      </c>
      <c r="C1360" s="392">
        <v>9.15</v>
      </c>
      <c r="D1360" s="386"/>
      <c r="E1360" s="386"/>
      <c r="F1360" s="392"/>
      <c r="G1360" s="386"/>
      <c r="H1360" s="392"/>
      <c r="I1360" s="427"/>
      <c r="J1360" s="381"/>
      <c r="K1360" s="371"/>
      <c r="L1360" s="371"/>
    </row>
    <row r="1361" spans="1:12">
      <c r="A1361" s="350" t="s">
        <v>385</v>
      </c>
      <c r="B1361" s="351">
        <v>7</v>
      </c>
      <c r="C1361" s="391">
        <v>3.78</v>
      </c>
      <c r="D1361" s="392">
        <f>C1361*0.22</f>
        <v>0.83160000000000001</v>
      </c>
      <c r="E1361" s="355"/>
      <c r="F1361" s="392">
        <f>C1361*0.9</f>
        <v>3.4019999999999997</v>
      </c>
      <c r="G1361" s="392">
        <f>C1361+D1361+E1361+F1361</f>
        <v>8.0136000000000003</v>
      </c>
      <c r="H1361" s="392">
        <f>G1361*0.35</f>
        <v>2.8047599999999999</v>
      </c>
      <c r="I1361" s="393">
        <f>G1361+H1361</f>
        <v>10.81836</v>
      </c>
      <c r="J1361" s="381"/>
      <c r="K1361" s="371"/>
      <c r="L1361" s="371"/>
    </row>
    <row r="1362" spans="1:12">
      <c r="A1362" s="350"/>
      <c r="B1362" s="351"/>
      <c r="C1362" s="391"/>
      <c r="D1362" s="392"/>
      <c r="E1362" s="355"/>
      <c r="F1362" s="392"/>
      <c r="G1362" s="392"/>
      <c r="H1362" s="392"/>
      <c r="I1362" s="393"/>
      <c r="J1362" s="381"/>
      <c r="K1362" s="371"/>
      <c r="L1362" s="371"/>
    </row>
    <row r="1363" spans="1:12" ht="21.75">
      <c r="A1363" s="373" t="s">
        <v>1395</v>
      </c>
      <c r="B1363" s="384"/>
      <c r="C1363" s="412">
        <f>C1364+C1365</f>
        <v>22.950000000000003</v>
      </c>
      <c r="D1363" s="412">
        <f>C1363*0.22</f>
        <v>5.0490000000000004</v>
      </c>
      <c r="E1363" s="384">
        <v>55.9</v>
      </c>
      <c r="F1363" s="412">
        <f t="shared" ref="F1363" si="185">C1363*0.9</f>
        <v>20.655000000000005</v>
      </c>
      <c r="G1363" s="412">
        <f>C1363+D1363+E1363+F1363</f>
        <v>104.554</v>
      </c>
      <c r="H1363" s="412">
        <f t="shared" ref="H1363" si="186">G1363*0.35</f>
        <v>36.593899999999998</v>
      </c>
      <c r="I1363" s="413">
        <f>G1363+H1363</f>
        <v>141.14789999999999</v>
      </c>
      <c r="J1363" s="349">
        <f>I1363+I1366+I1367</f>
        <v>151.96626000000001</v>
      </c>
      <c r="K1363" s="371"/>
      <c r="L1363" s="371"/>
    </row>
    <row r="1364" spans="1:12">
      <c r="A1364" s="422" t="s">
        <v>1386</v>
      </c>
      <c r="B1364" s="423">
        <v>15</v>
      </c>
      <c r="C1364" s="424">
        <v>13.8</v>
      </c>
      <c r="D1364" s="424"/>
      <c r="E1364" s="423"/>
      <c r="F1364" s="424"/>
      <c r="G1364" s="424"/>
      <c r="H1364" s="424"/>
      <c r="I1364" s="425"/>
      <c r="J1364" s="379"/>
      <c r="K1364" s="371"/>
      <c r="L1364" s="371"/>
    </row>
    <row r="1365" spans="1:12">
      <c r="A1365" s="426" t="s">
        <v>1387</v>
      </c>
      <c r="B1365" s="386">
        <v>15</v>
      </c>
      <c r="C1365" s="392">
        <v>9.15</v>
      </c>
      <c r="D1365" s="386"/>
      <c r="E1365" s="386"/>
      <c r="F1365" s="392"/>
      <c r="G1365" s="386"/>
      <c r="H1365" s="392"/>
      <c r="I1365" s="427"/>
      <c r="J1365" s="408"/>
      <c r="K1365" s="371"/>
      <c r="L1365" s="371"/>
    </row>
    <row r="1366" spans="1:12" s="429" customFormat="1">
      <c r="A1366" s="350" t="s">
        <v>385</v>
      </c>
      <c r="B1366" s="351">
        <v>7</v>
      </c>
      <c r="C1366" s="391">
        <v>3.78</v>
      </c>
      <c r="D1366" s="392">
        <f>C1366*0.22</f>
        <v>0.83160000000000001</v>
      </c>
      <c r="E1366" s="355"/>
      <c r="F1366" s="392">
        <f>C1366*0.9</f>
        <v>3.4019999999999997</v>
      </c>
      <c r="G1366" s="392">
        <f>C1366+D1366+E1366+F1366</f>
        <v>8.0136000000000003</v>
      </c>
      <c r="H1366" s="392">
        <f>G1366*0.35</f>
        <v>2.8047599999999999</v>
      </c>
      <c r="I1366" s="393">
        <f>G1366+H1366</f>
        <v>10.81836</v>
      </c>
      <c r="J1366" s="408"/>
      <c r="K1366" s="428"/>
      <c r="L1366" s="428"/>
    </row>
    <row r="1367" spans="1:12">
      <c r="A1367" s="350"/>
      <c r="B1367" s="351"/>
      <c r="C1367" s="391"/>
      <c r="D1367" s="392"/>
      <c r="E1367" s="355"/>
      <c r="F1367" s="392"/>
      <c r="G1367" s="392"/>
      <c r="H1367" s="392"/>
      <c r="I1367" s="393"/>
      <c r="J1367" s="408"/>
      <c r="K1367" s="371"/>
      <c r="L1367" s="371"/>
    </row>
    <row r="1368" spans="1:12" ht="32.25">
      <c r="A1368" s="373" t="s">
        <v>1396</v>
      </c>
      <c r="B1368" s="384"/>
      <c r="C1368" s="412">
        <f>C1369+C1370</f>
        <v>22.950000000000003</v>
      </c>
      <c r="D1368" s="412">
        <f>C1368*0.22</f>
        <v>5.0490000000000004</v>
      </c>
      <c r="E1368" s="384">
        <v>55.9</v>
      </c>
      <c r="F1368" s="412">
        <f t="shared" ref="F1368" si="187">C1368*0.9</f>
        <v>20.655000000000005</v>
      </c>
      <c r="G1368" s="412">
        <f>C1368+D1368+E1368+F1368</f>
        <v>104.554</v>
      </c>
      <c r="H1368" s="412">
        <f t="shared" ref="H1368" si="188">G1368*0.35</f>
        <v>36.593899999999998</v>
      </c>
      <c r="I1368" s="413">
        <f>G1368+H1368</f>
        <v>141.14789999999999</v>
      </c>
      <c r="J1368" s="349">
        <f>I1368+I1371+I1372</f>
        <v>151.96626000000001</v>
      </c>
      <c r="K1368" s="371"/>
      <c r="L1368" s="371"/>
    </row>
    <row r="1369" spans="1:12">
      <c r="A1369" s="422" t="s">
        <v>1386</v>
      </c>
      <c r="B1369" s="423">
        <v>15</v>
      </c>
      <c r="C1369" s="424">
        <v>13.8</v>
      </c>
      <c r="D1369" s="424"/>
      <c r="E1369" s="423"/>
      <c r="F1369" s="424"/>
      <c r="G1369" s="424"/>
      <c r="H1369" s="424"/>
      <c r="I1369" s="425"/>
      <c r="J1369" s="380"/>
      <c r="K1369" s="371"/>
      <c r="L1369" s="371"/>
    </row>
    <row r="1370" spans="1:12">
      <c r="A1370" s="426" t="s">
        <v>1387</v>
      </c>
      <c r="B1370" s="386">
        <v>15</v>
      </c>
      <c r="C1370" s="392">
        <v>9.15</v>
      </c>
      <c r="D1370" s="386"/>
      <c r="E1370" s="386"/>
      <c r="F1370" s="392"/>
      <c r="G1370" s="386"/>
      <c r="H1370" s="392"/>
      <c r="I1370" s="427"/>
      <c r="J1370" s="381"/>
      <c r="K1370" s="371"/>
      <c r="L1370" s="371"/>
    </row>
    <row r="1371" spans="1:12">
      <c r="A1371" s="350" t="s">
        <v>385</v>
      </c>
      <c r="B1371" s="351">
        <v>7</v>
      </c>
      <c r="C1371" s="391">
        <v>3.78</v>
      </c>
      <c r="D1371" s="392">
        <f>C1371*0.22</f>
        <v>0.83160000000000001</v>
      </c>
      <c r="E1371" s="355"/>
      <c r="F1371" s="392">
        <f>C1371*0.9</f>
        <v>3.4019999999999997</v>
      </c>
      <c r="G1371" s="392">
        <f>C1371+D1371+E1371+F1371</f>
        <v>8.0136000000000003</v>
      </c>
      <c r="H1371" s="392">
        <f>G1371*0.35</f>
        <v>2.8047599999999999</v>
      </c>
      <c r="I1371" s="393">
        <f>G1371+H1371</f>
        <v>10.81836</v>
      </c>
      <c r="J1371" s="381"/>
      <c r="K1371" s="371"/>
      <c r="L1371" s="371"/>
    </row>
    <row r="1372" spans="1:12">
      <c r="A1372" s="350"/>
      <c r="B1372" s="351"/>
      <c r="C1372" s="391"/>
      <c r="D1372" s="392"/>
      <c r="E1372" s="355"/>
      <c r="F1372" s="392"/>
      <c r="G1372" s="392"/>
      <c r="H1372" s="392"/>
      <c r="I1372" s="393"/>
      <c r="J1372" s="381"/>
      <c r="K1372" s="371"/>
      <c r="L1372" s="371"/>
    </row>
    <row r="1373" spans="1:12" ht="32.25">
      <c r="A1373" s="373" t="s">
        <v>1397</v>
      </c>
      <c r="B1373" s="384"/>
      <c r="C1373" s="412">
        <v>17.399999999999999</v>
      </c>
      <c r="D1373" s="412">
        <f>C1373*0.22</f>
        <v>3.8279999999999998</v>
      </c>
      <c r="E1373" s="384">
        <v>55.9</v>
      </c>
      <c r="F1373" s="412">
        <f>C1373*0.9</f>
        <v>15.659999999999998</v>
      </c>
      <c r="G1373" s="412">
        <f>C1373+D1373+E1373+F1373</f>
        <v>92.787999999999997</v>
      </c>
      <c r="H1373" s="412">
        <f>G1373*0.35</f>
        <v>32.4758</v>
      </c>
      <c r="I1373" s="413">
        <f>G1373+H1373</f>
        <v>125.2638</v>
      </c>
      <c r="J1373" s="349">
        <f>I1373+I1376+I1377</f>
        <v>136.08216000000002</v>
      </c>
      <c r="K1373" s="371"/>
      <c r="L1373" s="371"/>
    </row>
    <row r="1374" spans="1:12">
      <c r="A1374" s="422" t="s">
        <v>1389</v>
      </c>
      <c r="B1374" s="423">
        <v>15</v>
      </c>
      <c r="C1374" s="424">
        <v>13.8</v>
      </c>
      <c r="D1374" s="424"/>
      <c r="E1374" s="423"/>
      <c r="F1374" s="424"/>
      <c r="G1374" s="424"/>
      <c r="H1374" s="424"/>
      <c r="I1374" s="425"/>
      <c r="J1374" s="380"/>
      <c r="K1374" s="371"/>
      <c r="L1374" s="371"/>
    </row>
    <row r="1375" spans="1:12">
      <c r="A1375" s="426" t="s">
        <v>1387</v>
      </c>
      <c r="B1375" s="386">
        <v>15</v>
      </c>
      <c r="C1375" s="392">
        <v>9.15</v>
      </c>
      <c r="D1375" s="386"/>
      <c r="E1375" s="386"/>
      <c r="F1375" s="392"/>
      <c r="G1375" s="386"/>
      <c r="H1375" s="392"/>
      <c r="I1375" s="427"/>
      <c r="J1375" s="381"/>
      <c r="K1375" s="371"/>
      <c r="L1375" s="371"/>
    </row>
    <row r="1376" spans="1:12">
      <c r="A1376" s="350" t="s">
        <v>385</v>
      </c>
      <c r="B1376" s="351">
        <v>7</v>
      </c>
      <c r="C1376" s="391">
        <v>3.78</v>
      </c>
      <c r="D1376" s="392">
        <f>C1376*0.22</f>
        <v>0.83160000000000001</v>
      </c>
      <c r="E1376" s="355"/>
      <c r="F1376" s="392">
        <f>C1376*0.9</f>
        <v>3.4019999999999997</v>
      </c>
      <c r="G1376" s="392">
        <f>C1376+D1376+E1376+F1376</f>
        <v>8.0136000000000003</v>
      </c>
      <c r="H1376" s="392">
        <f>G1376*0.35</f>
        <v>2.8047599999999999</v>
      </c>
      <c r="I1376" s="393">
        <f>G1376+H1376</f>
        <v>10.81836</v>
      </c>
      <c r="J1376" s="381"/>
      <c r="K1376" s="371"/>
      <c r="L1376" s="371"/>
    </row>
    <row r="1377" spans="1:12">
      <c r="A1377" s="350"/>
      <c r="B1377" s="351"/>
      <c r="C1377" s="391"/>
      <c r="D1377" s="392"/>
      <c r="E1377" s="355"/>
      <c r="F1377" s="392"/>
      <c r="G1377" s="392"/>
      <c r="H1377" s="392"/>
      <c r="I1377" s="393"/>
      <c r="J1377" s="381"/>
      <c r="K1377" s="371"/>
      <c r="L1377" s="371"/>
    </row>
    <row r="1378" spans="1:12">
      <c r="A1378" s="373" t="s">
        <v>1398</v>
      </c>
      <c r="B1378" s="384"/>
      <c r="C1378" s="412">
        <v>35.9</v>
      </c>
      <c r="D1378" s="412">
        <f>C1378*0.22</f>
        <v>7.8979999999999997</v>
      </c>
      <c r="E1378" s="384">
        <v>85.13</v>
      </c>
      <c r="F1378" s="412">
        <f t="shared" ref="F1378" si="189">C1378*0.9</f>
        <v>32.31</v>
      </c>
      <c r="G1378" s="412">
        <f>C1378+D1378+E1378+F1378</f>
        <v>161.238</v>
      </c>
      <c r="H1378" s="412">
        <f t="shared" ref="H1378" si="190">G1378*0.35</f>
        <v>56.433299999999996</v>
      </c>
      <c r="I1378" s="413">
        <f>G1378+H1378</f>
        <v>217.6713</v>
      </c>
      <c r="J1378" s="349">
        <f>I1378+I1381+I1382</f>
        <v>233.12610000000001</v>
      </c>
      <c r="K1378" s="371"/>
      <c r="L1378" s="371"/>
    </row>
    <row r="1379" spans="1:12">
      <c r="A1379" s="422" t="s">
        <v>1386</v>
      </c>
      <c r="B1379" s="423">
        <v>20</v>
      </c>
      <c r="C1379" s="424">
        <v>18.399999999999999</v>
      </c>
      <c r="D1379" s="424"/>
      <c r="E1379" s="423"/>
      <c r="F1379" s="424"/>
      <c r="G1379" s="424"/>
      <c r="H1379" s="424"/>
      <c r="I1379" s="425"/>
      <c r="J1379" s="380"/>
      <c r="K1379" s="371"/>
      <c r="L1379" s="371"/>
    </row>
    <row r="1380" spans="1:12">
      <c r="A1380" s="426" t="s">
        <v>1387</v>
      </c>
      <c r="B1380" s="386">
        <v>20</v>
      </c>
      <c r="C1380" s="392">
        <v>12.2</v>
      </c>
      <c r="D1380" s="386"/>
      <c r="E1380" s="386"/>
      <c r="F1380" s="392"/>
      <c r="G1380" s="386"/>
      <c r="H1380" s="392"/>
      <c r="I1380" s="427"/>
      <c r="J1380" s="381"/>
      <c r="K1380" s="371"/>
      <c r="L1380" s="371"/>
    </row>
    <row r="1381" spans="1:12">
      <c r="A1381" s="350" t="s">
        <v>385</v>
      </c>
      <c r="B1381" s="351">
        <v>10</v>
      </c>
      <c r="C1381" s="391">
        <v>5.4</v>
      </c>
      <c r="D1381" s="392">
        <f>C1381*0.22</f>
        <v>1.1880000000000002</v>
      </c>
      <c r="E1381" s="355"/>
      <c r="F1381" s="392">
        <f>C1381*0.9</f>
        <v>4.8600000000000003</v>
      </c>
      <c r="G1381" s="392">
        <f>C1381+D1381+E1381+F1381</f>
        <v>11.448</v>
      </c>
      <c r="H1381" s="392">
        <f>G1381*0.35</f>
        <v>4.0068000000000001</v>
      </c>
      <c r="I1381" s="393">
        <f>G1381+H1381</f>
        <v>15.454800000000001</v>
      </c>
      <c r="J1381" s="381"/>
      <c r="K1381" s="371"/>
      <c r="L1381" s="371"/>
    </row>
    <row r="1382" spans="1:12">
      <c r="A1382" s="350"/>
      <c r="B1382" s="351"/>
      <c r="C1382" s="391"/>
      <c r="D1382" s="392"/>
      <c r="E1382" s="355"/>
      <c r="F1382" s="392"/>
      <c r="G1382" s="392"/>
      <c r="H1382" s="392"/>
      <c r="I1382" s="393"/>
      <c r="J1382" s="381"/>
      <c r="K1382" s="371"/>
      <c r="L1382" s="371"/>
    </row>
    <row r="1383" spans="1:12" ht="21.75">
      <c r="A1383" s="373" t="s">
        <v>1399</v>
      </c>
      <c r="B1383" s="384"/>
      <c r="C1383" s="412">
        <v>27.23</v>
      </c>
      <c r="D1383" s="412">
        <f>C1383*0.22</f>
        <v>5.9905999999999997</v>
      </c>
      <c r="E1383" s="384">
        <v>207.38</v>
      </c>
      <c r="F1383" s="412">
        <f t="shared" ref="F1383" si="191">C1383*0.9</f>
        <v>24.507000000000001</v>
      </c>
      <c r="G1383" s="412">
        <f>C1383+D1383+E1383+F1383</f>
        <v>265.10759999999999</v>
      </c>
      <c r="H1383" s="412">
        <f t="shared" ref="H1383" si="192">G1383*0.35</f>
        <v>92.787659999999988</v>
      </c>
      <c r="I1383" s="413">
        <f>G1383+H1383</f>
        <v>357.89526000000001</v>
      </c>
      <c r="J1383" s="349">
        <f>I1383+I1386+I1392</f>
        <v>368.71361999999999</v>
      </c>
      <c r="K1383" s="371"/>
      <c r="L1383" s="371"/>
    </row>
    <row r="1384" spans="1:12">
      <c r="A1384" s="422" t="s">
        <v>1386</v>
      </c>
      <c r="B1384" s="423">
        <v>15</v>
      </c>
      <c r="C1384" s="424">
        <v>13.8</v>
      </c>
      <c r="D1384" s="424"/>
      <c r="E1384" s="423"/>
      <c r="F1384" s="424"/>
      <c r="G1384" s="424"/>
      <c r="H1384" s="424"/>
      <c r="I1384" s="425"/>
      <c r="J1384" s="379"/>
      <c r="K1384" s="371"/>
      <c r="L1384" s="371"/>
    </row>
    <row r="1385" spans="1:12">
      <c r="A1385" s="426" t="s">
        <v>1387</v>
      </c>
      <c r="B1385" s="386">
        <v>15</v>
      </c>
      <c r="C1385" s="392">
        <v>9.15</v>
      </c>
      <c r="D1385" s="386"/>
      <c r="E1385" s="386"/>
      <c r="F1385" s="392"/>
      <c r="G1385" s="386"/>
      <c r="H1385" s="392"/>
      <c r="I1385" s="427"/>
      <c r="J1385" s="408"/>
      <c r="K1385" s="371"/>
      <c r="L1385" s="371"/>
    </row>
    <row r="1386" spans="1:12">
      <c r="A1386" s="350" t="s">
        <v>385</v>
      </c>
      <c r="B1386" s="351">
        <v>7</v>
      </c>
      <c r="C1386" s="391">
        <v>3.78</v>
      </c>
      <c r="D1386" s="392">
        <f>C1386*0.22</f>
        <v>0.83160000000000001</v>
      </c>
      <c r="E1386" s="355"/>
      <c r="F1386" s="392">
        <f>C1386*0.9</f>
        <v>3.4019999999999997</v>
      </c>
      <c r="G1386" s="392">
        <f>C1386+D1386+E1386+F1386</f>
        <v>8.0136000000000003</v>
      </c>
      <c r="H1386" s="392">
        <f>G1386*0.35</f>
        <v>2.8047599999999999</v>
      </c>
      <c r="I1386" s="393">
        <f>G1386+H1386</f>
        <v>10.81836</v>
      </c>
      <c r="J1386" s="408"/>
      <c r="K1386" s="371"/>
      <c r="L1386" s="371"/>
    </row>
    <row r="1387" spans="1:12">
      <c r="A1387" s="350"/>
      <c r="B1387" s="351"/>
      <c r="C1387" s="391"/>
      <c r="D1387" s="392"/>
      <c r="E1387" s="355"/>
      <c r="F1387" s="392"/>
      <c r="G1387" s="392"/>
      <c r="H1387" s="392"/>
      <c r="I1387" s="393"/>
      <c r="J1387" s="408"/>
      <c r="K1387" s="371"/>
      <c r="L1387" s="371"/>
    </row>
    <row r="1388" spans="1:12" ht="21.75">
      <c r="A1388" s="373" t="s">
        <v>1400</v>
      </c>
      <c r="B1388" s="384"/>
      <c r="C1388" s="412">
        <v>27.23</v>
      </c>
      <c r="D1388" s="412">
        <f>C1388*0.22</f>
        <v>5.9905999999999997</v>
      </c>
      <c r="E1388" s="384">
        <v>85.38</v>
      </c>
      <c r="F1388" s="412">
        <f t="shared" ref="F1388" si="193">C1388*0.9</f>
        <v>24.507000000000001</v>
      </c>
      <c r="G1388" s="412">
        <f>C1388+D1388+E1388+F1388</f>
        <v>143.10759999999999</v>
      </c>
      <c r="H1388" s="412">
        <f t="shared" ref="H1388" si="194">G1388*0.35</f>
        <v>50.087659999999993</v>
      </c>
      <c r="I1388" s="413">
        <f>G1388+H1388</f>
        <v>193.19525999999999</v>
      </c>
      <c r="J1388" s="349">
        <f>I1388+I1391+I1396</f>
        <v>219.46842000000001</v>
      </c>
      <c r="K1388" s="371"/>
      <c r="L1388" s="371"/>
    </row>
    <row r="1389" spans="1:12">
      <c r="A1389" s="422" t="s">
        <v>1386</v>
      </c>
      <c r="B1389" s="423">
        <v>15</v>
      </c>
      <c r="C1389" s="424">
        <v>13.8</v>
      </c>
      <c r="D1389" s="424"/>
      <c r="E1389" s="423"/>
      <c r="F1389" s="424"/>
      <c r="G1389" s="424"/>
      <c r="H1389" s="424"/>
      <c r="I1389" s="425"/>
      <c r="J1389" s="380"/>
      <c r="K1389" s="371"/>
      <c r="L1389" s="371"/>
    </row>
    <row r="1390" spans="1:12">
      <c r="A1390" s="426" t="s">
        <v>1387</v>
      </c>
      <c r="B1390" s="386">
        <v>15</v>
      </c>
      <c r="C1390" s="392">
        <v>9.15</v>
      </c>
      <c r="D1390" s="386"/>
      <c r="E1390" s="386"/>
      <c r="F1390" s="392"/>
      <c r="G1390" s="386"/>
      <c r="H1390" s="392"/>
      <c r="I1390" s="427"/>
      <c r="J1390" s="381"/>
      <c r="K1390" s="371"/>
      <c r="L1390" s="371"/>
    </row>
    <row r="1391" spans="1:12">
      <c r="A1391" s="350" t="s">
        <v>385</v>
      </c>
      <c r="B1391" s="351">
        <v>7</v>
      </c>
      <c r="C1391" s="391">
        <v>3.78</v>
      </c>
      <c r="D1391" s="392">
        <f>C1391*0.22</f>
        <v>0.83160000000000001</v>
      </c>
      <c r="E1391" s="355"/>
      <c r="F1391" s="392">
        <f>C1391*0.9</f>
        <v>3.4019999999999997</v>
      </c>
      <c r="G1391" s="392">
        <f>C1391+D1391+E1391+F1391</f>
        <v>8.0136000000000003</v>
      </c>
      <c r="H1391" s="392">
        <f>G1391*0.35</f>
        <v>2.8047599999999999</v>
      </c>
      <c r="I1391" s="393">
        <f>G1391+H1391</f>
        <v>10.81836</v>
      </c>
      <c r="J1391" s="381"/>
      <c r="K1391" s="371"/>
      <c r="L1391" s="371"/>
    </row>
    <row r="1392" spans="1:12">
      <c r="A1392" s="350"/>
      <c r="B1392" s="351"/>
      <c r="C1392" s="391"/>
      <c r="D1392" s="392"/>
      <c r="E1392" s="355"/>
      <c r="F1392" s="392"/>
      <c r="G1392" s="392"/>
      <c r="H1392" s="392"/>
      <c r="I1392" s="393"/>
      <c r="J1392" s="381"/>
      <c r="K1392" s="371"/>
      <c r="L1392" s="371"/>
    </row>
    <row r="1393" spans="1:12">
      <c r="A1393" s="373" t="s">
        <v>1401</v>
      </c>
      <c r="B1393" s="384"/>
      <c r="C1393" s="412">
        <f>C1394+C1395</f>
        <v>30.599999999999998</v>
      </c>
      <c r="D1393" s="412">
        <f>C1393*0.22</f>
        <v>6.7319999999999993</v>
      </c>
      <c r="E1393" s="384">
        <v>85.38</v>
      </c>
      <c r="F1393" s="412">
        <f t="shared" ref="F1393" si="195">C1393*0.9</f>
        <v>27.54</v>
      </c>
      <c r="G1393" s="412">
        <f>C1393+D1393+E1393+F1393</f>
        <v>150.25199999999998</v>
      </c>
      <c r="H1393" s="412">
        <f t="shared" ref="H1393" si="196">G1393*0.35</f>
        <v>52.588199999999993</v>
      </c>
      <c r="I1393" s="413">
        <f>G1393+H1393</f>
        <v>202.84019999999998</v>
      </c>
      <c r="J1393" s="349">
        <f>I1393+I1396+I1397</f>
        <v>218.29499999999999</v>
      </c>
      <c r="K1393" s="371"/>
      <c r="L1393" s="371"/>
    </row>
    <row r="1394" spans="1:12">
      <c r="A1394" s="422" t="s">
        <v>1386</v>
      </c>
      <c r="B1394" s="423">
        <v>20</v>
      </c>
      <c r="C1394" s="424">
        <v>18.399999999999999</v>
      </c>
      <c r="D1394" s="424"/>
      <c r="E1394" s="423"/>
      <c r="F1394" s="424"/>
      <c r="G1394" s="424"/>
      <c r="H1394" s="424"/>
      <c r="I1394" s="425"/>
      <c r="J1394" s="380"/>
      <c r="K1394" s="371"/>
      <c r="L1394" s="371"/>
    </row>
    <row r="1395" spans="1:12">
      <c r="A1395" s="426" t="s">
        <v>1387</v>
      </c>
      <c r="B1395" s="386">
        <v>20</v>
      </c>
      <c r="C1395" s="392">
        <v>12.2</v>
      </c>
      <c r="D1395" s="386"/>
      <c r="E1395" s="386"/>
      <c r="F1395" s="392"/>
      <c r="G1395" s="386"/>
      <c r="H1395" s="392"/>
      <c r="I1395" s="427"/>
      <c r="J1395" s="381"/>
      <c r="K1395" s="371"/>
      <c r="L1395" s="371"/>
    </row>
    <row r="1396" spans="1:12">
      <c r="A1396" s="350" t="s">
        <v>385</v>
      </c>
      <c r="B1396" s="351">
        <v>10</v>
      </c>
      <c r="C1396" s="391">
        <v>5.4</v>
      </c>
      <c r="D1396" s="392">
        <f>C1396*0.22</f>
        <v>1.1880000000000002</v>
      </c>
      <c r="E1396" s="355"/>
      <c r="F1396" s="392">
        <f>C1396*0.9</f>
        <v>4.8600000000000003</v>
      </c>
      <c r="G1396" s="392">
        <f>C1396+D1396+E1396+F1396</f>
        <v>11.448</v>
      </c>
      <c r="H1396" s="392">
        <f>G1396*0.35</f>
        <v>4.0068000000000001</v>
      </c>
      <c r="I1396" s="393">
        <f>G1396+H1396</f>
        <v>15.454800000000001</v>
      </c>
      <c r="J1396" s="381"/>
      <c r="K1396" s="371"/>
      <c r="L1396" s="371"/>
    </row>
    <row r="1397" spans="1:12">
      <c r="A1397" s="430"/>
      <c r="B1397" s="431"/>
      <c r="C1397" s="431"/>
      <c r="D1397" s="431"/>
      <c r="E1397" s="431"/>
      <c r="F1397" s="431"/>
      <c r="G1397" s="431"/>
      <c r="H1397" s="431"/>
      <c r="I1397" s="431"/>
      <c r="J1397" s="432"/>
      <c r="K1397" s="371"/>
      <c r="L1397" s="371"/>
    </row>
    <row r="1398" spans="1:12">
      <c r="A1398" s="373" t="s">
        <v>1402</v>
      </c>
      <c r="B1398" s="384"/>
      <c r="C1398" s="412">
        <f>C1399+C1400</f>
        <v>61.199999999999996</v>
      </c>
      <c r="D1398" s="412">
        <f>C1398*0.22</f>
        <v>13.463999999999999</v>
      </c>
      <c r="E1398" s="384">
        <v>85.38</v>
      </c>
      <c r="F1398" s="412">
        <f t="shared" ref="F1398" si="197">C1398*0.9</f>
        <v>55.08</v>
      </c>
      <c r="G1398" s="412">
        <f>C1398+D1398+E1398+F1398</f>
        <v>215.12399999999997</v>
      </c>
      <c r="H1398" s="412">
        <f t="shared" ref="H1398" si="198">G1398*0.35</f>
        <v>75.293399999999977</v>
      </c>
      <c r="I1398" s="413">
        <f>G1398+H1398</f>
        <v>290.41739999999993</v>
      </c>
      <c r="J1398" s="349">
        <f>I1398+I1401+I1402</f>
        <v>321.32699999999994</v>
      </c>
      <c r="K1398" s="371"/>
      <c r="L1398" s="371"/>
    </row>
    <row r="1399" spans="1:12">
      <c r="A1399" s="422" t="s">
        <v>1386</v>
      </c>
      <c r="B1399" s="423">
        <v>40</v>
      </c>
      <c r="C1399" s="424">
        <v>36.799999999999997</v>
      </c>
      <c r="D1399" s="424"/>
      <c r="E1399" s="423"/>
      <c r="F1399" s="424"/>
      <c r="G1399" s="424"/>
      <c r="H1399" s="424"/>
      <c r="I1399" s="425"/>
      <c r="J1399" s="380"/>
      <c r="K1399" s="371"/>
      <c r="L1399" s="371"/>
    </row>
    <row r="1400" spans="1:12">
      <c r="A1400" s="426" t="s">
        <v>1387</v>
      </c>
      <c r="B1400" s="386">
        <v>40</v>
      </c>
      <c r="C1400" s="392">
        <v>24.4</v>
      </c>
      <c r="D1400" s="386"/>
      <c r="E1400" s="386"/>
      <c r="F1400" s="392"/>
      <c r="G1400" s="386"/>
      <c r="H1400" s="392"/>
      <c r="I1400" s="427"/>
      <c r="J1400" s="381"/>
      <c r="K1400" s="371"/>
      <c r="L1400" s="371"/>
    </row>
    <row r="1401" spans="1:12">
      <c r="A1401" s="350" t="s">
        <v>385</v>
      </c>
      <c r="B1401" s="351">
        <v>20</v>
      </c>
      <c r="C1401" s="391">
        <v>10.8</v>
      </c>
      <c r="D1401" s="392">
        <f>C1401*0.22</f>
        <v>2.3760000000000003</v>
      </c>
      <c r="E1401" s="355"/>
      <c r="F1401" s="392">
        <f>C1401*0.9</f>
        <v>9.7200000000000006</v>
      </c>
      <c r="G1401" s="392">
        <f>C1401+D1401+E1401+F1401</f>
        <v>22.896000000000001</v>
      </c>
      <c r="H1401" s="392">
        <f>G1401*0.35</f>
        <v>8.0136000000000003</v>
      </c>
      <c r="I1401" s="393">
        <f>G1401+H1401</f>
        <v>30.909600000000001</v>
      </c>
      <c r="J1401" s="381"/>
      <c r="K1401" s="371"/>
      <c r="L1401" s="371"/>
    </row>
    <row r="1402" spans="1:12">
      <c r="A1402" s="430"/>
      <c r="B1402" s="431"/>
      <c r="C1402" s="431"/>
      <c r="D1402" s="431"/>
      <c r="E1402" s="431"/>
      <c r="F1402" s="431"/>
      <c r="G1402" s="431"/>
      <c r="H1402" s="431"/>
      <c r="I1402" s="431"/>
      <c r="J1402" s="432"/>
      <c r="K1402" s="371"/>
      <c r="L1402" s="371"/>
    </row>
    <row r="1403" spans="1:12">
      <c r="A1403" s="373" t="s">
        <v>1403</v>
      </c>
      <c r="B1403" s="384"/>
      <c r="C1403" s="412">
        <f>C1404+C1405</f>
        <v>61.199999999999996</v>
      </c>
      <c r="D1403" s="412">
        <f>C1403*0.22</f>
        <v>13.463999999999999</v>
      </c>
      <c r="E1403" s="384">
        <v>85.38</v>
      </c>
      <c r="F1403" s="412">
        <f t="shared" ref="F1403" si="199">C1403*0.9</f>
        <v>55.08</v>
      </c>
      <c r="G1403" s="412">
        <f>C1403+D1403+E1403+F1403</f>
        <v>215.12399999999997</v>
      </c>
      <c r="H1403" s="412">
        <f t="shared" ref="H1403" si="200">G1403*0.35</f>
        <v>75.293399999999977</v>
      </c>
      <c r="I1403" s="413">
        <f>G1403+H1403</f>
        <v>290.41739999999993</v>
      </c>
      <c r="J1403" s="349">
        <f>I1403+I1406+I1407</f>
        <v>321.32699999999994</v>
      </c>
      <c r="K1403" s="371"/>
      <c r="L1403" s="371"/>
    </row>
    <row r="1404" spans="1:12">
      <c r="A1404" s="422" t="s">
        <v>1386</v>
      </c>
      <c r="B1404" s="423">
        <v>40</v>
      </c>
      <c r="C1404" s="424">
        <v>36.799999999999997</v>
      </c>
      <c r="D1404" s="424"/>
      <c r="E1404" s="423"/>
      <c r="F1404" s="424"/>
      <c r="G1404" s="424"/>
      <c r="H1404" s="424"/>
      <c r="I1404" s="425"/>
      <c r="J1404" s="379"/>
      <c r="K1404" s="371"/>
      <c r="L1404" s="371"/>
    </row>
    <row r="1405" spans="1:12">
      <c r="A1405" s="426" t="s">
        <v>1387</v>
      </c>
      <c r="B1405" s="386">
        <v>40</v>
      </c>
      <c r="C1405" s="392">
        <v>24.4</v>
      </c>
      <c r="D1405" s="386"/>
      <c r="E1405" s="386"/>
      <c r="F1405" s="392"/>
      <c r="G1405" s="386"/>
      <c r="H1405" s="392"/>
      <c r="I1405" s="427"/>
      <c r="J1405" s="408"/>
      <c r="K1405" s="371"/>
      <c r="L1405" s="371"/>
    </row>
    <row r="1406" spans="1:12">
      <c r="A1406" s="350" t="s">
        <v>385</v>
      </c>
      <c r="B1406" s="351">
        <v>20</v>
      </c>
      <c r="C1406" s="391">
        <v>10.8</v>
      </c>
      <c r="D1406" s="392">
        <f>C1406*0.22</f>
        <v>2.3760000000000003</v>
      </c>
      <c r="E1406" s="355"/>
      <c r="F1406" s="392">
        <f>C1406*0.9</f>
        <v>9.7200000000000006</v>
      </c>
      <c r="G1406" s="392">
        <f>C1406+D1406+E1406+F1406</f>
        <v>22.896000000000001</v>
      </c>
      <c r="H1406" s="392">
        <f>G1406*0.35</f>
        <v>8.0136000000000003</v>
      </c>
      <c r="I1406" s="393">
        <f>G1406+H1406</f>
        <v>30.909600000000001</v>
      </c>
      <c r="J1406" s="408"/>
      <c r="K1406" s="371"/>
      <c r="L1406" s="371"/>
    </row>
    <row r="1407" spans="1:12">
      <c r="A1407" s="430"/>
      <c r="B1407" s="431"/>
      <c r="C1407" s="431"/>
      <c r="D1407" s="431"/>
      <c r="E1407" s="431"/>
      <c r="F1407" s="431"/>
      <c r="G1407" s="431"/>
      <c r="H1407" s="431"/>
      <c r="I1407" s="431"/>
      <c r="J1407" s="431"/>
      <c r="K1407" s="371"/>
      <c r="L1407" s="371"/>
    </row>
    <row r="1408" spans="1:12">
      <c r="A1408" s="373" t="s">
        <v>1404</v>
      </c>
      <c r="B1408" s="384"/>
      <c r="C1408" s="412">
        <f>C1409+C1410</f>
        <v>30.599999999999998</v>
      </c>
      <c r="D1408" s="412">
        <f>C1408*0.22</f>
        <v>6.7319999999999993</v>
      </c>
      <c r="E1408" s="384">
        <v>85.38</v>
      </c>
      <c r="F1408" s="412">
        <f t="shared" ref="F1408" si="201">C1408*0.9</f>
        <v>27.54</v>
      </c>
      <c r="G1408" s="412">
        <f>C1408+D1408+E1408+F1408</f>
        <v>150.25199999999998</v>
      </c>
      <c r="H1408" s="412">
        <f t="shared" ref="H1408" si="202">G1408*0.35</f>
        <v>52.588199999999993</v>
      </c>
      <c r="I1408" s="413">
        <f>G1408+H1408</f>
        <v>202.84019999999998</v>
      </c>
      <c r="J1408" s="349">
        <f>I1408+I1411+I1412</f>
        <v>218.29499999999999</v>
      </c>
      <c r="K1408" s="371"/>
      <c r="L1408" s="371"/>
    </row>
    <row r="1409" spans="1:12">
      <c r="A1409" s="422" t="s">
        <v>1386</v>
      </c>
      <c r="B1409" s="423">
        <v>20</v>
      </c>
      <c r="C1409" s="424">
        <v>18.399999999999999</v>
      </c>
      <c r="D1409" s="424"/>
      <c r="E1409" s="423"/>
      <c r="F1409" s="424"/>
      <c r="G1409" s="424"/>
      <c r="H1409" s="424"/>
      <c r="I1409" s="425"/>
      <c r="J1409" s="380"/>
      <c r="K1409" s="371"/>
      <c r="L1409" s="371"/>
    </row>
    <row r="1410" spans="1:12">
      <c r="A1410" s="426" t="s">
        <v>1387</v>
      </c>
      <c r="B1410" s="386">
        <v>20</v>
      </c>
      <c r="C1410" s="392">
        <v>12.2</v>
      </c>
      <c r="D1410" s="386"/>
      <c r="E1410" s="386"/>
      <c r="F1410" s="392"/>
      <c r="G1410" s="386"/>
      <c r="H1410" s="392"/>
      <c r="I1410" s="427"/>
      <c r="J1410" s="381"/>
      <c r="K1410" s="371"/>
      <c r="L1410" s="371"/>
    </row>
    <row r="1411" spans="1:12">
      <c r="A1411" s="350" t="s">
        <v>385</v>
      </c>
      <c r="B1411" s="351">
        <v>10</v>
      </c>
      <c r="C1411" s="391">
        <v>5.4</v>
      </c>
      <c r="D1411" s="392">
        <f>C1411*0.22</f>
        <v>1.1880000000000002</v>
      </c>
      <c r="E1411" s="355"/>
      <c r="F1411" s="392">
        <f>C1411*0.9</f>
        <v>4.8600000000000003</v>
      </c>
      <c r="G1411" s="392">
        <f>C1411+D1411+E1411+F1411</f>
        <v>11.448</v>
      </c>
      <c r="H1411" s="392">
        <f>G1411*0.35</f>
        <v>4.0068000000000001</v>
      </c>
      <c r="I1411" s="393">
        <f>G1411+H1411</f>
        <v>15.454800000000001</v>
      </c>
      <c r="J1411" s="381"/>
      <c r="K1411" s="371"/>
      <c r="L1411" s="371"/>
    </row>
    <row r="1412" spans="1:12">
      <c r="A1412" s="430"/>
      <c r="B1412" s="431"/>
      <c r="C1412" s="431"/>
      <c r="D1412" s="431"/>
      <c r="E1412" s="431"/>
      <c r="F1412" s="431"/>
      <c r="G1412" s="431"/>
      <c r="H1412" s="431"/>
      <c r="I1412" s="431"/>
      <c r="J1412" s="432"/>
      <c r="K1412" s="371"/>
      <c r="L1412" s="371"/>
    </row>
    <row r="1413" spans="1:12">
      <c r="A1413" s="373" t="s">
        <v>1405</v>
      </c>
      <c r="B1413" s="384"/>
      <c r="C1413" s="412">
        <f>C1414+C1415</f>
        <v>30.599999999999998</v>
      </c>
      <c r="D1413" s="412">
        <f>C1413*0.22</f>
        <v>6.7319999999999993</v>
      </c>
      <c r="E1413" s="384">
        <v>85.38</v>
      </c>
      <c r="F1413" s="412">
        <f t="shared" ref="F1413" si="203">C1413*0.9</f>
        <v>27.54</v>
      </c>
      <c r="G1413" s="412">
        <f>C1413+D1413+E1413+F1413</f>
        <v>150.25199999999998</v>
      </c>
      <c r="H1413" s="412">
        <f t="shared" ref="H1413" si="204">G1413*0.35</f>
        <v>52.588199999999993</v>
      </c>
      <c r="I1413" s="413">
        <f>G1413+H1413</f>
        <v>202.84019999999998</v>
      </c>
      <c r="J1413" s="349">
        <f>I1413+I1416</f>
        <v>218.29499999999999</v>
      </c>
      <c r="K1413" s="371"/>
      <c r="L1413" s="371"/>
    </row>
    <row r="1414" spans="1:12">
      <c r="A1414" s="422" t="s">
        <v>1386</v>
      </c>
      <c r="B1414" s="423">
        <v>20</v>
      </c>
      <c r="C1414" s="424">
        <v>18.399999999999999</v>
      </c>
      <c r="D1414" s="424"/>
      <c r="E1414" s="423"/>
      <c r="F1414" s="424"/>
      <c r="G1414" s="424"/>
      <c r="H1414" s="424"/>
      <c r="I1414" s="425"/>
      <c r="J1414" s="380"/>
      <c r="K1414" s="371"/>
      <c r="L1414" s="371"/>
    </row>
    <row r="1415" spans="1:12">
      <c r="A1415" s="426" t="s">
        <v>1387</v>
      </c>
      <c r="B1415" s="386">
        <v>20</v>
      </c>
      <c r="C1415" s="392">
        <v>12.2</v>
      </c>
      <c r="D1415" s="386"/>
      <c r="E1415" s="386"/>
      <c r="F1415" s="392"/>
      <c r="G1415" s="386"/>
      <c r="H1415" s="392"/>
      <c r="I1415" s="427"/>
      <c r="J1415" s="381"/>
      <c r="K1415" s="371"/>
      <c r="L1415" s="371"/>
    </row>
    <row r="1416" spans="1:12">
      <c r="A1416" s="350" t="s">
        <v>385</v>
      </c>
      <c r="B1416" s="351">
        <v>10</v>
      </c>
      <c r="C1416" s="391">
        <v>5.4</v>
      </c>
      <c r="D1416" s="392">
        <f>C1416*0.22</f>
        <v>1.1880000000000002</v>
      </c>
      <c r="E1416" s="355"/>
      <c r="F1416" s="392">
        <f>C1416*0.9</f>
        <v>4.8600000000000003</v>
      </c>
      <c r="G1416" s="392">
        <f>C1416+D1416+E1416+F1416</f>
        <v>11.448</v>
      </c>
      <c r="H1416" s="392">
        <f>G1416*0.35</f>
        <v>4.0068000000000001</v>
      </c>
      <c r="I1416" s="393">
        <f>G1416+H1416</f>
        <v>15.454800000000001</v>
      </c>
      <c r="J1416" s="381"/>
      <c r="K1416" s="371"/>
      <c r="L1416" s="371"/>
    </row>
    <row r="1417" spans="1:12">
      <c r="A1417" s="430"/>
      <c r="B1417" s="431"/>
      <c r="C1417" s="431"/>
      <c r="D1417" s="431"/>
      <c r="E1417" s="431"/>
      <c r="F1417" s="431"/>
      <c r="G1417" s="431"/>
      <c r="H1417" s="431"/>
      <c r="I1417" s="431"/>
      <c r="J1417" s="432"/>
      <c r="K1417" s="371"/>
      <c r="L1417" s="371"/>
    </row>
    <row r="1418" spans="1:12">
      <c r="A1418" s="373" t="s">
        <v>1406</v>
      </c>
      <c r="B1418" s="384"/>
      <c r="C1418" s="412">
        <f>C1419+C1420</f>
        <v>30.599999999999998</v>
      </c>
      <c r="D1418" s="412">
        <f>C1418*0.22</f>
        <v>6.7319999999999993</v>
      </c>
      <c r="E1418" s="384">
        <v>85.38</v>
      </c>
      <c r="F1418" s="412">
        <f t="shared" ref="F1418" si="205">C1418*0.9</f>
        <v>27.54</v>
      </c>
      <c r="G1418" s="412">
        <f>C1418+D1418+E1418+F1418</f>
        <v>150.25199999999998</v>
      </c>
      <c r="H1418" s="412">
        <f t="shared" ref="H1418" si="206">G1418*0.35</f>
        <v>52.588199999999993</v>
      </c>
      <c r="I1418" s="413">
        <f>G1418+H1418</f>
        <v>202.84019999999998</v>
      </c>
      <c r="J1418" s="349">
        <f>I1418+I1421+I1422</f>
        <v>218.29499999999999</v>
      </c>
      <c r="K1418" s="371"/>
      <c r="L1418" s="371"/>
    </row>
    <row r="1419" spans="1:12">
      <c r="A1419" s="422" t="s">
        <v>1386</v>
      </c>
      <c r="B1419" s="423">
        <v>20</v>
      </c>
      <c r="C1419" s="424">
        <v>18.399999999999999</v>
      </c>
      <c r="D1419" s="424"/>
      <c r="E1419" s="423"/>
      <c r="F1419" s="424"/>
      <c r="G1419" s="424"/>
      <c r="H1419" s="424"/>
      <c r="I1419" s="425"/>
      <c r="J1419" s="380"/>
      <c r="K1419" s="371"/>
      <c r="L1419" s="371"/>
    </row>
    <row r="1420" spans="1:12">
      <c r="A1420" s="426" t="s">
        <v>1387</v>
      </c>
      <c r="B1420" s="386">
        <v>20</v>
      </c>
      <c r="C1420" s="392">
        <v>12.2</v>
      </c>
      <c r="D1420" s="386"/>
      <c r="E1420" s="386"/>
      <c r="F1420" s="392"/>
      <c r="G1420" s="386"/>
      <c r="H1420" s="392"/>
      <c r="I1420" s="427"/>
      <c r="J1420" s="381"/>
      <c r="K1420" s="371"/>
      <c r="L1420" s="371"/>
    </row>
    <row r="1421" spans="1:12">
      <c r="A1421" s="350" t="s">
        <v>385</v>
      </c>
      <c r="B1421" s="351">
        <v>10</v>
      </c>
      <c r="C1421" s="391">
        <v>5.4</v>
      </c>
      <c r="D1421" s="392">
        <f>C1421*0.22</f>
        <v>1.1880000000000002</v>
      </c>
      <c r="E1421" s="355"/>
      <c r="F1421" s="392">
        <f>C1421*0.9</f>
        <v>4.8600000000000003</v>
      </c>
      <c r="G1421" s="392">
        <f>C1421+D1421+E1421+F1421</f>
        <v>11.448</v>
      </c>
      <c r="H1421" s="392">
        <f>G1421*0.35</f>
        <v>4.0068000000000001</v>
      </c>
      <c r="I1421" s="393">
        <f>G1421+H1421</f>
        <v>15.454800000000001</v>
      </c>
      <c r="J1421" s="381"/>
      <c r="K1421" s="371"/>
      <c r="L1421" s="371"/>
    </row>
    <row r="1422" spans="1:12">
      <c r="A1422" s="350"/>
      <c r="B1422" s="351"/>
      <c r="C1422" s="391"/>
      <c r="D1422" s="392"/>
      <c r="E1422" s="355"/>
      <c r="F1422" s="392"/>
      <c r="G1422" s="392"/>
      <c r="H1422" s="392"/>
      <c r="I1422" s="393"/>
      <c r="J1422" s="381"/>
      <c r="K1422" s="371"/>
      <c r="L1422" s="371"/>
    </row>
    <row r="1423" spans="1:12">
      <c r="A1423" s="373" t="s">
        <v>1407</v>
      </c>
      <c r="B1423" s="384"/>
      <c r="C1423" s="412">
        <f>C1424+C1425</f>
        <v>15.299999999999999</v>
      </c>
      <c r="D1423" s="412">
        <f>C1423*0.22</f>
        <v>3.3659999999999997</v>
      </c>
      <c r="E1423" s="384">
        <v>85.38</v>
      </c>
      <c r="F1423" s="412">
        <f t="shared" ref="F1423" si="207">C1423*0.9</f>
        <v>13.77</v>
      </c>
      <c r="G1423" s="412">
        <f>C1423+D1423+E1423+F1423</f>
        <v>117.81599999999999</v>
      </c>
      <c r="H1423" s="412">
        <f t="shared" ref="H1423" si="208">G1423*0.35</f>
        <v>41.235599999999991</v>
      </c>
      <c r="I1423" s="413">
        <f>G1423+H1423</f>
        <v>159.05159999999998</v>
      </c>
      <c r="J1423" s="349">
        <f>I1423+I1426+I1427</f>
        <v>166.77899999999997</v>
      </c>
      <c r="K1423" s="371"/>
      <c r="L1423" s="371"/>
    </row>
    <row r="1424" spans="1:12">
      <c r="A1424" s="422" t="s">
        <v>1386</v>
      </c>
      <c r="B1424" s="423">
        <v>10</v>
      </c>
      <c r="C1424" s="424">
        <v>9.1999999999999993</v>
      </c>
      <c r="D1424" s="424"/>
      <c r="E1424" s="423"/>
      <c r="F1424" s="424"/>
      <c r="G1424" s="424"/>
      <c r="H1424" s="424"/>
      <c r="I1424" s="425"/>
      <c r="J1424" s="380"/>
      <c r="K1424" s="371"/>
      <c r="L1424" s="371"/>
    </row>
    <row r="1425" spans="1:12">
      <c r="A1425" s="426" t="s">
        <v>1387</v>
      </c>
      <c r="B1425" s="386">
        <v>10</v>
      </c>
      <c r="C1425" s="392">
        <v>6.1</v>
      </c>
      <c r="D1425" s="386"/>
      <c r="E1425" s="386"/>
      <c r="F1425" s="392"/>
      <c r="G1425" s="386"/>
      <c r="H1425" s="392"/>
      <c r="I1425" s="427"/>
      <c r="J1425" s="381"/>
      <c r="K1425" s="371"/>
      <c r="L1425" s="371"/>
    </row>
    <row r="1426" spans="1:12">
      <c r="A1426" s="350" t="s">
        <v>385</v>
      </c>
      <c r="B1426" s="351">
        <v>5</v>
      </c>
      <c r="C1426" s="391">
        <v>2.7</v>
      </c>
      <c r="D1426" s="392">
        <f>C1426*0.22</f>
        <v>0.59400000000000008</v>
      </c>
      <c r="E1426" s="355"/>
      <c r="F1426" s="392">
        <f>C1426*0.9</f>
        <v>2.4300000000000002</v>
      </c>
      <c r="G1426" s="392">
        <f>C1426+D1426+E1426+F1426</f>
        <v>5.7240000000000002</v>
      </c>
      <c r="H1426" s="392">
        <f>G1426*0.35</f>
        <v>2.0034000000000001</v>
      </c>
      <c r="I1426" s="393">
        <f>G1426+H1426</f>
        <v>7.7274000000000003</v>
      </c>
      <c r="J1426" s="381"/>
      <c r="K1426" s="371"/>
      <c r="L1426" s="371"/>
    </row>
    <row r="1427" spans="1:12">
      <c r="A1427" s="350"/>
      <c r="B1427" s="351"/>
      <c r="C1427" s="391"/>
      <c r="D1427" s="392"/>
      <c r="E1427" s="355"/>
      <c r="F1427" s="392"/>
      <c r="G1427" s="392"/>
      <c r="H1427" s="392"/>
      <c r="I1427" s="393"/>
      <c r="J1427" s="381"/>
      <c r="K1427" s="371"/>
      <c r="L1427" s="371"/>
    </row>
    <row r="1428" spans="1:12">
      <c r="A1428" s="373" t="s">
        <v>1390</v>
      </c>
      <c r="B1428" s="384"/>
      <c r="C1428" s="412">
        <f>C1429+C1430</f>
        <v>15.299999999999999</v>
      </c>
      <c r="D1428" s="412">
        <f>C1428*0.22</f>
        <v>3.3659999999999997</v>
      </c>
      <c r="E1428" s="384">
        <v>54.5</v>
      </c>
      <c r="F1428" s="412">
        <f t="shared" ref="F1428" si="209">C1428*0.9</f>
        <v>13.77</v>
      </c>
      <c r="G1428" s="412">
        <f>C1428+D1428+E1428+F1428</f>
        <v>86.935999999999993</v>
      </c>
      <c r="H1428" s="412">
        <f t="shared" ref="H1428" si="210">G1428*0.35</f>
        <v>30.427599999999995</v>
      </c>
      <c r="I1428" s="413">
        <f>G1428+H1428</f>
        <v>117.36359999999999</v>
      </c>
      <c r="J1428" s="349">
        <f>I1428+I1431+I1437</f>
        <v>125.09099999999999</v>
      </c>
      <c r="K1428" s="371"/>
      <c r="L1428" s="371"/>
    </row>
    <row r="1429" spans="1:12">
      <c r="A1429" s="422" t="s">
        <v>1386</v>
      </c>
      <c r="B1429" s="423">
        <v>10</v>
      </c>
      <c r="C1429" s="424">
        <v>9.1999999999999993</v>
      </c>
      <c r="D1429" s="424"/>
      <c r="E1429" s="423"/>
      <c r="F1429" s="424"/>
      <c r="G1429" s="424"/>
      <c r="H1429" s="424"/>
      <c r="I1429" s="425"/>
      <c r="J1429" s="379"/>
      <c r="K1429" s="371"/>
      <c r="L1429" s="371"/>
    </row>
    <row r="1430" spans="1:12">
      <c r="A1430" s="426" t="s">
        <v>1387</v>
      </c>
      <c r="B1430" s="386">
        <v>10</v>
      </c>
      <c r="C1430" s="392">
        <v>6.1</v>
      </c>
      <c r="D1430" s="386"/>
      <c r="E1430" s="386"/>
      <c r="F1430" s="392"/>
      <c r="G1430" s="386"/>
      <c r="H1430" s="392"/>
      <c r="I1430" s="427"/>
      <c r="J1430" s="408"/>
      <c r="K1430" s="371"/>
      <c r="L1430" s="371"/>
    </row>
    <row r="1431" spans="1:12">
      <c r="A1431" s="350" t="s">
        <v>385</v>
      </c>
      <c r="B1431" s="351">
        <v>5</v>
      </c>
      <c r="C1431" s="391">
        <v>2.7</v>
      </c>
      <c r="D1431" s="392">
        <f>C1431*0.22</f>
        <v>0.59400000000000008</v>
      </c>
      <c r="E1431" s="355"/>
      <c r="F1431" s="392">
        <f t="shared" ref="F1431" si="211">C1431*0.9</f>
        <v>2.4300000000000002</v>
      </c>
      <c r="G1431" s="392">
        <f>C1431+D1431+E1431+F1431</f>
        <v>5.7240000000000002</v>
      </c>
      <c r="H1431" s="392">
        <f t="shared" ref="H1431" si="212">G1431*0.35</f>
        <v>2.0034000000000001</v>
      </c>
      <c r="I1431" s="393">
        <f>G1431+H1431</f>
        <v>7.7274000000000003</v>
      </c>
      <c r="J1431" s="408"/>
      <c r="K1431" s="371"/>
      <c r="L1431" s="371"/>
    </row>
    <row r="1432" spans="1:12">
      <c r="A1432" s="350"/>
      <c r="B1432" s="351"/>
      <c r="C1432" s="391"/>
      <c r="D1432" s="392"/>
      <c r="E1432" s="355"/>
      <c r="F1432" s="392"/>
      <c r="G1432" s="392"/>
      <c r="H1432" s="392"/>
      <c r="I1432" s="393"/>
      <c r="J1432" s="408"/>
      <c r="K1432" s="371"/>
      <c r="L1432" s="371"/>
    </row>
    <row r="1433" spans="1:12">
      <c r="A1433" s="373" t="s">
        <v>1408</v>
      </c>
      <c r="B1433" s="384"/>
      <c r="C1433" s="412">
        <f>C1434+C1435</f>
        <v>22.950000000000003</v>
      </c>
      <c r="D1433" s="412">
        <f>C1433*0.22</f>
        <v>5.0490000000000004</v>
      </c>
      <c r="E1433" s="384">
        <v>54.5</v>
      </c>
      <c r="F1433" s="412">
        <f t="shared" ref="F1433" si="213">C1433*0.9</f>
        <v>20.655000000000005</v>
      </c>
      <c r="G1433" s="412">
        <f>C1433+D1433+E1433+F1433</f>
        <v>103.154</v>
      </c>
      <c r="H1433" s="412">
        <f t="shared" ref="H1433" si="214">G1433*0.35</f>
        <v>36.103899999999996</v>
      </c>
      <c r="I1433" s="413">
        <f>G1433+H1433</f>
        <v>139.25790000000001</v>
      </c>
      <c r="J1433" s="349">
        <f>I1433+I1436+I1441</f>
        <v>162.4401</v>
      </c>
      <c r="K1433" s="371"/>
      <c r="L1433" s="371"/>
    </row>
    <row r="1434" spans="1:12">
      <c r="A1434" s="422" t="s">
        <v>1386</v>
      </c>
      <c r="B1434" s="423">
        <v>15</v>
      </c>
      <c r="C1434" s="424">
        <v>13.8</v>
      </c>
      <c r="D1434" s="424"/>
      <c r="E1434" s="423"/>
      <c r="F1434" s="424"/>
      <c r="G1434" s="424"/>
      <c r="H1434" s="424"/>
      <c r="I1434" s="425"/>
      <c r="J1434" s="380"/>
      <c r="K1434" s="371"/>
      <c r="L1434" s="371"/>
    </row>
    <row r="1435" spans="1:12">
      <c r="A1435" s="426" t="s">
        <v>1387</v>
      </c>
      <c r="B1435" s="386">
        <v>15</v>
      </c>
      <c r="C1435" s="392">
        <v>9.15</v>
      </c>
      <c r="D1435" s="386"/>
      <c r="E1435" s="386"/>
      <c r="F1435" s="392"/>
      <c r="G1435" s="386"/>
      <c r="H1435" s="392"/>
      <c r="I1435" s="427"/>
      <c r="J1435" s="381"/>
      <c r="K1435" s="371"/>
      <c r="L1435" s="371"/>
    </row>
    <row r="1436" spans="1:12">
      <c r="A1436" s="350" t="s">
        <v>385</v>
      </c>
      <c r="B1436" s="351">
        <v>5</v>
      </c>
      <c r="C1436" s="391">
        <v>2.7</v>
      </c>
      <c r="D1436" s="392">
        <f>C1436*0.22</f>
        <v>0.59400000000000008</v>
      </c>
      <c r="E1436" s="355"/>
      <c r="F1436" s="392">
        <f t="shared" ref="F1436" si="215">C1436*0.9</f>
        <v>2.4300000000000002</v>
      </c>
      <c r="G1436" s="392">
        <f>C1436+D1436+E1436+F1436</f>
        <v>5.7240000000000002</v>
      </c>
      <c r="H1436" s="392">
        <f t="shared" ref="H1436" si="216">G1436*0.35</f>
        <v>2.0034000000000001</v>
      </c>
      <c r="I1436" s="393">
        <f>G1436+H1436</f>
        <v>7.7274000000000003</v>
      </c>
      <c r="J1436" s="381"/>
      <c r="K1436" s="371"/>
      <c r="L1436" s="371"/>
    </row>
    <row r="1437" spans="1:12">
      <c r="A1437" s="430"/>
      <c r="B1437" s="431"/>
      <c r="C1437" s="431"/>
      <c r="D1437" s="431"/>
      <c r="E1437" s="431"/>
      <c r="F1437" s="431"/>
      <c r="G1437" s="431"/>
      <c r="H1437" s="431"/>
      <c r="I1437" s="431"/>
      <c r="J1437" s="432"/>
      <c r="K1437" s="371"/>
      <c r="L1437" s="371"/>
    </row>
    <row r="1438" spans="1:12">
      <c r="A1438" s="373" t="s">
        <v>1409</v>
      </c>
      <c r="B1438" s="384"/>
      <c r="C1438" s="412">
        <f>C1439+C1440</f>
        <v>29.4</v>
      </c>
      <c r="D1438" s="412">
        <f>C1438*0.22</f>
        <v>6.468</v>
      </c>
      <c r="E1438" s="384">
        <v>85.38</v>
      </c>
      <c r="F1438" s="412">
        <f t="shared" ref="F1438" si="217">C1438*0.9</f>
        <v>26.46</v>
      </c>
      <c r="G1438" s="412">
        <f>C1438+D1438+E1438+F1438</f>
        <v>147.708</v>
      </c>
      <c r="H1438" s="412">
        <f t="shared" ref="H1438" si="218">G1438*0.35</f>
        <v>51.697799999999994</v>
      </c>
      <c r="I1438" s="413">
        <f>G1438+H1438</f>
        <v>199.4058</v>
      </c>
      <c r="J1438" s="349">
        <f>I1438+I1441+I1442</f>
        <v>214.86060000000001</v>
      </c>
      <c r="K1438" s="371"/>
      <c r="L1438" s="371"/>
    </row>
    <row r="1439" spans="1:12">
      <c r="A1439" s="422" t="s">
        <v>1386</v>
      </c>
      <c r="B1439" s="423">
        <v>20</v>
      </c>
      <c r="C1439" s="424">
        <v>17.8</v>
      </c>
      <c r="D1439" s="424"/>
      <c r="E1439" s="423"/>
      <c r="F1439" s="424"/>
      <c r="G1439" s="424"/>
      <c r="H1439" s="424"/>
      <c r="I1439" s="425"/>
      <c r="J1439" s="380"/>
      <c r="K1439" s="371"/>
      <c r="L1439" s="371"/>
    </row>
    <row r="1440" spans="1:12">
      <c r="A1440" s="426" t="s">
        <v>1387</v>
      </c>
      <c r="B1440" s="386">
        <v>20</v>
      </c>
      <c r="C1440" s="392">
        <v>11.6</v>
      </c>
      <c r="D1440" s="386"/>
      <c r="E1440" s="386"/>
      <c r="F1440" s="392"/>
      <c r="G1440" s="386"/>
      <c r="H1440" s="392"/>
      <c r="I1440" s="427"/>
      <c r="J1440" s="381"/>
      <c r="K1440" s="371"/>
      <c r="L1440" s="371"/>
    </row>
    <row r="1441" spans="1:12">
      <c r="A1441" s="350" t="s">
        <v>385</v>
      </c>
      <c r="B1441" s="351">
        <v>10</v>
      </c>
      <c r="C1441" s="391">
        <v>5.4</v>
      </c>
      <c r="D1441" s="392">
        <f>C1441*0.22</f>
        <v>1.1880000000000002</v>
      </c>
      <c r="E1441" s="355"/>
      <c r="F1441" s="392">
        <f>C1441*0.9</f>
        <v>4.8600000000000003</v>
      </c>
      <c r="G1441" s="392">
        <f>C1441+D1441+E1441+F1441</f>
        <v>11.448</v>
      </c>
      <c r="H1441" s="392">
        <f>G1441*0.35</f>
        <v>4.0068000000000001</v>
      </c>
      <c r="I1441" s="393">
        <f>G1441+H1441</f>
        <v>15.454800000000001</v>
      </c>
      <c r="J1441" s="381"/>
      <c r="K1441" s="371"/>
      <c r="L1441" s="371"/>
    </row>
    <row r="1442" spans="1:12">
      <c r="A1442" s="350"/>
      <c r="B1442" s="351"/>
      <c r="C1442" s="391"/>
      <c r="D1442" s="392"/>
      <c r="E1442" s="355"/>
      <c r="F1442" s="392"/>
      <c r="G1442" s="392"/>
      <c r="H1442" s="392"/>
      <c r="I1442" s="393"/>
      <c r="J1442" s="381"/>
      <c r="K1442" s="371"/>
      <c r="L1442" s="371"/>
    </row>
    <row r="1443" spans="1:12">
      <c r="A1443" s="373" t="s">
        <v>1410</v>
      </c>
      <c r="B1443" s="384"/>
      <c r="C1443" s="412">
        <f>C1444+C1445</f>
        <v>58.8</v>
      </c>
      <c r="D1443" s="412">
        <f>C1443*0.22</f>
        <v>12.936</v>
      </c>
      <c r="E1443" s="384">
        <v>85.38</v>
      </c>
      <c r="F1443" s="412">
        <f t="shared" ref="F1443" si="219">C1443*0.9</f>
        <v>52.92</v>
      </c>
      <c r="G1443" s="412">
        <f>C1443+D1443+E1443+F1443</f>
        <v>210.036</v>
      </c>
      <c r="H1443" s="412">
        <f t="shared" ref="H1443" si="220">G1443*0.35</f>
        <v>73.512599999999992</v>
      </c>
      <c r="I1443" s="413">
        <f>G1443+H1443</f>
        <v>283.54859999999996</v>
      </c>
      <c r="J1443" s="349">
        <f>I1443+I1446+I1447</f>
        <v>314.45819999999998</v>
      </c>
      <c r="K1443" s="371"/>
      <c r="L1443" s="371"/>
    </row>
    <row r="1444" spans="1:12">
      <c r="A1444" s="422" t="s">
        <v>1386</v>
      </c>
      <c r="B1444" s="423">
        <v>40</v>
      </c>
      <c r="C1444" s="424">
        <v>35.6</v>
      </c>
      <c r="D1444" s="424"/>
      <c r="E1444" s="423"/>
      <c r="F1444" s="424"/>
      <c r="G1444" s="424"/>
      <c r="H1444" s="424"/>
      <c r="I1444" s="425"/>
      <c r="J1444" s="380"/>
      <c r="K1444" s="371"/>
      <c r="L1444" s="371"/>
    </row>
    <row r="1445" spans="1:12">
      <c r="A1445" s="426" t="s">
        <v>1387</v>
      </c>
      <c r="B1445" s="386">
        <v>40</v>
      </c>
      <c r="C1445" s="392">
        <v>23.2</v>
      </c>
      <c r="D1445" s="386"/>
      <c r="E1445" s="386"/>
      <c r="F1445" s="392"/>
      <c r="G1445" s="386"/>
      <c r="H1445" s="392"/>
      <c r="I1445" s="427"/>
      <c r="J1445" s="381"/>
      <c r="K1445" s="371"/>
      <c r="L1445" s="371"/>
    </row>
    <row r="1446" spans="1:12">
      <c r="A1446" s="350" t="s">
        <v>385</v>
      </c>
      <c r="B1446" s="351">
        <v>20</v>
      </c>
      <c r="C1446" s="391">
        <v>10.8</v>
      </c>
      <c r="D1446" s="392">
        <f>C1446*0.22</f>
        <v>2.3760000000000003</v>
      </c>
      <c r="E1446" s="355"/>
      <c r="F1446" s="392">
        <f>C1446*0.9</f>
        <v>9.7200000000000006</v>
      </c>
      <c r="G1446" s="392">
        <f>C1446+D1446+E1446+F1446</f>
        <v>22.896000000000001</v>
      </c>
      <c r="H1446" s="392">
        <f>G1446*0.35</f>
        <v>8.0136000000000003</v>
      </c>
      <c r="I1446" s="393">
        <f>G1446+H1446</f>
        <v>30.909600000000001</v>
      </c>
      <c r="J1446" s="381"/>
      <c r="K1446" s="371"/>
      <c r="L1446" s="371"/>
    </row>
    <row r="1447" spans="1:12">
      <c r="A1447" s="350"/>
      <c r="B1447" s="351"/>
      <c r="C1447" s="391"/>
      <c r="D1447" s="392"/>
      <c r="E1447" s="355"/>
      <c r="F1447" s="392"/>
      <c r="G1447" s="392"/>
      <c r="H1447" s="392"/>
      <c r="I1447" s="393"/>
      <c r="J1447" s="381"/>
      <c r="K1447" s="371"/>
      <c r="L1447" s="371"/>
    </row>
    <row r="1448" spans="1:12">
      <c r="A1448" s="373" t="s">
        <v>1411</v>
      </c>
      <c r="B1448" s="384"/>
      <c r="C1448" s="412">
        <f>C1449+C1450</f>
        <v>88.199999999999989</v>
      </c>
      <c r="D1448" s="412">
        <f>C1448*0.22</f>
        <v>19.403999999999996</v>
      </c>
      <c r="E1448" s="384">
        <v>20.329999999999998</v>
      </c>
      <c r="F1448" s="412">
        <f t="shared" ref="F1448" si="221">C1448*0.9</f>
        <v>79.38</v>
      </c>
      <c r="G1448" s="412">
        <f>C1448+D1448+E1448+F1448</f>
        <v>207.31399999999996</v>
      </c>
      <c r="H1448" s="412">
        <f t="shared" ref="H1448" si="222">G1448*0.35</f>
        <v>72.559899999999985</v>
      </c>
      <c r="I1448" s="413">
        <f>G1448+H1448</f>
        <v>279.87389999999994</v>
      </c>
      <c r="J1448" s="349">
        <f>I1448+I1451+I1452</f>
        <v>326.23829999999992</v>
      </c>
      <c r="K1448" s="371"/>
      <c r="L1448" s="371"/>
    </row>
    <row r="1449" spans="1:12">
      <c r="A1449" s="422" t="s">
        <v>1386</v>
      </c>
      <c r="B1449" s="423">
        <v>60</v>
      </c>
      <c r="C1449" s="424">
        <v>53.4</v>
      </c>
      <c r="D1449" s="424"/>
      <c r="E1449" s="423"/>
      <c r="F1449" s="424"/>
      <c r="G1449" s="424"/>
      <c r="H1449" s="424"/>
      <c r="I1449" s="425"/>
      <c r="J1449" s="379"/>
      <c r="K1449" s="371"/>
      <c r="L1449" s="371"/>
    </row>
    <row r="1450" spans="1:12">
      <c r="A1450" s="426" t="s">
        <v>1387</v>
      </c>
      <c r="B1450" s="386">
        <v>60</v>
      </c>
      <c r="C1450" s="392">
        <v>34.799999999999997</v>
      </c>
      <c r="D1450" s="386"/>
      <c r="E1450" s="386"/>
      <c r="F1450" s="392"/>
      <c r="G1450" s="386"/>
      <c r="H1450" s="392"/>
      <c r="I1450" s="427"/>
      <c r="J1450" s="408"/>
      <c r="K1450" s="371"/>
      <c r="L1450" s="371"/>
    </row>
    <row r="1451" spans="1:12">
      <c r="A1451" s="350" t="s">
        <v>385</v>
      </c>
      <c r="B1451" s="351">
        <v>30</v>
      </c>
      <c r="C1451" s="391">
        <v>16.2</v>
      </c>
      <c r="D1451" s="392">
        <f>C1451*0.22</f>
        <v>3.5640000000000001</v>
      </c>
      <c r="E1451" s="355"/>
      <c r="F1451" s="392">
        <f>C1451*0.9</f>
        <v>14.58</v>
      </c>
      <c r="G1451" s="392">
        <f>C1451+D1451+E1451+F1451</f>
        <v>34.344000000000001</v>
      </c>
      <c r="H1451" s="392">
        <f>G1451*0.35</f>
        <v>12.0204</v>
      </c>
      <c r="I1451" s="393">
        <f>G1451+H1451</f>
        <v>46.364400000000003</v>
      </c>
      <c r="J1451" s="408"/>
      <c r="K1451" s="371"/>
      <c r="L1451" s="371"/>
    </row>
    <row r="1452" spans="1:12">
      <c r="A1452" s="350"/>
      <c r="B1452" s="351"/>
      <c r="C1452" s="391"/>
      <c r="D1452" s="392"/>
      <c r="E1452" s="355"/>
      <c r="F1452" s="392"/>
      <c r="G1452" s="392"/>
      <c r="H1452" s="392"/>
      <c r="I1452" s="393"/>
      <c r="J1452" s="408"/>
      <c r="K1452" s="371"/>
      <c r="L1452" s="371"/>
    </row>
    <row r="1453" spans="1:12" ht="12">
      <c r="A1453" s="433" t="s">
        <v>1412</v>
      </c>
      <c r="B1453" s="434"/>
      <c r="C1453" s="434"/>
      <c r="D1453" s="434"/>
      <c r="E1453" s="434"/>
      <c r="F1453" s="434"/>
      <c r="G1453" s="434"/>
      <c r="H1453" s="434"/>
      <c r="I1453" s="434"/>
      <c r="J1453" s="435"/>
      <c r="K1453" s="371"/>
      <c r="L1453" s="371"/>
    </row>
    <row r="1454" spans="1:12" ht="21.75">
      <c r="A1454" s="373" t="s">
        <v>1413</v>
      </c>
      <c r="B1454" s="384"/>
      <c r="C1454" s="412">
        <f>C1455+C1456</f>
        <v>22.049999999999997</v>
      </c>
      <c r="D1454" s="412">
        <f>C1454*0.22</f>
        <v>4.8509999999999991</v>
      </c>
      <c r="E1454" s="384">
        <v>4.88</v>
      </c>
      <c r="F1454" s="412">
        <f t="shared" ref="F1454" si="223">C1454*0.9</f>
        <v>19.844999999999999</v>
      </c>
      <c r="G1454" s="412">
        <f>C1454+D1454+E1454+F1454</f>
        <v>51.625999999999991</v>
      </c>
      <c r="H1454" s="412">
        <f t="shared" ref="H1454" si="224">G1454*0.35</f>
        <v>18.069099999999995</v>
      </c>
      <c r="I1454" s="413">
        <f>G1454+H1454</f>
        <v>69.695099999999982</v>
      </c>
      <c r="J1454" s="349">
        <f>I1454+I1457+I1458</f>
        <v>80.513459999999981</v>
      </c>
      <c r="K1454" s="371"/>
      <c r="L1454" s="371"/>
    </row>
    <row r="1455" spans="1:12">
      <c r="A1455" s="422" t="s">
        <v>1386</v>
      </c>
      <c r="B1455" s="423">
        <v>15</v>
      </c>
      <c r="C1455" s="424">
        <v>13.35</v>
      </c>
      <c r="D1455" s="424"/>
      <c r="E1455" s="423"/>
      <c r="F1455" s="424"/>
      <c r="G1455" s="424"/>
      <c r="H1455" s="424"/>
      <c r="I1455" s="425"/>
      <c r="J1455" s="380"/>
      <c r="K1455" s="371"/>
      <c r="L1455" s="371"/>
    </row>
    <row r="1456" spans="1:12">
      <c r="A1456" s="426" t="s">
        <v>1387</v>
      </c>
      <c r="B1456" s="386">
        <v>15</v>
      </c>
      <c r="C1456" s="392">
        <v>8.6999999999999993</v>
      </c>
      <c r="D1456" s="386"/>
      <c r="E1456" s="386"/>
      <c r="F1456" s="392"/>
      <c r="G1456" s="386"/>
      <c r="H1456" s="392"/>
      <c r="I1456" s="427"/>
      <c r="J1456" s="381"/>
      <c r="K1456" s="371"/>
      <c r="L1456" s="371"/>
    </row>
    <row r="1457" spans="1:12">
      <c r="A1457" s="350" t="s">
        <v>385</v>
      </c>
      <c r="B1457" s="351">
        <v>7</v>
      </c>
      <c r="C1457" s="391">
        <v>3.78</v>
      </c>
      <c r="D1457" s="392">
        <f>C1457*0.22</f>
        <v>0.83160000000000001</v>
      </c>
      <c r="E1457" s="355"/>
      <c r="F1457" s="392">
        <f t="shared" ref="F1457" si="225">C1457*0.9</f>
        <v>3.4019999999999997</v>
      </c>
      <c r="G1457" s="392">
        <f>C1457+D1457+E1457+F1457</f>
        <v>8.0136000000000003</v>
      </c>
      <c r="H1457" s="392">
        <f t="shared" ref="H1457" si="226">G1457*0.35</f>
        <v>2.8047599999999999</v>
      </c>
      <c r="I1457" s="393">
        <f>G1457+H1457</f>
        <v>10.81836</v>
      </c>
      <c r="J1457" s="381"/>
      <c r="K1457" s="371"/>
      <c r="L1457" s="371"/>
    </row>
    <row r="1458" spans="1:12">
      <c r="A1458" s="350"/>
      <c r="B1458" s="351"/>
      <c r="C1458" s="391"/>
      <c r="D1458" s="392"/>
      <c r="E1458" s="355"/>
      <c r="F1458" s="392"/>
      <c r="G1458" s="392"/>
      <c r="H1458" s="392"/>
      <c r="I1458" s="393"/>
      <c r="J1458" s="381"/>
      <c r="K1458" s="371"/>
      <c r="L1458" s="371"/>
    </row>
    <row r="1459" spans="1:12" ht="21.75">
      <c r="A1459" s="373" t="s">
        <v>1414</v>
      </c>
      <c r="B1459" s="384"/>
      <c r="C1459" s="412">
        <f>C1460+C1461</f>
        <v>22.049999999999997</v>
      </c>
      <c r="D1459" s="412">
        <f>C1459*0.22</f>
        <v>4.8509999999999991</v>
      </c>
      <c r="E1459" s="384">
        <v>4.88</v>
      </c>
      <c r="F1459" s="412">
        <f t="shared" ref="F1459" si="227">C1459*0.9</f>
        <v>19.844999999999999</v>
      </c>
      <c r="G1459" s="412">
        <f>C1459+D1459+E1459+F1459</f>
        <v>51.625999999999991</v>
      </c>
      <c r="H1459" s="412">
        <f t="shared" ref="H1459" si="228">G1459*0.35</f>
        <v>18.069099999999995</v>
      </c>
      <c r="I1459" s="413">
        <f>G1459+H1459</f>
        <v>69.695099999999982</v>
      </c>
      <c r="J1459" s="349">
        <f>I1459+I1462</f>
        <v>80.513459999999981</v>
      </c>
      <c r="K1459" s="371"/>
      <c r="L1459" s="371"/>
    </row>
    <row r="1460" spans="1:12">
      <c r="A1460" s="422" t="s">
        <v>1386</v>
      </c>
      <c r="B1460" s="423">
        <v>15</v>
      </c>
      <c r="C1460" s="424">
        <v>13.35</v>
      </c>
      <c r="D1460" s="424"/>
      <c r="E1460" s="423"/>
      <c r="F1460" s="424"/>
      <c r="G1460" s="424"/>
      <c r="H1460" s="424"/>
      <c r="I1460" s="425"/>
      <c r="J1460" s="380"/>
      <c r="K1460" s="371"/>
      <c r="L1460" s="371"/>
    </row>
    <row r="1461" spans="1:12">
      <c r="A1461" s="426" t="s">
        <v>1387</v>
      </c>
      <c r="B1461" s="386">
        <v>15</v>
      </c>
      <c r="C1461" s="392">
        <v>8.6999999999999993</v>
      </c>
      <c r="D1461" s="386"/>
      <c r="E1461" s="386"/>
      <c r="F1461" s="392"/>
      <c r="G1461" s="386"/>
      <c r="H1461" s="392"/>
      <c r="I1461" s="427"/>
      <c r="J1461" s="381"/>
      <c r="K1461" s="371"/>
      <c r="L1461" s="371"/>
    </row>
    <row r="1462" spans="1:12">
      <c r="A1462" s="350" t="s">
        <v>385</v>
      </c>
      <c r="B1462" s="351">
        <v>7</v>
      </c>
      <c r="C1462" s="391">
        <v>3.78</v>
      </c>
      <c r="D1462" s="392">
        <f>C1462*0.22</f>
        <v>0.83160000000000001</v>
      </c>
      <c r="E1462" s="355"/>
      <c r="F1462" s="392">
        <f t="shared" ref="F1462" si="229">C1462*0.9</f>
        <v>3.4019999999999997</v>
      </c>
      <c r="G1462" s="392">
        <f>C1462+D1462+E1462+F1462</f>
        <v>8.0136000000000003</v>
      </c>
      <c r="H1462" s="392">
        <f t="shared" ref="H1462" si="230">G1462*0.35</f>
        <v>2.8047599999999999</v>
      </c>
      <c r="I1462" s="393">
        <f>G1462+H1462</f>
        <v>10.81836</v>
      </c>
      <c r="J1462" s="381"/>
      <c r="K1462" s="371"/>
      <c r="L1462" s="371"/>
    </row>
    <row r="1463" spans="1:12">
      <c r="A1463" s="350"/>
      <c r="B1463" s="351"/>
      <c r="C1463" s="391"/>
      <c r="D1463" s="392"/>
      <c r="E1463" s="355"/>
      <c r="F1463" s="392"/>
      <c r="G1463" s="392"/>
      <c r="H1463" s="392"/>
      <c r="I1463" s="393"/>
      <c r="J1463" s="381"/>
      <c r="K1463" s="371"/>
      <c r="L1463" s="371"/>
    </row>
    <row r="1464" spans="1:12">
      <c r="A1464" s="373" t="s">
        <v>1415</v>
      </c>
      <c r="B1464" s="384"/>
      <c r="C1464" s="412">
        <f>C1465+C1466</f>
        <v>29.4</v>
      </c>
      <c r="D1464" s="412">
        <f>C1464*0.22</f>
        <v>6.468</v>
      </c>
      <c r="E1464" s="384">
        <v>85.38</v>
      </c>
      <c r="F1464" s="412">
        <f t="shared" ref="F1464" si="231">C1464*0.9</f>
        <v>26.46</v>
      </c>
      <c r="G1464" s="412">
        <f>C1464+D1464+E1464+F1464</f>
        <v>147.708</v>
      </c>
      <c r="H1464" s="412">
        <f t="shared" ref="H1464" si="232">G1464*0.35</f>
        <v>51.697799999999994</v>
      </c>
      <c r="I1464" s="413">
        <f>G1464+H1464</f>
        <v>199.4058</v>
      </c>
      <c r="J1464" s="349">
        <f>I1464+I1467+I1468</f>
        <v>214.86060000000001</v>
      </c>
      <c r="K1464" s="371"/>
      <c r="L1464" s="371"/>
    </row>
    <row r="1465" spans="1:12">
      <c r="A1465" s="422" t="s">
        <v>1386</v>
      </c>
      <c r="B1465" s="423">
        <v>20</v>
      </c>
      <c r="C1465" s="424">
        <v>17.8</v>
      </c>
      <c r="D1465" s="424"/>
      <c r="E1465" s="423"/>
      <c r="F1465" s="424"/>
      <c r="G1465" s="424"/>
      <c r="H1465" s="424"/>
      <c r="I1465" s="425"/>
      <c r="J1465" s="380"/>
      <c r="K1465" s="371"/>
      <c r="L1465" s="371"/>
    </row>
    <row r="1466" spans="1:12">
      <c r="A1466" s="426" t="s">
        <v>1387</v>
      </c>
      <c r="B1466" s="386">
        <v>20</v>
      </c>
      <c r="C1466" s="392">
        <v>11.6</v>
      </c>
      <c r="D1466" s="386"/>
      <c r="E1466" s="386"/>
      <c r="F1466" s="392"/>
      <c r="G1466" s="386"/>
      <c r="H1466" s="392"/>
      <c r="I1466" s="427"/>
      <c r="J1466" s="381"/>
      <c r="K1466" s="371"/>
      <c r="L1466" s="371"/>
    </row>
    <row r="1467" spans="1:12">
      <c r="A1467" s="350" t="s">
        <v>385</v>
      </c>
      <c r="B1467" s="351">
        <v>10</v>
      </c>
      <c r="C1467" s="391">
        <v>5.4</v>
      </c>
      <c r="D1467" s="392">
        <f>C1467*0.22</f>
        <v>1.1880000000000002</v>
      </c>
      <c r="E1467" s="355"/>
      <c r="F1467" s="392">
        <f>C1467*0.9</f>
        <v>4.8600000000000003</v>
      </c>
      <c r="G1467" s="392">
        <f>C1467+D1467+E1467+F1467</f>
        <v>11.448</v>
      </c>
      <c r="H1467" s="392">
        <f>G1467*0.35</f>
        <v>4.0068000000000001</v>
      </c>
      <c r="I1467" s="393">
        <f>G1467+H1467</f>
        <v>15.454800000000001</v>
      </c>
      <c r="J1467" s="381"/>
      <c r="K1467" s="371"/>
      <c r="L1467" s="371"/>
    </row>
    <row r="1468" spans="1:12">
      <c r="A1468" s="350"/>
      <c r="B1468" s="351"/>
      <c r="C1468" s="391"/>
      <c r="D1468" s="392"/>
      <c r="E1468" s="355"/>
      <c r="F1468" s="392"/>
      <c r="G1468" s="392"/>
      <c r="H1468" s="392"/>
      <c r="I1468" s="393"/>
      <c r="J1468" s="381"/>
      <c r="K1468" s="371"/>
      <c r="L1468" s="371"/>
    </row>
    <row r="1469" spans="1:12">
      <c r="A1469" s="373" t="s">
        <v>1416</v>
      </c>
      <c r="B1469" s="384"/>
      <c r="C1469" s="412">
        <f>C1470+C1471</f>
        <v>44.099999999999994</v>
      </c>
      <c r="D1469" s="412">
        <f>C1469*0.22</f>
        <v>9.7019999999999982</v>
      </c>
      <c r="E1469" s="384">
        <v>85.38</v>
      </c>
      <c r="F1469" s="412">
        <f t="shared" ref="F1469" si="233">C1469*0.9</f>
        <v>39.69</v>
      </c>
      <c r="G1469" s="412">
        <f>C1469+D1469+E1469+F1469</f>
        <v>178.87199999999999</v>
      </c>
      <c r="H1469" s="412">
        <f t="shared" ref="H1469" si="234">G1469*0.35</f>
        <v>62.605199999999989</v>
      </c>
      <c r="I1469" s="413">
        <f>G1469+H1469</f>
        <v>241.47719999999998</v>
      </c>
      <c r="J1469" s="349">
        <f>I1469+I1472+I1473</f>
        <v>264.65940000000001</v>
      </c>
      <c r="K1469" s="371"/>
      <c r="L1469" s="371"/>
    </row>
    <row r="1470" spans="1:12">
      <c r="A1470" s="422" t="s">
        <v>1386</v>
      </c>
      <c r="B1470" s="423">
        <v>30</v>
      </c>
      <c r="C1470" s="424">
        <v>26.7</v>
      </c>
      <c r="D1470" s="424"/>
      <c r="E1470" s="423"/>
      <c r="F1470" s="424"/>
      <c r="G1470" s="424"/>
      <c r="H1470" s="424"/>
      <c r="I1470" s="425"/>
      <c r="J1470" s="380"/>
      <c r="K1470" s="371"/>
      <c r="L1470" s="371"/>
    </row>
    <row r="1471" spans="1:12">
      <c r="A1471" s="426" t="s">
        <v>1387</v>
      </c>
      <c r="B1471" s="386">
        <v>30</v>
      </c>
      <c r="C1471" s="392">
        <v>17.399999999999999</v>
      </c>
      <c r="D1471" s="386"/>
      <c r="E1471" s="386"/>
      <c r="F1471" s="392"/>
      <c r="G1471" s="386"/>
      <c r="H1471" s="392"/>
      <c r="I1471" s="427"/>
      <c r="J1471" s="381"/>
      <c r="K1471" s="371"/>
      <c r="L1471" s="371"/>
    </row>
    <row r="1472" spans="1:12">
      <c r="A1472" s="350" t="s">
        <v>385</v>
      </c>
      <c r="B1472" s="351">
        <v>15</v>
      </c>
      <c r="C1472" s="391">
        <v>8.1</v>
      </c>
      <c r="D1472" s="392">
        <f>C1472*0.22</f>
        <v>1.782</v>
      </c>
      <c r="E1472" s="355"/>
      <c r="F1472" s="392">
        <f t="shared" ref="F1472" si="235">C1472*0.9</f>
        <v>7.29</v>
      </c>
      <c r="G1472" s="392">
        <f>C1472+D1472+E1472+F1472</f>
        <v>17.172000000000001</v>
      </c>
      <c r="H1472" s="392">
        <f t="shared" ref="H1472" si="236">G1472*0.35</f>
        <v>6.0102000000000002</v>
      </c>
      <c r="I1472" s="393">
        <f>G1472+H1472</f>
        <v>23.182200000000002</v>
      </c>
      <c r="J1472" s="381"/>
      <c r="K1472" s="371"/>
      <c r="L1472" s="371"/>
    </row>
    <row r="1473" spans="1:12">
      <c r="A1473" s="350"/>
      <c r="B1473" s="351"/>
      <c r="C1473" s="391"/>
      <c r="D1473" s="392"/>
      <c r="E1473" s="355"/>
      <c r="F1473" s="392"/>
      <c r="G1473" s="392"/>
      <c r="H1473" s="392"/>
      <c r="I1473" s="393"/>
      <c r="J1473" s="381"/>
      <c r="K1473" s="371"/>
      <c r="L1473" s="371"/>
    </row>
    <row r="1474" spans="1:12">
      <c r="A1474" s="373" t="s">
        <v>1417</v>
      </c>
      <c r="B1474" s="384"/>
      <c r="C1474" s="412">
        <f>C1475+C1476</f>
        <v>29.4</v>
      </c>
      <c r="D1474" s="412">
        <f>C1474*0.22</f>
        <v>6.468</v>
      </c>
      <c r="E1474" s="384">
        <v>85.38</v>
      </c>
      <c r="F1474" s="412">
        <f t="shared" ref="F1474" si="237">C1474*0.9</f>
        <v>26.46</v>
      </c>
      <c r="G1474" s="412">
        <f>C1474+D1474+E1474+F1474</f>
        <v>147.708</v>
      </c>
      <c r="H1474" s="412">
        <f t="shared" ref="H1474" si="238">G1474*0.35</f>
        <v>51.697799999999994</v>
      </c>
      <c r="I1474" s="413">
        <f>G1474+H1474</f>
        <v>199.4058</v>
      </c>
      <c r="J1474" s="349">
        <f>I1474+I1477+I1478</f>
        <v>214.86060000000001</v>
      </c>
      <c r="K1474" s="371"/>
      <c r="L1474" s="371"/>
    </row>
    <row r="1475" spans="1:12">
      <c r="A1475" s="422" t="s">
        <v>1386</v>
      </c>
      <c r="B1475" s="423">
        <v>20</v>
      </c>
      <c r="C1475" s="424">
        <v>17.8</v>
      </c>
      <c r="D1475" s="424"/>
      <c r="E1475" s="423"/>
      <c r="F1475" s="424"/>
      <c r="G1475" s="424"/>
      <c r="H1475" s="424"/>
      <c r="I1475" s="425"/>
      <c r="J1475" s="379"/>
      <c r="K1475" s="371"/>
      <c r="L1475" s="371"/>
    </row>
    <row r="1476" spans="1:12">
      <c r="A1476" s="426" t="s">
        <v>1387</v>
      </c>
      <c r="B1476" s="386">
        <v>20</v>
      </c>
      <c r="C1476" s="392">
        <v>11.6</v>
      </c>
      <c r="D1476" s="386"/>
      <c r="E1476" s="386"/>
      <c r="F1476" s="392"/>
      <c r="G1476" s="386"/>
      <c r="H1476" s="392"/>
      <c r="I1476" s="427"/>
      <c r="J1476" s="408"/>
      <c r="K1476" s="371"/>
      <c r="L1476" s="371"/>
    </row>
    <row r="1477" spans="1:12">
      <c r="A1477" s="350" t="s">
        <v>385</v>
      </c>
      <c r="B1477" s="351">
        <v>10</v>
      </c>
      <c r="C1477" s="391">
        <v>5.4</v>
      </c>
      <c r="D1477" s="392">
        <f>C1477*0.22</f>
        <v>1.1880000000000002</v>
      </c>
      <c r="E1477" s="355"/>
      <c r="F1477" s="392">
        <f>C1477*0.9</f>
        <v>4.8600000000000003</v>
      </c>
      <c r="G1477" s="392">
        <f>C1477+D1477+E1477+F1477</f>
        <v>11.448</v>
      </c>
      <c r="H1477" s="392">
        <f>G1477*0.35</f>
        <v>4.0068000000000001</v>
      </c>
      <c r="I1477" s="393">
        <f>G1477+H1477</f>
        <v>15.454800000000001</v>
      </c>
      <c r="J1477" s="408"/>
      <c r="K1477" s="371"/>
      <c r="L1477" s="371"/>
    </row>
    <row r="1478" spans="1:12">
      <c r="A1478" s="377"/>
      <c r="B1478" s="351"/>
      <c r="C1478" s="391"/>
      <c r="D1478" s="392"/>
      <c r="E1478" s="355"/>
      <c r="F1478" s="392"/>
      <c r="G1478" s="392"/>
      <c r="H1478" s="392"/>
      <c r="I1478" s="393"/>
      <c r="J1478" s="408"/>
      <c r="K1478" s="371"/>
      <c r="L1478" s="371"/>
    </row>
    <row r="1479" spans="1:12">
      <c r="A1479" s="373" t="s">
        <v>1418</v>
      </c>
      <c r="B1479" s="384"/>
      <c r="C1479" s="412">
        <f>C1480+C1481</f>
        <v>29.4</v>
      </c>
      <c r="D1479" s="412">
        <f>C1479*0.22</f>
        <v>6.468</v>
      </c>
      <c r="E1479" s="384">
        <v>53.55</v>
      </c>
      <c r="F1479" s="412">
        <f t="shared" ref="F1479" si="239">C1479*0.9</f>
        <v>26.46</v>
      </c>
      <c r="G1479" s="412">
        <f>C1479+D1479+E1479+F1479</f>
        <v>115.87799999999999</v>
      </c>
      <c r="H1479" s="412">
        <f t="shared" ref="H1479" si="240">G1479*0.35</f>
        <v>40.557299999999991</v>
      </c>
      <c r="I1479" s="413">
        <f>G1479+H1479</f>
        <v>156.43529999999998</v>
      </c>
      <c r="J1479" s="349">
        <f>I1479+I1482+I1483</f>
        <v>171.89009999999999</v>
      </c>
      <c r="K1479" s="371"/>
      <c r="L1479" s="371"/>
    </row>
    <row r="1480" spans="1:12">
      <c r="A1480" s="422" t="s">
        <v>1386</v>
      </c>
      <c r="B1480" s="423">
        <v>20</v>
      </c>
      <c r="C1480" s="424">
        <v>17.8</v>
      </c>
      <c r="D1480" s="424"/>
      <c r="E1480" s="423"/>
      <c r="F1480" s="424"/>
      <c r="G1480" s="424"/>
      <c r="H1480" s="424"/>
      <c r="I1480" s="425"/>
      <c r="J1480" s="379"/>
      <c r="K1480" s="371"/>
      <c r="L1480" s="371"/>
    </row>
    <row r="1481" spans="1:12">
      <c r="A1481" s="426" t="s">
        <v>1387</v>
      </c>
      <c r="B1481" s="386">
        <v>20</v>
      </c>
      <c r="C1481" s="392">
        <v>11.6</v>
      </c>
      <c r="D1481" s="386"/>
      <c r="E1481" s="386"/>
      <c r="F1481" s="392"/>
      <c r="G1481" s="386"/>
      <c r="H1481" s="392"/>
      <c r="I1481" s="427"/>
      <c r="J1481" s="408"/>
      <c r="K1481" s="371"/>
      <c r="L1481" s="371"/>
    </row>
    <row r="1482" spans="1:12">
      <c r="A1482" s="350" t="s">
        <v>385</v>
      </c>
      <c r="B1482" s="351">
        <v>10</v>
      </c>
      <c r="C1482" s="391">
        <v>5.4</v>
      </c>
      <c r="D1482" s="392">
        <f>C1482*0.22</f>
        <v>1.1880000000000002</v>
      </c>
      <c r="E1482" s="355"/>
      <c r="F1482" s="392">
        <f>C1482*0.9</f>
        <v>4.8600000000000003</v>
      </c>
      <c r="G1482" s="392">
        <f>C1482+D1482+E1482+F1482</f>
        <v>11.448</v>
      </c>
      <c r="H1482" s="392">
        <f>G1482*0.35</f>
        <v>4.0068000000000001</v>
      </c>
      <c r="I1482" s="393">
        <f>G1482+H1482</f>
        <v>15.454800000000001</v>
      </c>
      <c r="J1482" s="408"/>
      <c r="K1482" s="371"/>
      <c r="L1482" s="371"/>
    </row>
    <row r="1483" spans="1:12" ht="12.75">
      <c r="A1483" s="436"/>
      <c r="B1483" s="437"/>
      <c r="C1483" s="438"/>
      <c r="D1483" s="439"/>
      <c r="E1483" s="440"/>
      <c r="F1483" s="439"/>
      <c r="G1483" s="439"/>
      <c r="H1483" s="439"/>
      <c r="I1483" s="441"/>
      <c r="J1483" s="442"/>
      <c r="K1483" s="371"/>
      <c r="L1483" s="371"/>
    </row>
    <row r="1484" spans="1:12" ht="12.75">
      <c r="A1484" s="443" t="s">
        <v>1419</v>
      </c>
      <c r="B1484" s="443"/>
      <c r="C1484" s="443"/>
      <c r="D1484" s="443"/>
      <c r="E1484" s="443"/>
      <c r="F1484" s="443"/>
      <c r="G1484" s="443"/>
      <c r="H1484" s="443"/>
      <c r="I1484" s="443"/>
      <c r="J1484" s="444"/>
      <c r="K1484" s="371"/>
      <c r="L1484" s="371"/>
    </row>
    <row r="1485" spans="1:12">
      <c r="A1485" s="373" t="s">
        <v>1420</v>
      </c>
      <c r="B1485" s="384"/>
      <c r="C1485" s="412">
        <v>31.5</v>
      </c>
      <c r="D1485" s="412">
        <f>C1485*0.22</f>
        <v>6.93</v>
      </c>
      <c r="E1485" s="384">
        <v>109.35</v>
      </c>
      <c r="F1485" s="412">
        <f t="shared" ref="F1485" si="241">C1485*0.9</f>
        <v>28.35</v>
      </c>
      <c r="G1485" s="412">
        <f>C1485+D1485+E1485+F1485</f>
        <v>176.13</v>
      </c>
      <c r="H1485" s="412">
        <f t="shared" ref="H1485" si="242">G1485*0.35</f>
        <v>61.645499999999991</v>
      </c>
      <c r="I1485" s="413">
        <f>G1485+H1485</f>
        <v>237.77549999999999</v>
      </c>
      <c r="J1485" s="349">
        <f>I1485+I1488+I1489</f>
        <v>253.2303</v>
      </c>
      <c r="K1485" s="371"/>
      <c r="L1485" s="371"/>
    </row>
    <row r="1486" spans="1:12">
      <c r="A1486" s="422" t="s">
        <v>1421</v>
      </c>
      <c r="B1486" s="423">
        <v>20</v>
      </c>
      <c r="C1486" s="424">
        <v>13.4</v>
      </c>
      <c r="D1486" s="424"/>
      <c r="E1486" s="423"/>
      <c r="F1486" s="424"/>
      <c r="G1486" s="424"/>
      <c r="H1486" s="424"/>
      <c r="I1486" s="425"/>
      <c r="J1486" s="380"/>
      <c r="K1486" s="371"/>
      <c r="L1486" s="371"/>
    </row>
    <row r="1487" spans="1:12">
      <c r="A1487" s="426" t="s">
        <v>1422</v>
      </c>
      <c r="B1487" s="386">
        <v>20</v>
      </c>
      <c r="C1487" s="392">
        <v>11.6</v>
      </c>
      <c r="D1487" s="386"/>
      <c r="E1487" s="386"/>
      <c r="F1487" s="392"/>
      <c r="G1487" s="386"/>
      <c r="H1487" s="392"/>
      <c r="I1487" s="427"/>
      <c r="J1487" s="381"/>
      <c r="K1487" s="371"/>
      <c r="L1487" s="371"/>
    </row>
    <row r="1488" spans="1:12">
      <c r="A1488" s="350" t="s">
        <v>385</v>
      </c>
      <c r="B1488" s="351">
        <v>10</v>
      </c>
      <c r="C1488" s="391">
        <v>5.4</v>
      </c>
      <c r="D1488" s="392">
        <f>C1488*0.22</f>
        <v>1.1880000000000002</v>
      </c>
      <c r="E1488" s="355"/>
      <c r="F1488" s="392">
        <f t="shared" ref="F1488:F1490" si="243">C1488*0.9</f>
        <v>4.8600000000000003</v>
      </c>
      <c r="G1488" s="392">
        <f>C1488+D1488+E1488+F1488</f>
        <v>11.448</v>
      </c>
      <c r="H1488" s="392">
        <f t="shared" ref="H1488:H1490" si="244">G1488*0.35</f>
        <v>4.0068000000000001</v>
      </c>
      <c r="I1488" s="393">
        <f>G1488+H1488</f>
        <v>15.454800000000001</v>
      </c>
      <c r="J1488" s="381"/>
      <c r="K1488" s="371"/>
      <c r="L1488" s="371"/>
    </row>
    <row r="1489" spans="1:12">
      <c r="A1489" s="350"/>
      <c r="B1489" s="351"/>
      <c r="C1489" s="391"/>
      <c r="D1489" s="392"/>
      <c r="E1489" s="355"/>
      <c r="F1489" s="392"/>
      <c r="G1489" s="392"/>
      <c r="H1489" s="392"/>
      <c r="I1489" s="393"/>
      <c r="J1489" s="381"/>
      <c r="K1489" s="371"/>
      <c r="L1489" s="371"/>
    </row>
    <row r="1490" spans="1:12">
      <c r="A1490" s="373" t="s">
        <v>1423</v>
      </c>
      <c r="B1490" s="384"/>
      <c r="C1490" s="412">
        <v>16.8</v>
      </c>
      <c r="D1490" s="412">
        <f>C1490*0.22</f>
        <v>3.6960000000000002</v>
      </c>
      <c r="E1490" s="384">
        <v>24.33</v>
      </c>
      <c r="F1490" s="412">
        <f t="shared" si="243"/>
        <v>15.120000000000001</v>
      </c>
      <c r="G1490" s="412">
        <f>C1490+D1490+E1490+F1490</f>
        <v>59.945999999999998</v>
      </c>
      <c r="H1490" s="412">
        <f t="shared" si="244"/>
        <v>20.981099999999998</v>
      </c>
      <c r="I1490" s="413">
        <f>G1490+H1490</f>
        <v>80.927099999999996</v>
      </c>
      <c r="J1490" s="349">
        <f>I1490+I1493+I1494</f>
        <v>88.654499999999999</v>
      </c>
      <c r="K1490" s="371"/>
      <c r="L1490" s="371"/>
    </row>
    <row r="1491" spans="1:12">
      <c r="A1491" s="422" t="s">
        <v>1421</v>
      </c>
      <c r="B1491" s="423">
        <v>10</v>
      </c>
      <c r="C1491" s="424">
        <v>6.7</v>
      </c>
      <c r="D1491" s="424"/>
      <c r="E1491" s="423"/>
      <c r="F1491" s="424"/>
      <c r="G1491" s="424"/>
      <c r="H1491" s="424"/>
      <c r="I1491" s="425"/>
      <c r="J1491" s="380"/>
      <c r="K1491" s="371"/>
      <c r="L1491" s="371"/>
    </row>
    <row r="1492" spans="1:12">
      <c r="A1492" s="426" t="s">
        <v>1387</v>
      </c>
      <c r="B1492" s="386">
        <v>10</v>
      </c>
      <c r="C1492" s="392">
        <v>5.8</v>
      </c>
      <c r="D1492" s="386"/>
      <c r="E1492" s="386"/>
      <c r="F1492" s="392"/>
      <c r="G1492" s="386"/>
      <c r="H1492" s="392"/>
      <c r="I1492" s="427"/>
      <c r="J1492" s="381"/>
      <c r="K1492" s="371"/>
      <c r="L1492" s="371"/>
    </row>
    <row r="1493" spans="1:12">
      <c r="A1493" s="350" t="s">
        <v>385</v>
      </c>
      <c r="B1493" s="351">
        <v>5</v>
      </c>
      <c r="C1493" s="391">
        <v>2.7</v>
      </c>
      <c r="D1493" s="392">
        <f>C1493*0.22</f>
        <v>0.59400000000000008</v>
      </c>
      <c r="E1493" s="355"/>
      <c r="F1493" s="392">
        <f t="shared" ref="F1493" si="245">C1493*0.9</f>
        <v>2.4300000000000002</v>
      </c>
      <c r="G1493" s="392">
        <f>C1493+D1493+E1493+F1493</f>
        <v>5.7240000000000002</v>
      </c>
      <c r="H1493" s="392">
        <f t="shared" ref="H1493:H1495" si="246">G1493*0.35</f>
        <v>2.0034000000000001</v>
      </c>
      <c r="I1493" s="393">
        <f>G1493+H1493</f>
        <v>7.7274000000000003</v>
      </c>
      <c r="J1493" s="381"/>
      <c r="K1493" s="371"/>
      <c r="L1493" s="371"/>
    </row>
    <row r="1494" spans="1:12">
      <c r="A1494" s="350"/>
      <c r="B1494" s="351"/>
      <c r="C1494" s="391"/>
      <c r="D1494" s="392"/>
      <c r="E1494" s="355"/>
      <c r="F1494" s="392"/>
      <c r="G1494" s="392"/>
      <c r="H1494" s="392"/>
      <c r="I1494" s="393"/>
      <c r="J1494" s="381"/>
      <c r="K1494" s="371"/>
      <c r="L1494" s="371"/>
    </row>
    <row r="1495" spans="1:12">
      <c r="A1495" s="373" t="s">
        <v>1411</v>
      </c>
      <c r="B1495" s="384"/>
      <c r="C1495" s="412">
        <v>90.3</v>
      </c>
      <c r="D1495" s="412">
        <f>C1495*0.22</f>
        <v>19.866</v>
      </c>
      <c r="E1495" s="384">
        <v>24.33</v>
      </c>
      <c r="F1495" s="412">
        <f>C1495*0.9</f>
        <v>81.27</v>
      </c>
      <c r="G1495" s="412">
        <f>C1495+D1495+E1495+F1495</f>
        <v>215.76599999999996</v>
      </c>
      <c r="H1495" s="412">
        <f t="shared" si="246"/>
        <v>75.518099999999976</v>
      </c>
      <c r="I1495" s="413">
        <f>G1495+H1495</f>
        <v>291.28409999999997</v>
      </c>
      <c r="J1495" s="349">
        <f>I1495+I1498+I1499</f>
        <v>337.64849999999996</v>
      </c>
      <c r="K1495" s="371"/>
      <c r="L1495" s="371"/>
    </row>
    <row r="1496" spans="1:12">
      <c r="A1496" s="422" t="s">
        <v>1421</v>
      </c>
      <c r="B1496" s="423">
        <v>60</v>
      </c>
      <c r="C1496" s="424">
        <v>40.200000000000003</v>
      </c>
      <c r="D1496" s="424"/>
      <c r="E1496" s="423"/>
      <c r="F1496" s="424"/>
      <c r="G1496" s="424"/>
      <c r="H1496" s="424"/>
      <c r="I1496" s="425"/>
      <c r="J1496" s="380"/>
      <c r="K1496" s="371"/>
      <c r="L1496" s="371"/>
    </row>
    <row r="1497" spans="1:12">
      <c r="A1497" s="426" t="s">
        <v>1387</v>
      </c>
      <c r="B1497" s="386">
        <v>60</v>
      </c>
      <c r="C1497" s="392">
        <v>34.799999999999997</v>
      </c>
      <c r="D1497" s="386"/>
      <c r="E1497" s="386"/>
      <c r="F1497" s="392"/>
      <c r="G1497" s="386"/>
      <c r="H1497" s="392"/>
      <c r="I1497" s="427"/>
      <c r="J1497" s="381"/>
      <c r="K1497" s="371"/>
      <c r="L1497" s="371"/>
    </row>
    <row r="1498" spans="1:12">
      <c r="A1498" s="350" t="s">
        <v>385</v>
      </c>
      <c r="B1498" s="351">
        <v>30</v>
      </c>
      <c r="C1498" s="391">
        <v>16.2</v>
      </c>
      <c r="D1498" s="392">
        <f>C1498*0.22</f>
        <v>3.5640000000000001</v>
      </c>
      <c r="E1498" s="355"/>
      <c r="F1498" s="392">
        <f t="shared" ref="F1498:F1500" si="247">C1498*0.9</f>
        <v>14.58</v>
      </c>
      <c r="G1498" s="392">
        <f>C1498+D1498+E1498+F1498</f>
        <v>34.344000000000001</v>
      </c>
      <c r="H1498" s="392">
        <f t="shared" ref="H1498:H1500" si="248">G1498*0.35</f>
        <v>12.0204</v>
      </c>
      <c r="I1498" s="393">
        <f>G1498+H1498</f>
        <v>46.364400000000003</v>
      </c>
      <c r="J1498" s="381"/>
      <c r="K1498" s="371"/>
      <c r="L1498" s="371"/>
    </row>
    <row r="1499" spans="1:12">
      <c r="A1499" s="350"/>
      <c r="B1499" s="351"/>
      <c r="C1499" s="391"/>
      <c r="D1499" s="392"/>
      <c r="E1499" s="355"/>
      <c r="F1499" s="392"/>
      <c r="G1499" s="392"/>
      <c r="H1499" s="392"/>
      <c r="I1499" s="393"/>
      <c r="J1499" s="381"/>
      <c r="K1499" s="371"/>
      <c r="L1499" s="371"/>
    </row>
    <row r="1500" spans="1:12">
      <c r="A1500" s="373" t="s">
        <v>1398</v>
      </c>
      <c r="B1500" s="384"/>
      <c r="C1500" s="412">
        <v>23.93</v>
      </c>
      <c r="D1500" s="412">
        <f>C1500*0.22</f>
        <v>5.2645999999999997</v>
      </c>
      <c r="E1500" s="384">
        <v>89.13</v>
      </c>
      <c r="F1500" s="412">
        <f t="shared" si="247"/>
        <v>21.536999999999999</v>
      </c>
      <c r="G1500" s="412">
        <f>C1500+D1500+E1500+F1500</f>
        <v>139.86160000000001</v>
      </c>
      <c r="H1500" s="412">
        <f t="shared" si="248"/>
        <v>48.951560000000001</v>
      </c>
      <c r="I1500" s="413">
        <f>G1500+H1500</f>
        <v>188.81316000000001</v>
      </c>
      <c r="J1500" s="349">
        <f>I1500+I1503+I1504</f>
        <v>199.63152000000002</v>
      </c>
      <c r="K1500" s="371"/>
      <c r="L1500" s="371"/>
    </row>
    <row r="1501" spans="1:12">
      <c r="A1501" s="422" t="s">
        <v>1421</v>
      </c>
      <c r="B1501" s="423">
        <v>15</v>
      </c>
      <c r="C1501" s="424">
        <v>10.050000000000001</v>
      </c>
      <c r="D1501" s="424"/>
      <c r="E1501" s="423"/>
      <c r="F1501" s="424"/>
      <c r="G1501" s="424"/>
      <c r="H1501" s="424"/>
      <c r="I1501" s="425"/>
      <c r="J1501" s="380"/>
      <c r="K1501" s="371"/>
      <c r="L1501" s="371"/>
    </row>
    <row r="1502" spans="1:12">
      <c r="A1502" s="422" t="s">
        <v>1421</v>
      </c>
      <c r="B1502" s="386">
        <v>15</v>
      </c>
      <c r="C1502" s="392">
        <v>8.6999999999999993</v>
      </c>
      <c r="D1502" s="386"/>
      <c r="E1502" s="386"/>
      <c r="F1502" s="392"/>
      <c r="G1502" s="386"/>
      <c r="H1502" s="392"/>
      <c r="I1502" s="427"/>
      <c r="J1502" s="381"/>
      <c r="K1502" s="371"/>
      <c r="L1502" s="371"/>
    </row>
    <row r="1503" spans="1:12">
      <c r="A1503" s="350" t="s">
        <v>385</v>
      </c>
      <c r="B1503" s="351">
        <v>7</v>
      </c>
      <c r="C1503" s="391">
        <v>3.78</v>
      </c>
      <c r="D1503" s="392">
        <f>C1503*0.22</f>
        <v>0.83160000000000001</v>
      </c>
      <c r="E1503" s="355"/>
      <c r="F1503" s="392">
        <f t="shared" ref="F1503:F1505" si="249">C1503*0.9</f>
        <v>3.4019999999999997</v>
      </c>
      <c r="G1503" s="392">
        <f>C1503+D1503+E1503+F1503</f>
        <v>8.0136000000000003</v>
      </c>
      <c r="H1503" s="392">
        <f t="shared" ref="H1503:H1505" si="250">G1503*0.35</f>
        <v>2.8047599999999999</v>
      </c>
      <c r="I1503" s="393">
        <f>G1503+H1503</f>
        <v>10.81836</v>
      </c>
      <c r="J1503" s="381"/>
      <c r="K1503" s="371"/>
      <c r="L1503" s="371"/>
    </row>
    <row r="1504" spans="1:12">
      <c r="A1504" s="350"/>
      <c r="B1504" s="351"/>
      <c r="C1504" s="391"/>
      <c r="D1504" s="392"/>
      <c r="E1504" s="355"/>
      <c r="F1504" s="392"/>
      <c r="G1504" s="392"/>
      <c r="H1504" s="392"/>
      <c r="I1504" s="393"/>
      <c r="J1504" s="381"/>
      <c r="K1504" s="371"/>
      <c r="L1504" s="371"/>
    </row>
    <row r="1505" spans="1:12">
      <c r="A1505" s="373" t="s">
        <v>1424</v>
      </c>
      <c r="B1505" s="384"/>
      <c r="C1505" s="412">
        <v>23.93</v>
      </c>
      <c r="D1505" s="412">
        <f>C1505*0.22</f>
        <v>5.2645999999999997</v>
      </c>
      <c r="E1505" s="384">
        <v>22.8</v>
      </c>
      <c r="F1505" s="412">
        <f t="shared" si="249"/>
        <v>21.536999999999999</v>
      </c>
      <c r="G1505" s="412">
        <f>C1505+D1505+E1505+F1505</f>
        <v>73.531599999999997</v>
      </c>
      <c r="H1505" s="412">
        <f t="shared" si="250"/>
        <v>25.736059999999998</v>
      </c>
      <c r="I1505" s="413">
        <f>G1505+H1505</f>
        <v>99.267659999999992</v>
      </c>
      <c r="J1505" s="349">
        <f>I1505+I1508+I1509</f>
        <v>110.08601999999999</v>
      </c>
      <c r="K1505" s="371"/>
      <c r="L1505" s="371"/>
    </row>
    <row r="1506" spans="1:12">
      <c r="A1506" s="422" t="s">
        <v>1421</v>
      </c>
      <c r="B1506" s="423">
        <v>15</v>
      </c>
      <c r="C1506" s="424">
        <v>10.050000000000001</v>
      </c>
      <c r="D1506" s="424"/>
      <c r="E1506" s="423"/>
      <c r="F1506" s="424"/>
      <c r="G1506" s="424"/>
      <c r="H1506" s="424"/>
      <c r="I1506" s="425"/>
      <c r="J1506" s="380"/>
      <c r="K1506" s="371"/>
      <c r="L1506" s="371"/>
    </row>
    <row r="1507" spans="1:12">
      <c r="A1507" s="426" t="s">
        <v>1387</v>
      </c>
      <c r="B1507" s="386">
        <v>15</v>
      </c>
      <c r="C1507" s="392">
        <v>8.6999999999999993</v>
      </c>
      <c r="D1507" s="386"/>
      <c r="E1507" s="386"/>
      <c r="F1507" s="392"/>
      <c r="G1507" s="386"/>
      <c r="H1507" s="392"/>
      <c r="I1507" s="427"/>
      <c r="J1507" s="381"/>
      <c r="K1507" s="371"/>
      <c r="L1507" s="371"/>
    </row>
    <row r="1508" spans="1:12">
      <c r="A1508" s="350" t="s">
        <v>385</v>
      </c>
      <c r="B1508" s="351">
        <v>7</v>
      </c>
      <c r="C1508" s="391">
        <v>3.78</v>
      </c>
      <c r="D1508" s="392">
        <f>C1508*0.22</f>
        <v>0.83160000000000001</v>
      </c>
      <c r="E1508" s="355"/>
      <c r="F1508" s="392">
        <f t="shared" ref="F1508:F1510" si="251">C1508*0.9</f>
        <v>3.4019999999999997</v>
      </c>
      <c r="G1508" s="392">
        <f>C1508+D1508+E1508+F1508</f>
        <v>8.0136000000000003</v>
      </c>
      <c r="H1508" s="392">
        <f t="shared" ref="H1508:H1510" si="252">G1508*0.35</f>
        <v>2.8047599999999999</v>
      </c>
      <c r="I1508" s="393">
        <f>G1508+H1508</f>
        <v>10.81836</v>
      </c>
      <c r="J1508" s="381"/>
      <c r="K1508" s="371"/>
      <c r="L1508" s="371"/>
    </row>
    <row r="1509" spans="1:12">
      <c r="A1509" s="350"/>
      <c r="B1509" s="351"/>
      <c r="C1509" s="391"/>
      <c r="D1509" s="392"/>
      <c r="E1509" s="355"/>
      <c r="F1509" s="392"/>
      <c r="G1509" s="392"/>
      <c r="H1509" s="392"/>
      <c r="I1509" s="393"/>
      <c r="J1509" s="381"/>
      <c r="K1509" s="371"/>
      <c r="L1509" s="371"/>
    </row>
    <row r="1510" spans="1:12">
      <c r="A1510" s="373" t="s">
        <v>1425</v>
      </c>
      <c r="B1510" s="384"/>
      <c r="C1510" s="412">
        <v>105</v>
      </c>
      <c r="D1510" s="412">
        <f>C1510*0.22</f>
        <v>23.1</v>
      </c>
      <c r="E1510" s="384">
        <v>84.3</v>
      </c>
      <c r="F1510" s="412">
        <f t="shared" si="251"/>
        <v>94.5</v>
      </c>
      <c r="G1510" s="412">
        <f>C1510+D1510+E1510+F1510</f>
        <v>306.89999999999998</v>
      </c>
      <c r="H1510" s="412">
        <f t="shared" si="252"/>
        <v>107.41499999999999</v>
      </c>
      <c r="I1510" s="413">
        <f>G1510+H1510</f>
        <v>414.31499999999994</v>
      </c>
      <c r="J1510" s="349">
        <f>I1510+I1513+I1514</f>
        <v>468.40679999999992</v>
      </c>
      <c r="K1510" s="371"/>
      <c r="L1510" s="371"/>
    </row>
    <row r="1511" spans="1:12">
      <c r="A1511" s="422" t="s">
        <v>1421</v>
      </c>
      <c r="B1511" s="423">
        <v>70</v>
      </c>
      <c r="C1511" s="424">
        <v>46.9</v>
      </c>
      <c r="D1511" s="424"/>
      <c r="E1511" s="423"/>
      <c r="F1511" s="424"/>
      <c r="G1511" s="424"/>
      <c r="H1511" s="424"/>
      <c r="I1511" s="425"/>
      <c r="J1511" s="380"/>
      <c r="K1511" s="371"/>
      <c r="L1511" s="371"/>
    </row>
    <row r="1512" spans="1:12">
      <c r="A1512" s="426" t="s">
        <v>1387</v>
      </c>
      <c r="B1512" s="386">
        <v>70</v>
      </c>
      <c r="C1512" s="392">
        <v>40.6</v>
      </c>
      <c r="D1512" s="386"/>
      <c r="E1512" s="386"/>
      <c r="F1512" s="392"/>
      <c r="G1512" s="386"/>
      <c r="H1512" s="392"/>
      <c r="I1512" s="427"/>
      <c r="J1512" s="381"/>
      <c r="K1512" s="371"/>
      <c r="L1512" s="371"/>
    </row>
    <row r="1513" spans="1:12">
      <c r="A1513" s="350" t="s">
        <v>385</v>
      </c>
      <c r="B1513" s="351">
        <v>35</v>
      </c>
      <c r="C1513" s="391">
        <v>18.899999999999999</v>
      </c>
      <c r="D1513" s="392">
        <f>C1513*0.22</f>
        <v>4.1579999999999995</v>
      </c>
      <c r="E1513" s="355"/>
      <c r="F1513" s="392">
        <f t="shared" ref="F1513:F1515" si="253">C1513*0.9</f>
        <v>17.009999999999998</v>
      </c>
      <c r="G1513" s="392">
        <f>C1513+D1513+E1513+F1513</f>
        <v>40.067999999999998</v>
      </c>
      <c r="H1513" s="392">
        <f t="shared" ref="H1513:H1515" si="254">G1513*0.35</f>
        <v>14.023799999999998</v>
      </c>
      <c r="I1513" s="393">
        <f>G1513+H1513</f>
        <v>54.091799999999992</v>
      </c>
      <c r="J1513" s="381"/>
      <c r="K1513" s="371"/>
      <c r="L1513" s="371"/>
    </row>
    <row r="1514" spans="1:12">
      <c r="A1514" s="350"/>
      <c r="B1514" s="351"/>
      <c r="C1514" s="391"/>
      <c r="D1514" s="392"/>
      <c r="E1514" s="355"/>
      <c r="F1514" s="392"/>
      <c r="G1514" s="392"/>
      <c r="H1514" s="392"/>
      <c r="I1514" s="393"/>
      <c r="J1514" s="381"/>
      <c r="K1514" s="371"/>
      <c r="L1514" s="371"/>
    </row>
    <row r="1515" spans="1:12">
      <c r="A1515" s="373" t="s">
        <v>1426</v>
      </c>
      <c r="B1515" s="384"/>
      <c r="C1515" s="412">
        <v>31.5</v>
      </c>
      <c r="D1515" s="412">
        <f>C1515*0.22</f>
        <v>6.93</v>
      </c>
      <c r="E1515" s="384">
        <v>89.13</v>
      </c>
      <c r="F1515" s="412">
        <f t="shared" si="253"/>
        <v>28.35</v>
      </c>
      <c r="G1515" s="412">
        <f>C1515+D1515+E1515+F1515</f>
        <v>155.91</v>
      </c>
      <c r="H1515" s="412">
        <f t="shared" si="254"/>
        <v>54.568499999999993</v>
      </c>
      <c r="I1515" s="413">
        <f>G1515+H1515</f>
        <v>210.4785</v>
      </c>
      <c r="J1515" s="349">
        <f>I1515+I1518+I1519</f>
        <v>225.9333</v>
      </c>
      <c r="K1515" s="371"/>
      <c r="L1515" s="371"/>
    </row>
    <row r="1516" spans="1:12">
      <c r="A1516" s="422" t="s">
        <v>1421</v>
      </c>
      <c r="B1516" s="423">
        <v>20</v>
      </c>
      <c r="C1516" s="424">
        <v>13.4</v>
      </c>
      <c r="D1516" s="424"/>
      <c r="E1516" s="423"/>
      <c r="F1516" s="424"/>
      <c r="G1516" s="424"/>
      <c r="H1516" s="424"/>
      <c r="I1516" s="425"/>
      <c r="J1516" s="379"/>
      <c r="K1516" s="371"/>
      <c r="L1516" s="371"/>
    </row>
    <row r="1517" spans="1:12">
      <c r="A1517" s="426" t="s">
        <v>1387</v>
      </c>
      <c r="B1517" s="386">
        <v>20</v>
      </c>
      <c r="C1517" s="392">
        <v>11.6</v>
      </c>
      <c r="D1517" s="386"/>
      <c r="E1517" s="386"/>
      <c r="F1517" s="392"/>
      <c r="G1517" s="386"/>
      <c r="H1517" s="392"/>
      <c r="I1517" s="427"/>
      <c r="J1517" s="408"/>
      <c r="K1517" s="371"/>
      <c r="L1517" s="371"/>
    </row>
    <row r="1518" spans="1:12">
      <c r="A1518" s="350" t="s">
        <v>385</v>
      </c>
      <c r="B1518" s="351">
        <v>10</v>
      </c>
      <c r="C1518" s="391">
        <v>5.4</v>
      </c>
      <c r="D1518" s="392">
        <f>C1518*0.22</f>
        <v>1.1880000000000002</v>
      </c>
      <c r="E1518" s="355"/>
      <c r="F1518" s="392">
        <f t="shared" ref="F1518:F1520" si="255">C1518*0.9</f>
        <v>4.8600000000000003</v>
      </c>
      <c r="G1518" s="392">
        <f>C1518+D1518+E1518+F1518</f>
        <v>11.448</v>
      </c>
      <c r="H1518" s="392">
        <f t="shared" ref="H1518:H1520" si="256">G1518*0.35</f>
        <v>4.0068000000000001</v>
      </c>
      <c r="I1518" s="393">
        <f>G1518+H1518</f>
        <v>15.454800000000001</v>
      </c>
      <c r="J1518" s="408"/>
      <c r="K1518" s="371"/>
      <c r="L1518" s="371"/>
    </row>
    <row r="1519" spans="1:12">
      <c r="A1519" s="350"/>
      <c r="B1519" s="351"/>
      <c r="C1519" s="391"/>
      <c r="D1519" s="392"/>
      <c r="E1519" s="355"/>
      <c r="F1519" s="392"/>
      <c r="G1519" s="392"/>
      <c r="H1519" s="392"/>
      <c r="I1519" s="393"/>
      <c r="J1519" s="408"/>
      <c r="K1519" s="371"/>
      <c r="L1519" s="371"/>
    </row>
    <row r="1520" spans="1:12">
      <c r="A1520" s="373" t="s">
        <v>1427</v>
      </c>
      <c r="B1520" s="384"/>
      <c r="C1520" s="412">
        <v>31.5</v>
      </c>
      <c r="D1520" s="412">
        <f>C1520*0.22</f>
        <v>6.93</v>
      </c>
      <c r="E1520" s="384">
        <v>40.43</v>
      </c>
      <c r="F1520" s="412">
        <f t="shared" si="255"/>
        <v>28.35</v>
      </c>
      <c r="G1520" s="412">
        <f>C1520+D1520+E1520+F1520</f>
        <v>107.21000000000001</v>
      </c>
      <c r="H1520" s="412">
        <f t="shared" si="256"/>
        <v>37.523499999999999</v>
      </c>
      <c r="I1520" s="413">
        <f>G1520+H1520</f>
        <v>144.73349999999999</v>
      </c>
      <c r="J1520" s="349">
        <f>I1520+I1523+I1534</f>
        <v>160.1883</v>
      </c>
      <c r="K1520" s="371"/>
      <c r="L1520" s="371"/>
    </row>
    <row r="1521" spans="1:12">
      <c r="A1521" s="422" t="s">
        <v>1421</v>
      </c>
      <c r="B1521" s="423">
        <v>20</v>
      </c>
      <c r="C1521" s="424">
        <v>13.4</v>
      </c>
      <c r="D1521" s="424"/>
      <c r="E1521" s="423"/>
      <c r="F1521" s="424"/>
      <c r="G1521" s="424"/>
      <c r="H1521" s="424"/>
      <c r="I1521" s="425"/>
      <c r="J1521" s="380"/>
      <c r="K1521" s="371"/>
      <c r="L1521" s="371"/>
    </row>
    <row r="1522" spans="1:12">
      <c r="A1522" s="426" t="s">
        <v>1387</v>
      </c>
      <c r="B1522" s="386">
        <v>20</v>
      </c>
      <c r="C1522" s="392">
        <v>11.6</v>
      </c>
      <c r="D1522" s="386"/>
      <c r="E1522" s="386"/>
      <c r="F1522" s="392"/>
      <c r="G1522" s="386"/>
      <c r="H1522" s="392"/>
      <c r="I1522" s="427"/>
      <c r="J1522" s="381"/>
      <c r="K1522" s="371"/>
      <c r="L1522" s="371"/>
    </row>
    <row r="1523" spans="1:12">
      <c r="A1523" s="350" t="s">
        <v>385</v>
      </c>
      <c r="B1523" s="351">
        <v>10</v>
      </c>
      <c r="C1523" s="391">
        <v>5.4</v>
      </c>
      <c r="D1523" s="392">
        <f>C1523*0.22</f>
        <v>1.1880000000000002</v>
      </c>
      <c r="E1523" s="355"/>
      <c r="F1523" s="392">
        <f t="shared" ref="F1523:F1535" si="257">C1523*0.9</f>
        <v>4.8600000000000003</v>
      </c>
      <c r="G1523" s="392">
        <f>C1523+D1523+E1523+F1523</f>
        <v>11.448</v>
      </c>
      <c r="H1523" s="392">
        <f t="shared" ref="H1523:H1535" si="258">G1523*0.35</f>
        <v>4.0068000000000001</v>
      </c>
      <c r="I1523" s="393">
        <f>G1523+H1523</f>
        <v>15.454800000000001</v>
      </c>
      <c r="J1523" s="381"/>
      <c r="K1523" s="371"/>
      <c r="L1523" s="371"/>
    </row>
    <row r="1524" spans="1:12">
      <c r="A1524" s="350"/>
      <c r="B1524" s="351"/>
      <c r="C1524" s="391"/>
      <c r="D1524" s="392"/>
      <c r="E1524" s="355"/>
      <c r="F1524" s="392"/>
      <c r="G1524" s="392"/>
      <c r="H1524" s="392"/>
      <c r="I1524" s="393"/>
      <c r="J1524" s="381"/>
      <c r="K1524" s="371"/>
      <c r="L1524" s="371"/>
    </row>
    <row r="1525" spans="1:12">
      <c r="A1525" s="373" t="s">
        <v>1428</v>
      </c>
      <c r="B1525" s="384"/>
      <c r="C1525" s="412">
        <v>31.5</v>
      </c>
      <c r="D1525" s="412">
        <f>C1525*0.22</f>
        <v>6.93</v>
      </c>
      <c r="E1525" s="384">
        <v>59.43</v>
      </c>
      <c r="F1525" s="412">
        <f t="shared" ref="F1525" si="259">C1525*0.9</f>
        <v>28.35</v>
      </c>
      <c r="G1525" s="412">
        <f>C1525+D1525+E1525+F1525</f>
        <v>126.21000000000001</v>
      </c>
      <c r="H1525" s="412">
        <f t="shared" ref="H1525" si="260">G1525*0.35</f>
        <v>44.173499999999997</v>
      </c>
      <c r="I1525" s="413">
        <f>G1525+H1525</f>
        <v>170.3835</v>
      </c>
      <c r="J1525" s="349">
        <f>I1525+I1528+I1539</f>
        <v>185.8383</v>
      </c>
      <c r="K1525" s="371"/>
      <c r="L1525" s="371"/>
    </row>
    <row r="1526" spans="1:12">
      <c r="A1526" s="422" t="s">
        <v>1421</v>
      </c>
      <c r="B1526" s="423">
        <v>20</v>
      </c>
      <c r="C1526" s="424">
        <v>13.4</v>
      </c>
      <c r="D1526" s="424"/>
      <c r="E1526" s="423"/>
      <c r="F1526" s="424"/>
      <c r="G1526" s="424"/>
      <c r="H1526" s="424"/>
      <c r="I1526" s="425"/>
      <c r="J1526" s="380"/>
      <c r="K1526" s="371"/>
      <c r="L1526" s="371"/>
    </row>
    <row r="1527" spans="1:12">
      <c r="A1527" s="426" t="s">
        <v>1387</v>
      </c>
      <c r="B1527" s="386">
        <v>20</v>
      </c>
      <c r="C1527" s="392">
        <v>11.6</v>
      </c>
      <c r="D1527" s="386"/>
      <c r="E1527" s="386"/>
      <c r="F1527" s="392"/>
      <c r="G1527" s="386"/>
      <c r="H1527" s="392"/>
      <c r="I1527" s="427"/>
      <c r="J1527" s="381"/>
      <c r="K1527" s="371"/>
      <c r="L1527" s="371"/>
    </row>
    <row r="1528" spans="1:12">
      <c r="A1528" s="350" t="s">
        <v>385</v>
      </c>
      <c r="B1528" s="351">
        <v>10</v>
      </c>
      <c r="C1528" s="391">
        <v>5.4</v>
      </c>
      <c r="D1528" s="392">
        <f>C1528*0.22</f>
        <v>1.1880000000000002</v>
      </c>
      <c r="E1528" s="355"/>
      <c r="F1528" s="392">
        <f t="shared" ref="F1528" si="261">C1528*0.9</f>
        <v>4.8600000000000003</v>
      </c>
      <c r="G1528" s="392">
        <f>C1528+D1528+E1528+F1528</f>
        <v>11.448</v>
      </c>
      <c r="H1528" s="392">
        <f t="shared" ref="H1528" si="262">G1528*0.35</f>
        <v>4.0068000000000001</v>
      </c>
      <c r="I1528" s="393">
        <f>G1528+H1528</f>
        <v>15.454800000000001</v>
      </c>
      <c r="J1528" s="381"/>
      <c r="K1528" s="371"/>
      <c r="L1528" s="371"/>
    </row>
    <row r="1529" spans="1:12">
      <c r="A1529" s="350"/>
      <c r="B1529" s="351"/>
      <c r="C1529" s="391"/>
      <c r="D1529" s="392"/>
      <c r="E1529" s="355"/>
      <c r="F1529" s="392"/>
      <c r="G1529" s="392"/>
      <c r="H1529" s="392"/>
      <c r="I1529" s="393"/>
      <c r="J1529" s="381"/>
      <c r="K1529" s="371"/>
      <c r="L1529" s="371"/>
    </row>
    <row r="1530" spans="1:12">
      <c r="A1530" s="373" t="s">
        <v>1429</v>
      </c>
      <c r="B1530" s="384"/>
      <c r="C1530" s="412">
        <v>31.5</v>
      </c>
      <c r="D1530" s="412">
        <f>C1530*0.22</f>
        <v>6.93</v>
      </c>
      <c r="E1530" s="384">
        <v>93.43</v>
      </c>
      <c r="F1530" s="412">
        <f t="shared" ref="F1530" si="263">C1530*0.9</f>
        <v>28.35</v>
      </c>
      <c r="G1530" s="412">
        <f>C1530+D1530+E1530+F1530</f>
        <v>160.21</v>
      </c>
      <c r="H1530" s="412">
        <f t="shared" ref="H1530" si="264">G1530*0.35</f>
        <v>56.073499999999996</v>
      </c>
      <c r="I1530" s="413">
        <f>G1530+H1530</f>
        <v>216.2835</v>
      </c>
      <c r="J1530" s="349">
        <f>I1530+I1533+I1544</f>
        <v>231.73830000000001</v>
      </c>
      <c r="K1530" s="371"/>
      <c r="L1530" s="371"/>
    </row>
    <row r="1531" spans="1:12">
      <c r="A1531" s="422" t="s">
        <v>1421</v>
      </c>
      <c r="B1531" s="423">
        <v>20</v>
      </c>
      <c r="C1531" s="424">
        <v>13.4</v>
      </c>
      <c r="D1531" s="424"/>
      <c r="E1531" s="423"/>
      <c r="F1531" s="424"/>
      <c r="G1531" s="424"/>
      <c r="H1531" s="424"/>
      <c r="I1531" s="425"/>
      <c r="J1531" s="380"/>
      <c r="K1531" s="371"/>
      <c r="L1531" s="371"/>
    </row>
    <row r="1532" spans="1:12">
      <c r="A1532" s="426" t="s">
        <v>1387</v>
      </c>
      <c r="B1532" s="386">
        <v>20</v>
      </c>
      <c r="C1532" s="392">
        <v>11.6</v>
      </c>
      <c r="D1532" s="386"/>
      <c r="E1532" s="386"/>
      <c r="F1532" s="392"/>
      <c r="G1532" s="386"/>
      <c r="H1532" s="392"/>
      <c r="I1532" s="427"/>
      <c r="J1532" s="381"/>
      <c r="K1532" s="371"/>
      <c r="L1532" s="371"/>
    </row>
    <row r="1533" spans="1:12">
      <c r="A1533" s="350" t="s">
        <v>385</v>
      </c>
      <c r="B1533" s="351">
        <v>10</v>
      </c>
      <c r="C1533" s="391">
        <v>5.4</v>
      </c>
      <c r="D1533" s="392">
        <f>C1533*0.22</f>
        <v>1.1880000000000002</v>
      </c>
      <c r="E1533" s="355"/>
      <c r="F1533" s="392">
        <f t="shared" ref="F1533" si="265">C1533*0.9</f>
        <v>4.8600000000000003</v>
      </c>
      <c r="G1533" s="392">
        <f>C1533+D1533+E1533+F1533</f>
        <v>11.448</v>
      </c>
      <c r="H1533" s="392">
        <f t="shared" ref="H1533" si="266">G1533*0.35</f>
        <v>4.0068000000000001</v>
      </c>
      <c r="I1533" s="393">
        <f>G1533+H1533</f>
        <v>15.454800000000001</v>
      </c>
      <c r="J1533" s="381"/>
      <c r="K1533" s="371"/>
      <c r="L1533" s="371"/>
    </row>
    <row r="1534" spans="1:12">
      <c r="A1534" s="350"/>
      <c r="B1534" s="351"/>
      <c r="C1534" s="391"/>
      <c r="D1534" s="392"/>
      <c r="E1534" s="355"/>
      <c r="F1534" s="392"/>
      <c r="G1534" s="392"/>
      <c r="H1534" s="392"/>
      <c r="I1534" s="393"/>
      <c r="J1534" s="381"/>
      <c r="K1534" s="371"/>
      <c r="L1534" s="371"/>
    </row>
    <row r="1535" spans="1:12">
      <c r="A1535" s="373" t="s">
        <v>1430</v>
      </c>
      <c r="B1535" s="384"/>
      <c r="C1535" s="412">
        <v>60.9</v>
      </c>
      <c r="D1535" s="412">
        <f>C1535*0.22</f>
        <v>13.398</v>
      </c>
      <c r="E1535" s="384">
        <v>84.35</v>
      </c>
      <c r="F1535" s="412">
        <f t="shared" si="257"/>
        <v>54.81</v>
      </c>
      <c r="G1535" s="412">
        <f>C1535+D1535+E1535+F1535</f>
        <v>213.458</v>
      </c>
      <c r="H1535" s="412">
        <f t="shared" si="258"/>
        <v>74.710299999999989</v>
      </c>
      <c r="I1535" s="413">
        <f>G1535+H1535</f>
        <v>288.16829999999999</v>
      </c>
      <c r="J1535" s="349">
        <f>I1535+I1538+I1539</f>
        <v>319.0779</v>
      </c>
      <c r="K1535" s="371"/>
      <c r="L1535" s="371"/>
    </row>
    <row r="1536" spans="1:12">
      <c r="A1536" s="422" t="s">
        <v>1421</v>
      </c>
      <c r="B1536" s="423">
        <v>40</v>
      </c>
      <c r="C1536" s="424">
        <v>26.8</v>
      </c>
      <c r="D1536" s="424"/>
      <c r="E1536" s="423"/>
      <c r="F1536" s="424"/>
      <c r="G1536" s="424"/>
      <c r="H1536" s="424"/>
      <c r="I1536" s="425"/>
      <c r="J1536" s="380"/>
      <c r="K1536" s="371"/>
      <c r="L1536" s="371"/>
    </row>
    <row r="1537" spans="1:12">
      <c r="A1537" s="426" t="s">
        <v>1387</v>
      </c>
      <c r="B1537" s="386">
        <v>40</v>
      </c>
      <c r="C1537" s="392">
        <v>23.2</v>
      </c>
      <c r="D1537" s="386"/>
      <c r="E1537" s="386"/>
      <c r="F1537" s="392"/>
      <c r="G1537" s="386"/>
      <c r="H1537" s="392"/>
      <c r="I1537" s="427"/>
      <c r="J1537" s="381"/>
      <c r="K1537" s="371"/>
      <c r="L1537" s="371"/>
    </row>
    <row r="1538" spans="1:12">
      <c r="A1538" s="350" t="s">
        <v>385</v>
      </c>
      <c r="B1538" s="351">
        <v>20</v>
      </c>
      <c r="C1538" s="391">
        <v>10.8</v>
      </c>
      <c r="D1538" s="392">
        <f>C1538*0.22</f>
        <v>2.3760000000000003</v>
      </c>
      <c r="E1538" s="355"/>
      <c r="F1538" s="392">
        <f t="shared" ref="F1538" si="267">C1538*0.9</f>
        <v>9.7200000000000006</v>
      </c>
      <c r="G1538" s="392">
        <f>C1538+D1538+E1538+F1538</f>
        <v>22.896000000000001</v>
      </c>
      <c r="H1538" s="392">
        <f t="shared" ref="H1538" si="268">G1538*0.35</f>
        <v>8.0136000000000003</v>
      </c>
      <c r="I1538" s="393">
        <f>G1538+H1538</f>
        <v>30.909600000000001</v>
      </c>
      <c r="J1538" s="381"/>
      <c r="K1538" s="371"/>
      <c r="L1538" s="371"/>
    </row>
    <row r="1539" spans="1:12">
      <c r="A1539" s="350"/>
      <c r="B1539" s="351"/>
      <c r="C1539" s="391"/>
      <c r="D1539" s="392"/>
      <c r="E1539" s="355"/>
      <c r="F1539" s="392"/>
      <c r="G1539" s="392"/>
      <c r="H1539" s="392"/>
      <c r="I1539" s="393"/>
      <c r="J1539" s="381"/>
      <c r="K1539" s="371"/>
      <c r="L1539" s="371"/>
    </row>
    <row r="1540" spans="1:12">
      <c r="A1540" s="373" t="s">
        <v>1431</v>
      </c>
      <c r="B1540" s="384"/>
      <c r="C1540" s="412">
        <v>60.9</v>
      </c>
      <c r="D1540" s="412">
        <f>C1540*0.22</f>
        <v>13.398</v>
      </c>
      <c r="E1540" s="384">
        <v>5.3</v>
      </c>
      <c r="F1540" s="412">
        <f t="shared" ref="F1540" si="269">C1540*0.9</f>
        <v>54.81</v>
      </c>
      <c r="G1540" s="412">
        <f>C1540+D1540+E1540+F1540</f>
        <v>134.40800000000002</v>
      </c>
      <c r="H1540" s="412">
        <f t="shared" ref="H1540" si="270">G1540*0.35</f>
        <v>47.0428</v>
      </c>
      <c r="I1540" s="413">
        <f>G1540+H1540</f>
        <v>181.45080000000002</v>
      </c>
      <c r="J1540" s="349">
        <f>I1540+I1543+I1544</f>
        <v>212.36040000000003</v>
      </c>
      <c r="K1540" s="371"/>
      <c r="L1540" s="371"/>
    </row>
    <row r="1541" spans="1:12">
      <c r="A1541" s="422" t="s">
        <v>1421</v>
      </c>
      <c r="B1541" s="423">
        <v>40</v>
      </c>
      <c r="C1541" s="424">
        <v>26.8</v>
      </c>
      <c r="D1541" s="424"/>
      <c r="E1541" s="423"/>
      <c r="F1541" s="424"/>
      <c r="G1541" s="424"/>
      <c r="H1541" s="424"/>
      <c r="I1541" s="425"/>
      <c r="J1541" s="379"/>
      <c r="K1541" s="371"/>
      <c r="L1541" s="371"/>
    </row>
    <row r="1542" spans="1:12">
      <c r="A1542" s="426" t="s">
        <v>1387</v>
      </c>
      <c r="B1542" s="386">
        <v>40</v>
      </c>
      <c r="C1542" s="392">
        <v>23.2</v>
      </c>
      <c r="D1542" s="386"/>
      <c r="E1542" s="386"/>
      <c r="F1542" s="392"/>
      <c r="G1542" s="386"/>
      <c r="H1542" s="392"/>
      <c r="I1542" s="427"/>
      <c r="J1542" s="408"/>
      <c r="K1542" s="371"/>
      <c r="L1542" s="371"/>
    </row>
    <row r="1543" spans="1:12">
      <c r="A1543" s="350" t="s">
        <v>385</v>
      </c>
      <c r="B1543" s="351">
        <v>20</v>
      </c>
      <c r="C1543" s="391">
        <v>10.8</v>
      </c>
      <c r="D1543" s="392">
        <f>C1543*0.22</f>
        <v>2.3760000000000003</v>
      </c>
      <c r="E1543" s="355"/>
      <c r="F1543" s="392">
        <f t="shared" ref="F1543:F1545" si="271">C1543*0.9</f>
        <v>9.7200000000000006</v>
      </c>
      <c r="G1543" s="392">
        <f>C1543+D1543+E1543+F1543</f>
        <v>22.896000000000001</v>
      </c>
      <c r="H1543" s="392">
        <f t="shared" ref="H1543:H1545" si="272">G1543*0.35</f>
        <v>8.0136000000000003</v>
      </c>
      <c r="I1543" s="393">
        <f>G1543+H1543</f>
        <v>30.909600000000001</v>
      </c>
      <c r="J1543" s="408"/>
      <c r="K1543" s="371"/>
      <c r="L1543" s="371"/>
    </row>
    <row r="1544" spans="1:12">
      <c r="A1544" s="350"/>
      <c r="B1544" s="351"/>
      <c r="C1544" s="391"/>
      <c r="D1544" s="392"/>
      <c r="E1544" s="355"/>
      <c r="F1544" s="392"/>
      <c r="G1544" s="392"/>
      <c r="H1544" s="392"/>
      <c r="I1544" s="393"/>
      <c r="J1544" s="408"/>
      <c r="K1544" s="371"/>
      <c r="L1544" s="371"/>
    </row>
    <row r="1545" spans="1:12" ht="21.75">
      <c r="A1545" s="373" t="s">
        <v>1432</v>
      </c>
      <c r="B1545" s="384"/>
      <c r="C1545" s="412">
        <v>29.65</v>
      </c>
      <c r="D1545" s="412">
        <f>C1545*0.22</f>
        <v>6.5229999999999997</v>
      </c>
      <c r="E1545" s="384">
        <v>84.35</v>
      </c>
      <c r="F1545" s="412">
        <f t="shared" si="271"/>
        <v>26.684999999999999</v>
      </c>
      <c r="G1545" s="412">
        <f>C1545+D1545+E1545+F1545</f>
        <v>147.208</v>
      </c>
      <c r="H1545" s="412">
        <f t="shared" si="272"/>
        <v>51.522799999999997</v>
      </c>
      <c r="I1545" s="413">
        <f>G1545+H1545</f>
        <v>198.73079999999999</v>
      </c>
      <c r="J1545" s="349">
        <f>I1545+I1548+I1549</f>
        <v>209.54916</v>
      </c>
      <c r="K1545" s="371"/>
      <c r="L1545" s="371"/>
    </row>
    <row r="1546" spans="1:12">
      <c r="A1546" s="422" t="s">
        <v>1421</v>
      </c>
      <c r="B1546" s="423">
        <v>15</v>
      </c>
      <c r="C1546" s="424">
        <v>10.050000000000001</v>
      </c>
      <c r="D1546" s="424"/>
      <c r="E1546" s="423"/>
      <c r="F1546" s="424"/>
      <c r="G1546" s="424"/>
      <c r="H1546" s="424"/>
      <c r="I1546" s="425"/>
      <c r="J1546" s="379"/>
      <c r="K1546" s="371"/>
      <c r="L1546" s="371"/>
    </row>
    <row r="1547" spans="1:12">
      <c r="A1547" s="426" t="s">
        <v>1387</v>
      </c>
      <c r="B1547" s="386">
        <v>15</v>
      </c>
      <c r="C1547" s="392">
        <v>8.6999999999999993</v>
      </c>
      <c r="D1547" s="386"/>
      <c r="E1547" s="386"/>
      <c r="F1547" s="392"/>
      <c r="G1547" s="386"/>
      <c r="H1547" s="392"/>
      <c r="I1547" s="427"/>
      <c r="J1547" s="408"/>
      <c r="K1547" s="371"/>
      <c r="L1547" s="371"/>
    </row>
    <row r="1548" spans="1:12">
      <c r="A1548" s="350" t="s">
        <v>385</v>
      </c>
      <c r="B1548" s="351">
        <v>7</v>
      </c>
      <c r="C1548" s="391">
        <v>3.78</v>
      </c>
      <c r="D1548" s="392">
        <f>C1548*0.22</f>
        <v>0.83160000000000001</v>
      </c>
      <c r="E1548" s="355"/>
      <c r="F1548" s="392">
        <f t="shared" ref="F1548" si="273">C1548*0.9</f>
        <v>3.4019999999999997</v>
      </c>
      <c r="G1548" s="392">
        <f>C1548+D1548+E1548+F1548</f>
        <v>8.0136000000000003</v>
      </c>
      <c r="H1548" s="392">
        <f t="shared" ref="H1548" si="274">G1548*0.35</f>
        <v>2.8047599999999999</v>
      </c>
      <c r="I1548" s="393">
        <f>G1548+H1548</f>
        <v>10.81836</v>
      </c>
      <c r="J1548" s="408"/>
      <c r="K1548" s="371"/>
      <c r="L1548" s="371"/>
    </row>
    <row r="1549" spans="1:12">
      <c r="A1549" s="350"/>
      <c r="B1549" s="351"/>
      <c r="C1549" s="391"/>
      <c r="D1549" s="392"/>
      <c r="E1549" s="355"/>
      <c r="F1549" s="392"/>
      <c r="G1549" s="392"/>
      <c r="H1549" s="392"/>
      <c r="I1549" s="393"/>
      <c r="J1549" s="408"/>
      <c r="K1549" s="371"/>
      <c r="L1549" s="371"/>
    </row>
    <row r="1550" spans="1:12" ht="12.75">
      <c r="A1550" s="443" t="s">
        <v>1433</v>
      </c>
      <c r="B1550" s="443"/>
      <c r="C1550" s="443"/>
      <c r="D1550" s="443"/>
      <c r="E1550" s="443"/>
      <c r="F1550" s="443"/>
      <c r="G1550" s="443"/>
      <c r="H1550" s="443"/>
      <c r="I1550" s="443"/>
      <c r="J1550" s="444"/>
      <c r="K1550" s="371"/>
      <c r="L1550" s="371"/>
    </row>
    <row r="1551" spans="1:12" ht="32.25">
      <c r="A1551" s="373" t="s">
        <v>1434</v>
      </c>
      <c r="B1551" s="384"/>
      <c r="C1551" s="412">
        <f>C1552+C1553</f>
        <v>18.899999999999999</v>
      </c>
      <c r="D1551" s="412">
        <f>C1551*0.22</f>
        <v>4.1579999999999995</v>
      </c>
      <c r="E1551" s="384">
        <v>161.94999999999999</v>
      </c>
      <c r="F1551" s="412">
        <f t="shared" ref="F1551" si="275">C1551*0.9</f>
        <v>17.009999999999998</v>
      </c>
      <c r="G1551" s="412">
        <f>C1551+D1551+E1551+F1551</f>
        <v>202.01799999999997</v>
      </c>
      <c r="H1551" s="412">
        <f t="shared" ref="H1551" si="276">G1551*0.35</f>
        <v>70.706299999999985</v>
      </c>
      <c r="I1551" s="413">
        <f>G1551+H1551</f>
        <v>272.72429999999997</v>
      </c>
      <c r="J1551" s="349">
        <f>I1551+I1554+I1555</f>
        <v>283.54265999999996</v>
      </c>
      <c r="K1551" s="371"/>
      <c r="L1551" s="371"/>
    </row>
    <row r="1552" spans="1:12">
      <c r="A1552" s="422" t="s">
        <v>1435</v>
      </c>
      <c r="B1552" s="423">
        <v>15</v>
      </c>
      <c r="C1552" s="424">
        <v>10.35</v>
      </c>
      <c r="D1552" s="424"/>
      <c r="E1552" s="423"/>
      <c r="F1552" s="424"/>
      <c r="G1552" s="424"/>
      <c r="H1552" s="424"/>
      <c r="I1552" s="425"/>
      <c r="J1552" s="380"/>
      <c r="K1552" s="371"/>
      <c r="L1552" s="371"/>
    </row>
    <row r="1553" spans="1:12">
      <c r="A1553" s="426" t="s">
        <v>1436</v>
      </c>
      <c r="B1553" s="386">
        <v>15</v>
      </c>
      <c r="C1553" s="392">
        <v>8.5500000000000007</v>
      </c>
      <c r="D1553" s="386"/>
      <c r="E1553" s="386"/>
      <c r="F1553" s="392"/>
      <c r="G1553" s="386"/>
      <c r="H1553" s="392"/>
      <c r="I1553" s="427"/>
      <c r="J1553" s="381"/>
      <c r="K1553" s="371"/>
      <c r="L1553" s="371"/>
    </row>
    <row r="1554" spans="1:12">
      <c r="A1554" s="350" t="s">
        <v>385</v>
      </c>
      <c r="B1554" s="351">
        <v>7</v>
      </c>
      <c r="C1554" s="391">
        <v>3.78</v>
      </c>
      <c r="D1554" s="392">
        <f>C1554*0.22</f>
        <v>0.83160000000000001</v>
      </c>
      <c r="E1554" s="355"/>
      <c r="F1554" s="392">
        <f t="shared" ref="F1554:F1556" si="277">C1554*0.9</f>
        <v>3.4019999999999997</v>
      </c>
      <c r="G1554" s="392">
        <f>C1554+D1554+E1554+F1554</f>
        <v>8.0136000000000003</v>
      </c>
      <c r="H1554" s="392">
        <f t="shared" ref="H1554:H1556" si="278">G1554*0.35</f>
        <v>2.8047599999999999</v>
      </c>
      <c r="I1554" s="393">
        <f>G1554+H1554</f>
        <v>10.81836</v>
      </c>
      <c r="J1554" s="381"/>
      <c r="K1554" s="371"/>
      <c r="L1554" s="371"/>
    </row>
    <row r="1555" spans="1:12">
      <c r="A1555" s="350"/>
      <c r="B1555" s="351"/>
      <c r="C1555" s="391"/>
      <c r="D1555" s="392"/>
      <c r="E1555" s="355"/>
      <c r="F1555" s="392"/>
      <c r="G1555" s="392"/>
      <c r="H1555" s="392"/>
      <c r="I1555" s="393"/>
      <c r="J1555" s="381"/>
      <c r="K1555" s="371"/>
      <c r="L1555" s="371"/>
    </row>
    <row r="1556" spans="1:12">
      <c r="A1556" s="373" t="s">
        <v>1437</v>
      </c>
      <c r="B1556" s="384"/>
      <c r="C1556" s="412">
        <f>C1557+C1558</f>
        <v>37.799999999999997</v>
      </c>
      <c r="D1556" s="412">
        <f>C1556*0.22</f>
        <v>8.3159999999999989</v>
      </c>
      <c r="E1556" s="384">
        <v>62.1</v>
      </c>
      <c r="F1556" s="412">
        <f t="shared" si="277"/>
        <v>34.019999999999996</v>
      </c>
      <c r="G1556" s="412">
        <f>C1556+D1556+E1556+F1556</f>
        <v>142.23599999999999</v>
      </c>
      <c r="H1556" s="412">
        <f t="shared" si="278"/>
        <v>49.782599999999995</v>
      </c>
      <c r="I1556" s="413">
        <f>G1556+H1556</f>
        <v>192.01859999999999</v>
      </c>
      <c r="J1556" s="349">
        <f>I1556+I1559+I1560</f>
        <v>202.83696</v>
      </c>
      <c r="K1556" s="371"/>
      <c r="L1556" s="371"/>
    </row>
    <row r="1557" spans="1:12">
      <c r="A1557" s="422" t="s">
        <v>1435</v>
      </c>
      <c r="B1557" s="423">
        <v>30</v>
      </c>
      <c r="C1557" s="424">
        <v>20.7</v>
      </c>
      <c r="D1557" s="424"/>
      <c r="E1557" s="423"/>
      <c r="F1557" s="424"/>
      <c r="G1557" s="424"/>
      <c r="H1557" s="424"/>
      <c r="I1557" s="425"/>
      <c r="J1557" s="380"/>
      <c r="K1557" s="371"/>
      <c r="L1557" s="371"/>
    </row>
    <row r="1558" spans="1:12">
      <c r="A1558" s="426" t="s">
        <v>1436</v>
      </c>
      <c r="B1558" s="386">
        <v>30</v>
      </c>
      <c r="C1558" s="392">
        <v>17.100000000000001</v>
      </c>
      <c r="D1558" s="386"/>
      <c r="E1558" s="386"/>
      <c r="F1558" s="392"/>
      <c r="G1558" s="386"/>
      <c r="H1558" s="392"/>
      <c r="I1558" s="427"/>
      <c r="J1558" s="381"/>
      <c r="K1558" s="371"/>
      <c r="L1558" s="371"/>
    </row>
    <row r="1559" spans="1:12">
      <c r="A1559" s="350" t="s">
        <v>385</v>
      </c>
      <c r="B1559" s="351">
        <v>7</v>
      </c>
      <c r="C1559" s="391">
        <v>3.78</v>
      </c>
      <c r="D1559" s="392">
        <f>C1559*0.22</f>
        <v>0.83160000000000001</v>
      </c>
      <c r="E1559" s="355"/>
      <c r="F1559" s="392">
        <f t="shared" ref="F1559:F1561" si="279">C1559*0.9</f>
        <v>3.4019999999999997</v>
      </c>
      <c r="G1559" s="392">
        <f>C1559+D1559+E1559+F1559</f>
        <v>8.0136000000000003</v>
      </c>
      <c r="H1559" s="392">
        <f t="shared" ref="H1559:H1561" si="280">G1559*0.35</f>
        <v>2.8047599999999999</v>
      </c>
      <c r="I1559" s="393">
        <f>G1559+H1559</f>
        <v>10.81836</v>
      </c>
      <c r="J1559" s="381"/>
      <c r="K1559" s="371"/>
      <c r="L1559" s="371"/>
    </row>
    <row r="1560" spans="1:12">
      <c r="A1560" s="350"/>
      <c r="B1560" s="351"/>
      <c r="C1560" s="391"/>
      <c r="D1560" s="392"/>
      <c r="E1560" s="355"/>
      <c r="F1560" s="392"/>
      <c r="G1560" s="392"/>
      <c r="H1560" s="392"/>
      <c r="I1560" s="393"/>
      <c r="J1560" s="381"/>
      <c r="K1560" s="371"/>
      <c r="L1560" s="371"/>
    </row>
    <row r="1561" spans="1:12" ht="21.75">
      <c r="A1561" s="373" t="s">
        <v>1438</v>
      </c>
      <c r="B1561" s="384"/>
      <c r="C1561" s="412">
        <f>C1562+C1563</f>
        <v>50.400000000000006</v>
      </c>
      <c r="D1561" s="412">
        <f>C1561*0.22</f>
        <v>11.088000000000001</v>
      </c>
      <c r="E1561" s="384">
        <v>283.55</v>
      </c>
      <c r="F1561" s="412">
        <f t="shared" si="279"/>
        <v>45.360000000000007</v>
      </c>
      <c r="G1561" s="412">
        <f>C1561+D1561+E1561+F1561</f>
        <v>390.39800000000002</v>
      </c>
      <c r="H1561" s="412">
        <f t="shared" si="280"/>
        <v>136.63929999999999</v>
      </c>
      <c r="I1561" s="413">
        <f>G1561+H1561</f>
        <v>527.03729999999996</v>
      </c>
      <c r="J1561" s="349">
        <f>I1561+I1564+I1565</f>
        <v>557.94689999999991</v>
      </c>
      <c r="K1561" s="371"/>
      <c r="L1561" s="371"/>
    </row>
    <row r="1562" spans="1:12">
      <c r="A1562" s="422" t="s">
        <v>1435</v>
      </c>
      <c r="B1562" s="423">
        <v>40</v>
      </c>
      <c r="C1562" s="424">
        <v>27.6</v>
      </c>
      <c r="D1562" s="424"/>
      <c r="E1562" s="423"/>
      <c r="F1562" s="424"/>
      <c r="G1562" s="424"/>
      <c r="H1562" s="424"/>
      <c r="I1562" s="425"/>
      <c r="J1562" s="380"/>
      <c r="K1562" s="371"/>
      <c r="L1562" s="371"/>
    </row>
    <row r="1563" spans="1:12">
      <c r="A1563" s="426" t="s">
        <v>1436</v>
      </c>
      <c r="B1563" s="386">
        <v>40</v>
      </c>
      <c r="C1563" s="392">
        <v>22.8</v>
      </c>
      <c r="D1563" s="386"/>
      <c r="E1563" s="386"/>
      <c r="F1563" s="392"/>
      <c r="G1563" s="386"/>
      <c r="H1563" s="392"/>
      <c r="I1563" s="427"/>
      <c r="J1563" s="381"/>
      <c r="K1563" s="371"/>
      <c r="L1563" s="371"/>
    </row>
    <row r="1564" spans="1:12">
      <c r="A1564" s="350" t="s">
        <v>385</v>
      </c>
      <c r="B1564" s="351">
        <v>20</v>
      </c>
      <c r="C1564" s="391">
        <v>10.8</v>
      </c>
      <c r="D1564" s="392">
        <f>C1564*0.22</f>
        <v>2.3760000000000003</v>
      </c>
      <c r="E1564" s="355"/>
      <c r="F1564" s="392">
        <f t="shared" ref="F1564:F1566" si="281">C1564*0.9</f>
        <v>9.7200000000000006</v>
      </c>
      <c r="G1564" s="392">
        <f>C1564+D1564+E1564+F1564</f>
        <v>22.896000000000001</v>
      </c>
      <c r="H1564" s="392">
        <f t="shared" ref="H1564:H1566" si="282">G1564*0.35</f>
        <v>8.0136000000000003</v>
      </c>
      <c r="I1564" s="393">
        <f>G1564+H1564</f>
        <v>30.909600000000001</v>
      </c>
      <c r="J1564" s="381"/>
      <c r="K1564" s="371"/>
      <c r="L1564" s="371"/>
    </row>
    <row r="1565" spans="1:12">
      <c r="A1565" s="350"/>
      <c r="B1565" s="351"/>
      <c r="C1565" s="391"/>
      <c r="D1565" s="392"/>
      <c r="E1565" s="355"/>
      <c r="F1565" s="392"/>
      <c r="G1565" s="392"/>
      <c r="H1565" s="392"/>
      <c r="I1565" s="393"/>
      <c r="J1565" s="381"/>
      <c r="K1565" s="371"/>
      <c r="L1565" s="371"/>
    </row>
    <row r="1566" spans="1:12" ht="21.75">
      <c r="A1566" s="373" t="s">
        <v>1439</v>
      </c>
      <c r="B1566" s="384"/>
      <c r="C1566" s="412">
        <f>C1567+C1568</f>
        <v>12.600000000000001</v>
      </c>
      <c r="D1566" s="412">
        <f>C1566*0.22</f>
        <v>2.7720000000000002</v>
      </c>
      <c r="E1566" s="384">
        <v>182</v>
      </c>
      <c r="F1566" s="412">
        <f t="shared" si="281"/>
        <v>11.340000000000002</v>
      </c>
      <c r="G1566" s="412">
        <f>C1566+D1566+E1566+F1566</f>
        <v>208.71200000000002</v>
      </c>
      <c r="H1566" s="412">
        <f t="shared" si="282"/>
        <v>73.049199999999999</v>
      </c>
      <c r="I1566" s="413">
        <f>G1566+H1566</f>
        <v>281.76120000000003</v>
      </c>
      <c r="J1566" s="349">
        <f>I1566+I1569+I1570</f>
        <v>289.48860000000002</v>
      </c>
      <c r="K1566" s="371"/>
      <c r="L1566" s="371"/>
    </row>
    <row r="1567" spans="1:12">
      <c r="A1567" s="422" t="s">
        <v>1435</v>
      </c>
      <c r="B1567" s="423">
        <v>10</v>
      </c>
      <c r="C1567" s="424">
        <v>6.9</v>
      </c>
      <c r="D1567" s="424"/>
      <c r="E1567" s="423"/>
      <c r="F1567" s="424"/>
      <c r="G1567" s="424"/>
      <c r="H1567" s="424"/>
      <c r="I1567" s="425"/>
      <c r="J1567" s="380"/>
      <c r="K1567" s="371"/>
      <c r="L1567" s="371"/>
    </row>
    <row r="1568" spans="1:12">
      <c r="A1568" s="426" t="s">
        <v>1436</v>
      </c>
      <c r="B1568" s="386">
        <v>10</v>
      </c>
      <c r="C1568" s="392">
        <v>5.7</v>
      </c>
      <c r="D1568" s="386"/>
      <c r="E1568" s="386"/>
      <c r="F1568" s="392"/>
      <c r="G1568" s="386"/>
      <c r="H1568" s="392"/>
      <c r="I1568" s="427"/>
      <c r="J1568" s="381"/>
      <c r="K1568" s="371"/>
      <c r="L1568" s="371"/>
    </row>
    <row r="1569" spans="1:12">
      <c r="A1569" s="350" t="s">
        <v>385</v>
      </c>
      <c r="B1569" s="351">
        <v>5</v>
      </c>
      <c r="C1569" s="391">
        <v>2.7</v>
      </c>
      <c r="D1569" s="392">
        <f>C1569*0.22</f>
        <v>0.59400000000000008</v>
      </c>
      <c r="E1569" s="355"/>
      <c r="F1569" s="392">
        <f t="shared" ref="F1569:F1571" si="283">C1569*0.9</f>
        <v>2.4300000000000002</v>
      </c>
      <c r="G1569" s="392">
        <f>C1569+D1569+E1569+F1569</f>
        <v>5.7240000000000002</v>
      </c>
      <c r="H1569" s="392">
        <f t="shared" ref="H1569:H1571" si="284">G1569*0.35</f>
        <v>2.0034000000000001</v>
      </c>
      <c r="I1569" s="393">
        <f>G1569+H1569</f>
        <v>7.7274000000000003</v>
      </c>
      <c r="J1569" s="381"/>
      <c r="K1569" s="371"/>
      <c r="L1569" s="371"/>
    </row>
    <row r="1570" spans="1:12">
      <c r="A1570" s="350"/>
      <c r="B1570" s="351"/>
      <c r="C1570" s="391"/>
      <c r="D1570" s="392"/>
      <c r="E1570" s="355"/>
      <c r="F1570" s="392"/>
      <c r="G1570" s="392"/>
      <c r="H1570" s="392"/>
      <c r="I1570" s="393"/>
      <c r="J1570" s="381"/>
      <c r="K1570" s="371"/>
      <c r="L1570" s="371"/>
    </row>
    <row r="1571" spans="1:12">
      <c r="A1571" s="373" t="s">
        <v>1440</v>
      </c>
      <c r="B1571" s="384"/>
      <c r="C1571" s="412">
        <f>C1572+C1573</f>
        <v>25.200000000000003</v>
      </c>
      <c r="D1571" s="412">
        <f>C1571*0.22</f>
        <v>5.5440000000000005</v>
      </c>
      <c r="E1571" s="384">
        <v>72.2</v>
      </c>
      <c r="F1571" s="412">
        <f t="shared" si="283"/>
        <v>22.680000000000003</v>
      </c>
      <c r="G1571" s="412">
        <f>C1571+D1571+E1571+F1571</f>
        <v>125.62400000000001</v>
      </c>
      <c r="H1571" s="412">
        <f t="shared" si="284"/>
        <v>43.968400000000003</v>
      </c>
      <c r="I1571" s="413">
        <f>G1571+H1571</f>
        <v>169.5924</v>
      </c>
      <c r="J1571" s="349">
        <f>I1571+I1574+I1575</f>
        <v>185.0472</v>
      </c>
      <c r="K1571" s="371"/>
      <c r="L1571" s="371"/>
    </row>
    <row r="1572" spans="1:12">
      <c r="A1572" s="422" t="s">
        <v>1435</v>
      </c>
      <c r="B1572" s="423">
        <v>20</v>
      </c>
      <c r="C1572" s="424">
        <v>13.8</v>
      </c>
      <c r="D1572" s="424"/>
      <c r="E1572" s="423"/>
      <c r="F1572" s="424"/>
      <c r="G1572" s="424"/>
      <c r="H1572" s="424"/>
      <c r="I1572" s="425"/>
      <c r="J1572" s="380"/>
      <c r="K1572" s="371"/>
      <c r="L1572" s="371"/>
    </row>
    <row r="1573" spans="1:12">
      <c r="A1573" s="426" t="s">
        <v>1436</v>
      </c>
      <c r="B1573" s="386">
        <v>20</v>
      </c>
      <c r="C1573" s="392">
        <v>11.4</v>
      </c>
      <c r="D1573" s="386"/>
      <c r="E1573" s="386"/>
      <c r="F1573" s="392"/>
      <c r="G1573" s="386"/>
      <c r="H1573" s="392"/>
      <c r="I1573" s="427"/>
      <c r="J1573" s="381"/>
      <c r="K1573" s="371"/>
      <c r="L1573" s="371"/>
    </row>
    <row r="1574" spans="1:12">
      <c r="A1574" s="350" t="s">
        <v>385</v>
      </c>
      <c r="B1574" s="351">
        <v>10</v>
      </c>
      <c r="C1574" s="391">
        <v>5.4</v>
      </c>
      <c r="D1574" s="392">
        <f>C1574*0.22</f>
        <v>1.1880000000000002</v>
      </c>
      <c r="E1574" s="355"/>
      <c r="F1574" s="392">
        <f t="shared" ref="F1574:F1576" si="285">C1574*0.9</f>
        <v>4.8600000000000003</v>
      </c>
      <c r="G1574" s="392">
        <f>C1574+D1574+E1574+F1574</f>
        <v>11.448</v>
      </c>
      <c r="H1574" s="392">
        <f t="shared" ref="H1574:H1576" si="286">G1574*0.35</f>
        <v>4.0068000000000001</v>
      </c>
      <c r="I1574" s="393">
        <f>G1574+H1574</f>
        <v>15.454800000000001</v>
      </c>
      <c r="J1574" s="381"/>
      <c r="K1574" s="371"/>
      <c r="L1574" s="371"/>
    </row>
    <row r="1575" spans="1:12">
      <c r="A1575" s="350"/>
      <c r="B1575" s="351"/>
      <c r="C1575" s="391"/>
      <c r="D1575" s="392"/>
      <c r="E1575" s="355"/>
      <c r="F1575" s="392"/>
      <c r="G1575" s="392"/>
      <c r="H1575" s="392"/>
      <c r="I1575" s="393"/>
      <c r="J1575" s="381"/>
      <c r="K1575" s="371"/>
      <c r="L1575" s="371"/>
    </row>
    <row r="1576" spans="1:12">
      <c r="A1576" s="373" t="s">
        <v>1441</v>
      </c>
      <c r="B1576" s="384"/>
      <c r="C1576" s="412">
        <f>C1577+C1578</f>
        <v>18.899999999999999</v>
      </c>
      <c r="D1576" s="412">
        <f>C1576*0.22</f>
        <v>4.1579999999999995</v>
      </c>
      <c r="E1576" s="384">
        <v>65.3</v>
      </c>
      <c r="F1576" s="412">
        <f t="shared" si="285"/>
        <v>17.009999999999998</v>
      </c>
      <c r="G1576" s="412">
        <f>C1576+D1576+E1576+F1576</f>
        <v>105.36799999999999</v>
      </c>
      <c r="H1576" s="412">
        <f t="shared" si="286"/>
        <v>36.878799999999998</v>
      </c>
      <c r="I1576" s="413">
        <f>G1576+H1576</f>
        <v>142.24680000000001</v>
      </c>
      <c r="J1576" s="349">
        <f>I1576+I1579+I1580</f>
        <v>153.06516000000002</v>
      </c>
      <c r="K1576" s="371"/>
      <c r="L1576" s="371"/>
    </row>
    <row r="1577" spans="1:12">
      <c r="A1577" s="422" t="s">
        <v>1435</v>
      </c>
      <c r="B1577" s="423">
        <v>15</v>
      </c>
      <c r="C1577" s="424">
        <v>10.35</v>
      </c>
      <c r="D1577" s="424"/>
      <c r="E1577" s="423"/>
      <c r="F1577" s="424"/>
      <c r="G1577" s="424"/>
      <c r="H1577" s="424"/>
      <c r="I1577" s="425"/>
      <c r="J1577" s="380"/>
      <c r="K1577" s="371"/>
      <c r="L1577" s="371"/>
    </row>
    <row r="1578" spans="1:12">
      <c r="A1578" s="426" t="s">
        <v>1436</v>
      </c>
      <c r="B1578" s="386">
        <v>15</v>
      </c>
      <c r="C1578" s="392">
        <v>8.5500000000000007</v>
      </c>
      <c r="D1578" s="386"/>
      <c r="E1578" s="386"/>
      <c r="F1578" s="392"/>
      <c r="G1578" s="386"/>
      <c r="H1578" s="392"/>
      <c r="I1578" s="427"/>
      <c r="J1578" s="381"/>
      <c r="K1578" s="371"/>
      <c r="L1578" s="371"/>
    </row>
    <row r="1579" spans="1:12">
      <c r="A1579" s="350" t="s">
        <v>385</v>
      </c>
      <c r="B1579" s="351">
        <v>7</v>
      </c>
      <c r="C1579" s="391">
        <v>3.78</v>
      </c>
      <c r="D1579" s="392">
        <f>C1579*0.22</f>
        <v>0.83160000000000001</v>
      </c>
      <c r="E1579" s="355"/>
      <c r="F1579" s="392">
        <f t="shared" ref="F1579:F1581" si="287">C1579*0.9</f>
        <v>3.4019999999999997</v>
      </c>
      <c r="G1579" s="392">
        <f>C1579+D1579+E1579+F1579</f>
        <v>8.0136000000000003</v>
      </c>
      <c r="H1579" s="392">
        <f t="shared" ref="H1579:H1581" si="288">G1579*0.35</f>
        <v>2.8047599999999999</v>
      </c>
      <c r="I1579" s="393">
        <f>G1579+H1579</f>
        <v>10.81836</v>
      </c>
      <c r="J1579" s="381"/>
      <c r="K1579" s="371"/>
      <c r="L1579" s="371"/>
    </row>
    <row r="1580" spans="1:12">
      <c r="A1580" s="350"/>
      <c r="B1580" s="351"/>
      <c r="C1580" s="391"/>
      <c r="D1580" s="392"/>
      <c r="E1580" s="355"/>
      <c r="F1580" s="392"/>
      <c r="G1580" s="392"/>
      <c r="H1580" s="392"/>
      <c r="I1580" s="393"/>
      <c r="J1580" s="381"/>
      <c r="K1580" s="371"/>
      <c r="L1580" s="371"/>
    </row>
    <row r="1581" spans="1:12">
      <c r="A1581" s="373" t="s">
        <v>1442</v>
      </c>
      <c r="B1581" s="384"/>
      <c r="C1581" s="412">
        <f>C1582+C1583</f>
        <v>18.899999999999999</v>
      </c>
      <c r="D1581" s="412">
        <f>C1581*0.22</f>
        <v>4.1579999999999995</v>
      </c>
      <c r="E1581" s="384">
        <v>196.6</v>
      </c>
      <c r="F1581" s="412">
        <f t="shared" si="287"/>
        <v>17.009999999999998</v>
      </c>
      <c r="G1581" s="412">
        <f>C1581+D1581+E1581+F1581</f>
        <v>236.66799999999998</v>
      </c>
      <c r="H1581" s="412">
        <f t="shared" si="288"/>
        <v>82.833799999999982</v>
      </c>
      <c r="I1581" s="413">
        <f>G1581+H1581</f>
        <v>319.50179999999995</v>
      </c>
      <c r="J1581" s="349">
        <f>I1581+I1584+I1585</f>
        <v>330.32015999999993</v>
      </c>
      <c r="K1581" s="371"/>
      <c r="L1581" s="371"/>
    </row>
    <row r="1582" spans="1:12">
      <c r="A1582" s="422" t="s">
        <v>1435</v>
      </c>
      <c r="B1582" s="423">
        <v>15</v>
      </c>
      <c r="C1582" s="424">
        <v>10.35</v>
      </c>
      <c r="D1582" s="424"/>
      <c r="E1582" s="423"/>
      <c r="F1582" s="424"/>
      <c r="G1582" s="424"/>
      <c r="H1582" s="424"/>
      <c r="I1582" s="425"/>
      <c r="J1582" s="379"/>
      <c r="K1582" s="371"/>
      <c r="L1582" s="371"/>
    </row>
    <row r="1583" spans="1:12">
      <c r="A1583" s="426" t="s">
        <v>1436</v>
      </c>
      <c r="B1583" s="386">
        <v>15</v>
      </c>
      <c r="C1583" s="392">
        <v>8.5500000000000007</v>
      </c>
      <c r="D1583" s="386"/>
      <c r="E1583" s="386"/>
      <c r="F1583" s="392"/>
      <c r="G1583" s="386"/>
      <c r="H1583" s="392"/>
      <c r="I1583" s="427"/>
      <c r="J1583" s="408"/>
      <c r="K1583" s="371"/>
      <c r="L1583" s="371"/>
    </row>
    <row r="1584" spans="1:12">
      <c r="A1584" s="350" t="s">
        <v>385</v>
      </c>
      <c r="B1584" s="351">
        <v>7</v>
      </c>
      <c r="C1584" s="391">
        <v>3.78</v>
      </c>
      <c r="D1584" s="392">
        <f>C1584*0.22</f>
        <v>0.83160000000000001</v>
      </c>
      <c r="E1584" s="355"/>
      <c r="F1584" s="392">
        <f t="shared" ref="F1584:F1586" si="289">C1584*0.9</f>
        <v>3.4019999999999997</v>
      </c>
      <c r="G1584" s="392">
        <f>C1584+D1584+E1584+F1584</f>
        <v>8.0136000000000003</v>
      </c>
      <c r="H1584" s="392">
        <f t="shared" ref="H1584:H1586" si="290">G1584*0.35</f>
        <v>2.8047599999999999</v>
      </c>
      <c r="I1584" s="393">
        <f>G1584+H1584</f>
        <v>10.81836</v>
      </c>
      <c r="J1584" s="408"/>
      <c r="K1584" s="371"/>
      <c r="L1584" s="371"/>
    </row>
    <row r="1585" spans="1:12">
      <c r="A1585" s="350"/>
      <c r="B1585" s="351"/>
      <c r="C1585" s="391"/>
      <c r="D1585" s="392"/>
      <c r="E1585" s="355"/>
      <c r="F1585" s="392"/>
      <c r="G1585" s="392"/>
      <c r="H1585" s="392"/>
      <c r="I1585" s="393"/>
      <c r="J1585" s="408"/>
      <c r="K1585" s="371"/>
      <c r="L1585" s="371"/>
    </row>
    <row r="1586" spans="1:12">
      <c r="A1586" s="373" t="s">
        <v>1443</v>
      </c>
      <c r="B1586" s="384"/>
      <c r="C1586" s="412">
        <f>C1587+C1588</f>
        <v>6.3000000000000007</v>
      </c>
      <c r="D1586" s="412">
        <f>C1586*0.22</f>
        <v>1.3860000000000001</v>
      </c>
      <c r="E1586" s="384">
        <v>8.5</v>
      </c>
      <c r="F1586" s="412">
        <f t="shared" si="289"/>
        <v>5.6700000000000008</v>
      </c>
      <c r="G1586" s="412">
        <f>C1586+D1586+E1586+F1586</f>
        <v>21.856000000000002</v>
      </c>
      <c r="H1586" s="412">
        <f t="shared" si="290"/>
        <v>7.6496000000000004</v>
      </c>
      <c r="I1586" s="413">
        <f>G1586+H1586</f>
        <v>29.505600000000001</v>
      </c>
      <c r="J1586" s="349">
        <f>I1586+I1589+I1590</f>
        <v>32.596560000000004</v>
      </c>
      <c r="K1586" s="371"/>
      <c r="L1586" s="371"/>
    </row>
    <row r="1587" spans="1:12">
      <c r="A1587" s="422" t="s">
        <v>1435</v>
      </c>
      <c r="B1587" s="423">
        <v>5</v>
      </c>
      <c r="C1587" s="424">
        <v>3.45</v>
      </c>
      <c r="D1587" s="424"/>
      <c r="E1587" s="423"/>
      <c r="F1587" s="424"/>
      <c r="G1587" s="424"/>
      <c r="H1587" s="424"/>
      <c r="I1587" s="425"/>
      <c r="J1587" s="380"/>
      <c r="K1587" s="371"/>
      <c r="L1587" s="371"/>
    </row>
    <row r="1588" spans="1:12">
      <c r="A1588" s="426" t="s">
        <v>1436</v>
      </c>
      <c r="B1588" s="386">
        <v>5</v>
      </c>
      <c r="C1588" s="392">
        <v>2.85</v>
      </c>
      <c r="D1588" s="386"/>
      <c r="E1588" s="386"/>
      <c r="F1588" s="392"/>
      <c r="G1588" s="386"/>
      <c r="H1588" s="392"/>
      <c r="I1588" s="427"/>
      <c r="J1588" s="381"/>
      <c r="K1588" s="371"/>
      <c r="L1588" s="371"/>
    </row>
    <row r="1589" spans="1:12">
      <c r="A1589" s="350" t="s">
        <v>385</v>
      </c>
      <c r="B1589" s="351">
        <v>2</v>
      </c>
      <c r="C1589" s="391">
        <v>1.08</v>
      </c>
      <c r="D1589" s="392">
        <f>C1589*0.22</f>
        <v>0.23760000000000001</v>
      </c>
      <c r="E1589" s="355"/>
      <c r="F1589" s="392">
        <f t="shared" ref="F1589:F1591" si="291">C1589*0.9</f>
        <v>0.97200000000000009</v>
      </c>
      <c r="G1589" s="392">
        <f>C1589+D1589+E1589+F1589</f>
        <v>2.2896000000000001</v>
      </c>
      <c r="H1589" s="392">
        <f t="shared" ref="H1589:H1591" si="292">G1589*0.35</f>
        <v>0.80135999999999996</v>
      </c>
      <c r="I1589" s="393">
        <f>G1589+H1589</f>
        <v>3.0909599999999999</v>
      </c>
      <c r="J1589" s="381"/>
      <c r="K1589" s="371"/>
      <c r="L1589" s="371"/>
    </row>
    <row r="1590" spans="1:12">
      <c r="A1590" s="350"/>
      <c r="B1590" s="351"/>
      <c r="C1590" s="391"/>
      <c r="D1590" s="392"/>
      <c r="E1590" s="355"/>
      <c r="F1590" s="392"/>
      <c r="G1590" s="392"/>
      <c r="H1590" s="392"/>
      <c r="I1590" s="393"/>
      <c r="J1590" s="381"/>
      <c r="K1590" s="371"/>
      <c r="L1590" s="371"/>
    </row>
    <row r="1591" spans="1:12">
      <c r="A1591" s="373" t="s">
        <v>1444</v>
      </c>
      <c r="B1591" s="384"/>
      <c r="C1591" s="412">
        <f>C1592+C1593</f>
        <v>37.799999999999997</v>
      </c>
      <c r="D1591" s="412">
        <f>C1591*0.22</f>
        <v>8.3159999999999989</v>
      </c>
      <c r="E1591" s="384">
        <v>81.05</v>
      </c>
      <c r="F1591" s="412">
        <f t="shared" si="291"/>
        <v>34.019999999999996</v>
      </c>
      <c r="G1591" s="412">
        <f>C1591+D1591+E1591+F1591</f>
        <v>161.18599999999998</v>
      </c>
      <c r="H1591" s="412">
        <f t="shared" si="292"/>
        <v>56.415099999999988</v>
      </c>
      <c r="I1591" s="413">
        <f>G1591+H1591</f>
        <v>217.60109999999997</v>
      </c>
      <c r="J1591" s="349">
        <f>I1591+I1594+I1595</f>
        <v>236.49029999999996</v>
      </c>
      <c r="K1591" s="371"/>
      <c r="L1591" s="371"/>
    </row>
    <row r="1592" spans="1:12">
      <c r="A1592" s="422" t="s">
        <v>1435</v>
      </c>
      <c r="B1592" s="423">
        <v>30</v>
      </c>
      <c r="C1592" s="424">
        <v>20.7</v>
      </c>
      <c r="D1592" s="424"/>
      <c r="E1592" s="423"/>
      <c r="F1592" s="424"/>
      <c r="G1592" s="424"/>
      <c r="H1592" s="424"/>
      <c r="I1592" s="425"/>
      <c r="J1592" s="380"/>
      <c r="K1592" s="371"/>
      <c r="L1592" s="371"/>
    </row>
    <row r="1593" spans="1:12">
      <c r="A1593" s="426" t="s">
        <v>1436</v>
      </c>
      <c r="B1593" s="386">
        <v>30</v>
      </c>
      <c r="C1593" s="392">
        <v>17.100000000000001</v>
      </c>
      <c r="D1593" s="386"/>
      <c r="E1593" s="386"/>
      <c r="F1593" s="392"/>
      <c r="G1593" s="386"/>
      <c r="H1593" s="392"/>
      <c r="I1593" s="427"/>
      <c r="J1593" s="381"/>
      <c r="K1593" s="371"/>
      <c r="L1593" s="371"/>
    </row>
    <row r="1594" spans="1:12">
      <c r="A1594" s="350" t="s">
        <v>385</v>
      </c>
      <c r="B1594" s="351">
        <v>15</v>
      </c>
      <c r="C1594" s="391">
        <v>6.6</v>
      </c>
      <c r="D1594" s="392">
        <f>C1594*0.22</f>
        <v>1.452</v>
      </c>
      <c r="E1594" s="355"/>
      <c r="F1594" s="392">
        <f t="shared" ref="F1594" si="293">C1594*0.9</f>
        <v>5.9399999999999995</v>
      </c>
      <c r="G1594" s="392">
        <f>C1594+D1594+E1594+F1594</f>
        <v>13.991999999999999</v>
      </c>
      <c r="H1594" s="392">
        <f t="shared" ref="H1594" si="294">G1594*0.35</f>
        <v>4.8971999999999998</v>
      </c>
      <c r="I1594" s="393">
        <f>G1594+H1594</f>
        <v>18.889199999999999</v>
      </c>
      <c r="J1594" s="381"/>
      <c r="K1594" s="371"/>
      <c r="L1594" s="371"/>
    </row>
    <row r="1595" spans="1:12">
      <c r="A1595" s="350"/>
      <c r="B1595" s="351"/>
      <c r="C1595" s="391"/>
      <c r="D1595" s="392"/>
      <c r="E1595" s="355"/>
      <c r="F1595" s="392"/>
      <c r="G1595" s="392"/>
      <c r="H1595" s="392"/>
      <c r="I1595" s="393"/>
      <c r="J1595" s="381"/>
      <c r="K1595" s="371"/>
      <c r="L1595" s="371"/>
    </row>
    <row r="1596" spans="1:12">
      <c r="A1596" s="373" t="s">
        <v>1445</v>
      </c>
      <c r="B1596" s="384"/>
      <c r="C1596" s="412">
        <f>C1597+C1598</f>
        <v>12.600000000000001</v>
      </c>
      <c r="D1596" s="412">
        <f>C1596*0.22</f>
        <v>2.7720000000000002</v>
      </c>
      <c r="E1596" s="384">
        <v>12</v>
      </c>
      <c r="F1596" s="412">
        <f t="shared" ref="F1596" si="295">C1596*0.9</f>
        <v>11.340000000000002</v>
      </c>
      <c r="G1596" s="412">
        <f>C1596+D1596+E1596+F1596</f>
        <v>38.712000000000003</v>
      </c>
      <c r="H1596" s="412">
        <f t="shared" ref="H1596" si="296">G1596*0.35</f>
        <v>13.549200000000001</v>
      </c>
      <c r="I1596" s="413">
        <f>G1596+H1596</f>
        <v>52.261200000000002</v>
      </c>
      <c r="J1596" s="349">
        <f>I1596+I1599</f>
        <v>59.988600000000005</v>
      </c>
      <c r="K1596" s="371"/>
      <c r="L1596" s="371"/>
    </row>
    <row r="1597" spans="1:12">
      <c r="A1597" s="422" t="s">
        <v>1435</v>
      </c>
      <c r="B1597" s="423">
        <v>10</v>
      </c>
      <c r="C1597" s="424">
        <v>6.9</v>
      </c>
      <c r="D1597" s="424"/>
      <c r="E1597" s="423"/>
      <c r="F1597" s="424"/>
      <c r="G1597" s="424"/>
      <c r="H1597" s="424"/>
      <c r="I1597" s="425"/>
      <c r="J1597" s="380"/>
      <c r="K1597" s="371"/>
      <c r="L1597" s="371"/>
    </row>
    <row r="1598" spans="1:12">
      <c r="A1598" s="426" t="s">
        <v>1436</v>
      </c>
      <c r="B1598" s="386">
        <v>10</v>
      </c>
      <c r="C1598" s="392">
        <v>5.7</v>
      </c>
      <c r="D1598" s="386"/>
      <c r="E1598" s="386"/>
      <c r="F1598" s="392"/>
      <c r="G1598" s="386"/>
      <c r="H1598" s="392"/>
      <c r="I1598" s="427"/>
      <c r="J1598" s="381"/>
      <c r="K1598" s="371"/>
      <c r="L1598" s="371"/>
    </row>
    <row r="1599" spans="1:12">
      <c r="A1599" s="350" t="s">
        <v>385</v>
      </c>
      <c r="B1599" s="351">
        <v>5</v>
      </c>
      <c r="C1599" s="391">
        <v>2.7</v>
      </c>
      <c r="D1599" s="392">
        <f>C1599*0.22</f>
        <v>0.59400000000000008</v>
      </c>
      <c r="E1599" s="355"/>
      <c r="F1599" s="392">
        <f t="shared" ref="F1599" si="297">C1599*0.9</f>
        <v>2.4300000000000002</v>
      </c>
      <c r="G1599" s="392">
        <f>C1599+D1599+E1599+F1599</f>
        <v>5.7240000000000002</v>
      </c>
      <c r="H1599" s="392">
        <f t="shared" ref="H1599" si="298">G1599*0.35</f>
        <v>2.0034000000000001</v>
      </c>
      <c r="I1599" s="393">
        <f>G1599+H1599</f>
        <v>7.7274000000000003</v>
      </c>
      <c r="J1599" s="381"/>
      <c r="K1599" s="371"/>
      <c r="L1599" s="371"/>
    </row>
    <row r="1600" spans="1:12">
      <c r="A1600" s="350"/>
      <c r="B1600" s="351"/>
      <c r="C1600" s="391"/>
      <c r="D1600" s="392"/>
      <c r="E1600" s="355"/>
      <c r="F1600" s="392"/>
      <c r="G1600" s="392"/>
      <c r="H1600" s="392"/>
      <c r="I1600" s="393"/>
      <c r="J1600" s="381"/>
      <c r="K1600" s="371"/>
      <c r="L1600" s="371"/>
    </row>
    <row r="1601" spans="1:12">
      <c r="A1601" s="373" t="s">
        <v>1446</v>
      </c>
      <c r="B1601" s="384"/>
      <c r="C1601" s="412">
        <f>C1602+C1603</f>
        <v>18.899999999999999</v>
      </c>
      <c r="D1601" s="412">
        <f>C1601*0.22</f>
        <v>4.1579999999999995</v>
      </c>
      <c r="E1601" s="384">
        <v>13</v>
      </c>
      <c r="F1601" s="412">
        <f t="shared" ref="F1601" si="299">C1601*0.9</f>
        <v>17.009999999999998</v>
      </c>
      <c r="G1601" s="412">
        <f>C1601+D1601+E1601+F1601</f>
        <v>53.067999999999998</v>
      </c>
      <c r="H1601" s="412">
        <f t="shared" ref="H1601" si="300">G1601*0.35</f>
        <v>18.573799999999999</v>
      </c>
      <c r="I1601" s="413">
        <f>G1601+H1601</f>
        <v>71.641799999999989</v>
      </c>
      <c r="J1601" s="349">
        <f>I1601+I1604+I1605</f>
        <v>82.460159999999988</v>
      </c>
      <c r="K1601" s="371"/>
      <c r="L1601" s="371"/>
    </row>
    <row r="1602" spans="1:12">
      <c r="A1602" s="422" t="s">
        <v>1435</v>
      </c>
      <c r="B1602" s="423">
        <v>15</v>
      </c>
      <c r="C1602" s="424">
        <v>10.35</v>
      </c>
      <c r="D1602" s="424"/>
      <c r="E1602" s="423"/>
      <c r="F1602" s="424"/>
      <c r="G1602" s="424"/>
      <c r="H1602" s="424"/>
      <c r="I1602" s="425"/>
      <c r="J1602" s="380"/>
      <c r="K1602" s="371"/>
      <c r="L1602" s="371"/>
    </row>
    <row r="1603" spans="1:12">
      <c r="A1603" s="426" t="s">
        <v>1436</v>
      </c>
      <c r="B1603" s="386">
        <v>15</v>
      </c>
      <c r="C1603" s="392">
        <v>8.5500000000000007</v>
      </c>
      <c r="D1603" s="386"/>
      <c r="E1603" s="386"/>
      <c r="F1603" s="392"/>
      <c r="G1603" s="386"/>
      <c r="H1603" s="392"/>
      <c r="I1603" s="427"/>
      <c r="J1603" s="381"/>
      <c r="K1603" s="371"/>
      <c r="L1603" s="371"/>
    </row>
    <row r="1604" spans="1:12">
      <c r="A1604" s="350" t="s">
        <v>385</v>
      </c>
      <c r="B1604" s="351">
        <v>7</v>
      </c>
      <c r="C1604" s="391">
        <v>3.78</v>
      </c>
      <c r="D1604" s="392">
        <f>C1604*0.22</f>
        <v>0.83160000000000001</v>
      </c>
      <c r="E1604" s="355"/>
      <c r="F1604" s="392">
        <f t="shared" ref="F1604" si="301">C1604*0.9</f>
        <v>3.4019999999999997</v>
      </c>
      <c r="G1604" s="392">
        <f>C1604+D1604+E1604+F1604</f>
        <v>8.0136000000000003</v>
      </c>
      <c r="H1604" s="392">
        <f t="shared" ref="H1604" si="302">G1604*0.35</f>
        <v>2.8047599999999999</v>
      </c>
      <c r="I1604" s="393">
        <f>G1604+H1604</f>
        <v>10.81836</v>
      </c>
      <c r="J1604" s="381"/>
      <c r="K1604" s="371"/>
      <c r="L1604" s="371"/>
    </row>
    <row r="1605" spans="1:12">
      <c r="A1605" s="350"/>
      <c r="B1605" s="351"/>
      <c r="C1605" s="391"/>
      <c r="D1605" s="392"/>
      <c r="E1605" s="355"/>
      <c r="F1605" s="392"/>
      <c r="G1605" s="392"/>
      <c r="H1605" s="392"/>
      <c r="I1605" s="393"/>
      <c r="J1605" s="381"/>
      <c r="K1605" s="371"/>
      <c r="L1605" s="371"/>
    </row>
    <row r="1606" spans="1:12">
      <c r="A1606" s="373" t="s">
        <v>1447</v>
      </c>
      <c r="B1606" s="384"/>
      <c r="C1606" s="412">
        <f>C1607+C1608</f>
        <v>50.400000000000006</v>
      </c>
      <c r="D1606" s="412">
        <f>C1606*0.22</f>
        <v>11.088000000000001</v>
      </c>
      <c r="E1606" s="384">
        <v>552.35</v>
      </c>
      <c r="F1606" s="412">
        <f t="shared" ref="F1606" si="303">C1606*0.9</f>
        <v>45.360000000000007</v>
      </c>
      <c r="G1606" s="412">
        <f>C1606+D1606+E1606+F1606</f>
        <v>659.19800000000009</v>
      </c>
      <c r="H1606" s="412">
        <f t="shared" ref="H1606" si="304">G1606*0.35</f>
        <v>230.7193</v>
      </c>
      <c r="I1606" s="413">
        <f>G1606+H1606</f>
        <v>889.91730000000007</v>
      </c>
      <c r="J1606" s="349">
        <f>I1606+I1609+I1610</f>
        <v>920.82690000000002</v>
      </c>
      <c r="K1606" s="371"/>
      <c r="L1606" s="371"/>
    </row>
    <row r="1607" spans="1:12">
      <c r="A1607" s="422" t="s">
        <v>1435</v>
      </c>
      <c r="B1607" s="423">
        <v>40</v>
      </c>
      <c r="C1607" s="424">
        <v>27.6</v>
      </c>
      <c r="D1607" s="424"/>
      <c r="E1607" s="423"/>
      <c r="F1607" s="424"/>
      <c r="G1607" s="424"/>
      <c r="H1607" s="424"/>
      <c r="I1607" s="425"/>
      <c r="J1607" s="379"/>
      <c r="K1607" s="371"/>
      <c r="L1607" s="371"/>
    </row>
    <row r="1608" spans="1:12">
      <c r="A1608" s="426" t="s">
        <v>1436</v>
      </c>
      <c r="B1608" s="386">
        <v>40</v>
      </c>
      <c r="C1608" s="392">
        <v>22.8</v>
      </c>
      <c r="D1608" s="386"/>
      <c r="E1608" s="386"/>
      <c r="F1608" s="392"/>
      <c r="G1608" s="386"/>
      <c r="H1608" s="392"/>
      <c r="I1608" s="427"/>
      <c r="J1608" s="408"/>
      <c r="K1608" s="371"/>
      <c r="L1608" s="371"/>
    </row>
    <row r="1609" spans="1:12">
      <c r="A1609" s="350" t="s">
        <v>385</v>
      </c>
      <c r="B1609" s="351">
        <v>20</v>
      </c>
      <c r="C1609" s="391">
        <v>10.8</v>
      </c>
      <c r="D1609" s="392">
        <f>C1609*0.22</f>
        <v>2.3760000000000003</v>
      </c>
      <c r="E1609" s="355"/>
      <c r="F1609" s="392">
        <f t="shared" ref="F1609" si="305">C1609*0.9</f>
        <v>9.7200000000000006</v>
      </c>
      <c r="G1609" s="392">
        <f>C1609+D1609+E1609+F1609</f>
        <v>22.896000000000001</v>
      </c>
      <c r="H1609" s="392">
        <f t="shared" ref="H1609" si="306">G1609*0.35</f>
        <v>8.0136000000000003</v>
      </c>
      <c r="I1609" s="393">
        <f>G1609+H1609</f>
        <v>30.909600000000001</v>
      </c>
      <c r="J1609" s="408"/>
      <c r="K1609" s="371"/>
      <c r="L1609" s="371"/>
    </row>
    <row r="1610" spans="1:12">
      <c r="A1610" s="350"/>
      <c r="B1610" s="351"/>
      <c r="C1610" s="391"/>
      <c r="D1610" s="392"/>
      <c r="E1610" s="355"/>
      <c r="F1610" s="392"/>
      <c r="G1610" s="392"/>
      <c r="H1610" s="392"/>
      <c r="I1610" s="393"/>
      <c r="J1610" s="408"/>
      <c r="K1610" s="371"/>
      <c r="L1610" s="371"/>
    </row>
    <row r="1611" spans="1:12" ht="12.75">
      <c r="A1611" s="368" t="s">
        <v>1448</v>
      </c>
      <c r="B1611" s="369"/>
      <c r="C1611" s="369"/>
      <c r="D1611" s="369"/>
      <c r="E1611" s="369"/>
      <c r="F1611" s="369"/>
      <c r="G1611" s="369"/>
      <c r="H1611" s="369"/>
      <c r="I1611" s="369"/>
      <c r="J1611" s="370"/>
      <c r="K1611" s="371"/>
      <c r="L1611" s="371"/>
    </row>
    <row r="1612" spans="1:12">
      <c r="A1612" s="445" t="s">
        <v>1449</v>
      </c>
      <c r="B1612" s="384"/>
      <c r="C1612" s="412">
        <f>C1613+C1614</f>
        <v>69.849999999999994</v>
      </c>
      <c r="D1612" s="384">
        <v>13.46</v>
      </c>
      <c r="E1612" s="384">
        <v>19.68</v>
      </c>
      <c r="F1612" s="412">
        <f>C1612*0.9</f>
        <v>62.864999999999995</v>
      </c>
      <c r="G1612" s="412">
        <f>C1612+D1612+E1612+F1612</f>
        <v>165.85500000000002</v>
      </c>
      <c r="H1612" s="412">
        <f>G1612*0.35</f>
        <v>58.049250000000001</v>
      </c>
      <c r="I1612" s="413">
        <f>+G1612+H1612</f>
        <v>223.90425000000002</v>
      </c>
      <c r="J1612" s="349">
        <f>I1612+I1616+I1615</f>
        <v>254.81385000000003</v>
      </c>
      <c r="K1612" s="371"/>
      <c r="L1612" s="371"/>
    </row>
    <row r="1613" spans="1:12">
      <c r="A1613" s="386" t="s">
        <v>258</v>
      </c>
      <c r="B1613" s="386">
        <v>55</v>
      </c>
      <c r="C1613" s="386">
        <v>38.5</v>
      </c>
      <c r="D1613" s="386"/>
      <c r="E1613" s="386"/>
      <c r="F1613" s="392"/>
      <c r="G1613" s="392"/>
      <c r="H1613" s="392"/>
      <c r="I1613" s="446"/>
      <c r="J1613" s="380"/>
      <c r="K1613" s="371"/>
      <c r="L1613" s="371"/>
    </row>
    <row r="1614" spans="1:12">
      <c r="A1614" s="350" t="s">
        <v>337</v>
      </c>
      <c r="B1614" s="386">
        <v>55</v>
      </c>
      <c r="C1614" s="386">
        <v>31.35</v>
      </c>
      <c r="D1614" s="386"/>
      <c r="E1614" s="386"/>
      <c r="F1614" s="392"/>
      <c r="G1614" s="392"/>
      <c r="H1614" s="392"/>
      <c r="I1614" s="446"/>
      <c r="J1614" s="353"/>
      <c r="K1614" s="371"/>
      <c r="L1614" s="371"/>
    </row>
    <row r="1615" spans="1:12">
      <c r="A1615" s="350" t="s">
        <v>385</v>
      </c>
      <c r="B1615" s="351">
        <v>20</v>
      </c>
      <c r="C1615" s="391">
        <v>10.8</v>
      </c>
      <c r="D1615" s="392">
        <f>C1615*0.22</f>
        <v>2.3760000000000003</v>
      </c>
      <c r="E1615" s="355"/>
      <c r="F1615" s="392">
        <f>C1615*0.9</f>
        <v>9.7200000000000006</v>
      </c>
      <c r="G1615" s="392">
        <f>C1615+D1615+E1615+F1615</f>
        <v>22.896000000000001</v>
      </c>
      <c r="H1615" s="392">
        <f>G1615*0.35</f>
        <v>8.0136000000000003</v>
      </c>
      <c r="I1615" s="393">
        <f>G1615+H1615</f>
        <v>30.909600000000001</v>
      </c>
      <c r="J1615" s="353"/>
      <c r="K1615" s="371"/>
      <c r="L1615" s="371"/>
    </row>
    <row r="1616" spans="1:12">
      <c r="A1616" s="350"/>
      <c r="B1616" s="351"/>
      <c r="C1616" s="391"/>
      <c r="D1616" s="392"/>
      <c r="E1616" s="355"/>
      <c r="F1616" s="392"/>
      <c r="G1616" s="392"/>
      <c r="H1616" s="392"/>
      <c r="I1616" s="393"/>
      <c r="J1616" s="353"/>
      <c r="K1616" s="371"/>
      <c r="L1616" s="371"/>
    </row>
    <row r="1617" spans="1:12">
      <c r="A1617" s="445" t="s">
        <v>1450</v>
      </c>
      <c r="B1617" s="384"/>
      <c r="C1617" s="412">
        <f>C1618+C1619</f>
        <v>76.2</v>
      </c>
      <c r="D1617" s="384">
        <v>13.46</v>
      </c>
      <c r="E1617" s="384">
        <v>19.68</v>
      </c>
      <c r="F1617" s="412">
        <f>C1617*0.9</f>
        <v>68.58</v>
      </c>
      <c r="G1617" s="412">
        <f>C1617+D1617+E1617+F1617</f>
        <v>177.92000000000002</v>
      </c>
      <c r="H1617" s="412">
        <f>G1617*0.35</f>
        <v>62.271999999999998</v>
      </c>
      <c r="I1617" s="413">
        <f>+G1617+H1617</f>
        <v>240.19200000000001</v>
      </c>
      <c r="J1617" s="349">
        <f>I1617+I1621+I1620</f>
        <v>286.5564</v>
      </c>
      <c r="K1617" s="371"/>
      <c r="L1617" s="371"/>
    </row>
    <row r="1618" spans="1:12">
      <c r="A1618" s="386" t="s">
        <v>258</v>
      </c>
      <c r="B1618" s="386">
        <v>60</v>
      </c>
      <c r="C1618" s="386">
        <v>42</v>
      </c>
      <c r="D1618" s="386"/>
      <c r="E1618" s="386"/>
      <c r="F1618" s="392"/>
      <c r="G1618" s="392"/>
      <c r="H1618" s="392"/>
      <c r="I1618" s="446"/>
      <c r="J1618" s="380"/>
      <c r="K1618" s="371"/>
      <c r="L1618" s="371"/>
    </row>
    <row r="1619" spans="1:12">
      <c r="A1619" s="350" t="s">
        <v>337</v>
      </c>
      <c r="B1619" s="386">
        <v>60</v>
      </c>
      <c r="C1619" s="386">
        <v>34.200000000000003</v>
      </c>
      <c r="D1619" s="386"/>
      <c r="E1619" s="386"/>
      <c r="F1619" s="392"/>
      <c r="G1619" s="392"/>
      <c r="H1619" s="392"/>
      <c r="I1619" s="446"/>
      <c r="J1619" s="353"/>
      <c r="K1619" s="371"/>
      <c r="L1619" s="371"/>
    </row>
    <row r="1620" spans="1:12">
      <c r="A1620" s="350" t="s">
        <v>385</v>
      </c>
      <c r="B1620" s="351">
        <v>30</v>
      </c>
      <c r="C1620" s="391">
        <v>16.2</v>
      </c>
      <c r="D1620" s="392">
        <f>C1620*0.22</f>
        <v>3.5640000000000001</v>
      </c>
      <c r="E1620" s="355"/>
      <c r="F1620" s="392">
        <f>C1620*0.9</f>
        <v>14.58</v>
      </c>
      <c r="G1620" s="392">
        <f>C1620+D1620+E1620+F1620</f>
        <v>34.344000000000001</v>
      </c>
      <c r="H1620" s="392">
        <f>G1620*0.35</f>
        <v>12.0204</v>
      </c>
      <c r="I1620" s="393">
        <f>G1620+H1620</f>
        <v>46.364400000000003</v>
      </c>
      <c r="J1620" s="353"/>
      <c r="K1620" s="371"/>
      <c r="L1620" s="371"/>
    </row>
    <row r="1621" spans="1:12">
      <c r="A1621" s="350"/>
      <c r="B1621" s="351"/>
      <c r="C1621" s="391"/>
      <c r="D1621" s="392"/>
      <c r="E1621" s="355"/>
      <c r="F1621" s="392"/>
      <c r="G1621" s="392"/>
      <c r="H1621" s="392"/>
      <c r="I1621" s="393"/>
      <c r="J1621" s="353"/>
      <c r="K1621" s="371"/>
      <c r="L1621" s="371"/>
    </row>
    <row r="1622" spans="1:12">
      <c r="A1622" s="445" t="s">
        <v>1451</v>
      </c>
      <c r="B1622" s="384"/>
      <c r="C1622" s="412">
        <f>C1623+C1624</f>
        <v>82.6</v>
      </c>
      <c r="D1622" s="384">
        <v>13.46</v>
      </c>
      <c r="E1622" s="384">
        <v>19.68</v>
      </c>
      <c r="F1622" s="412">
        <f>C1622*0.9</f>
        <v>74.34</v>
      </c>
      <c r="G1622" s="412">
        <f>C1622+D1622+E1622+F1622</f>
        <v>190.08</v>
      </c>
      <c r="H1622" s="412">
        <f>G1622*0.35</f>
        <v>66.528000000000006</v>
      </c>
      <c r="I1622" s="413">
        <f>+G1622+H1622</f>
        <v>256.608</v>
      </c>
      <c r="J1622" s="349">
        <f>I1622+I1625</f>
        <v>302.97239999999999</v>
      </c>
      <c r="K1622" s="371"/>
      <c r="L1622" s="371"/>
    </row>
    <row r="1623" spans="1:12">
      <c r="A1623" s="386" t="s">
        <v>258</v>
      </c>
      <c r="B1623" s="386">
        <v>65</v>
      </c>
      <c r="C1623" s="386">
        <v>45.55</v>
      </c>
      <c r="D1623" s="386"/>
      <c r="E1623" s="386"/>
      <c r="F1623" s="392"/>
      <c r="G1623" s="392"/>
      <c r="H1623" s="392"/>
      <c r="I1623" s="446"/>
      <c r="J1623" s="380"/>
      <c r="K1623" s="371"/>
      <c r="L1623" s="371"/>
    </row>
    <row r="1624" spans="1:12">
      <c r="A1624" s="350" t="s">
        <v>337</v>
      </c>
      <c r="B1624" s="386">
        <v>65</v>
      </c>
      <c r="C1624" s="386">
        <v>37.049999999999997</v>
      </c>
      <c r="D1624" s="386"/>
      <c r="E1624" s="386"/>
      <c r="F1624" s="392"/>
      <c r="G1624" s="392"/>
      <c r="H1624" s="392"/>
      <c r="I1624" s="446"/>
      <c r="J1624" s="353"/>
      <c r="K1624" s="371"/>
      <c r="L1624" s="371"/>
    </row>
    <row r="1625" spans="1:12">
      <c r="A1625" s="350" t="s">
        <v>385</v>
      </c>
      <c r="B1625" s="351">
        <v>30</v>
      </c>
      <c r="C1625" s="391">
        <v>16.2</v>
      </c>
      <c r="D1625" s="392">
        <f>C1625*0.22</f>
        <v>3.5640000000000001</v>
      </c>
      <c r="E1625" s="355"/>
      <c r="F1625" s="392">
        <f>C1625*0.9</f>
        <v>14.58</v>
      </c>
      <c r="G1625" s="392">
        <f>C1625+D1625+E1625+F1625</f>
        <v>34.344000000000001</v>
      </c>
      <c r="H1625" s="392">
        <f>G1625*0.35</f>
        <v>12.0204</v>
      </c>
      <c r="I1625" s="393">
        <f>G1625+H1625</f>
        <v>46.364400000000003</v>
      </c>
      <c r="J1625" s="353"/>
      <c r="K1625" s="371"/>
      <c r="L1625" s="371"/>
    </row>
    <row r="1626" spans="1:12">
      <c r="A1626" s="350"/>
      <c r="B1626" s="351"/>
      <c r="C1626" s="391"/>
      <c r="D1626" s="392"/>
      <c r="E1626" s="355"/>
      <c r="F1626" s="392"/>
      <c r="G1626" s="392"/>
      <c r="H1626" s="392"/>
      <c r="I1626" s="393"/>
      <c r="J1626" s="353"/>
      <c r="K1626" s="371"/>
      <c r="L1626" s="371"/>
    </row>
    <row r="1627" spans="1:12">
      <c r="A1627" s="445" t="s">
        <v>1452</v>
      </c>
      <c r="B1627" s="384"/>
      <c r="C1627" s="412">
        <f>C1628+C1629</f>
        <v>38.1</v>
      </c>
      <c r="D1627" s="384">
        <v>13.46</v>
      </c>
      <c r="E1627" s="384">
        <v>19.68</v>
      </c>
      <c r="F1627" s="412">
        <f>C1627*0.9</f>
        <v>34.29</v>
      </c>
      <c r="G1627" s="412">
        <f>C1627+D1627+E1627+F1627</f>
        <v>105.53</v>
      </c>
      <c r="H1627" s="412">
        <f>G1627*0.35</f>
        <v>36.935499999999998</v>
      </c>
      <c r="I1627" s="413">
        <f>+G1627+H1627</f>
        <v>142.46549999999999</v>
      </c>
      <c r="J1627" s="349">
        <f>I1627+I1631+I1630</f>
        <v>165.64769999999999</v>
      </c>
      <c r="K1627" s="371"/>
      <c r="L1627" s="371"/>
    </row>
    <row r="1628" spans="1:12">
      <c r="A1628" s="386" t="s">
        <v>258</v>
      </c>
      <c r="B1628" s="386">
        <v>30</v>
      </c>
      <c r="C1628" s="386">
        <v>21</v>
      </c>
      <c r="D1628" s="386"/>
      <c r="E1628" s="386"/>
      <c r="F1628" s="392"/>
      <c r="G1628" s="392"/>
      <c r="H1628" s="392"/>
      <c r="I1628" s="446"/>
      <c r="J1628" s="380"/>
      <c r="K1628" s="371"/>
      <c r="L1628" s="371"/>
    </row>
    <row r="1629" spans="1:12">
      <c r="A1629" s="350" t="s">
        <v>337</v>
      </c>
      <c r="B1629" s="386">
        <v>30</v>
      </c>
      <c r="C1629" s="386">
        <v>17.100000000000001</v>
      </c>
      <c r="D1629" s="386"/>
      <c r="E1629" s="386"/>
      <c r="F1629" s="392"/>
      <c r="G1629" s="392"/>
      <c r="H1629" s="392"/>
      <c r="I1629" s="446"/>
      <c r="J1629" s="353"/>
      <c r="K1629" s="371"/>
      <c r="L1629" s="371"/>
    </row>
    <row r="1630" spans="1:12">
      <c r="A1630" s="350" t="s">
        <v>385</v>
      </c>
      <c r="B1630" s="351">
        <v>15</v>
      </c>
      <c r="C1630" s="391">
        <v>8.1</v>
      </c>
      <c r="D1630" s="392">
        <f>C1630*0.22</f>
        <v>1.782</v>
      </c>
      <c r="E1630" s="355"/>
      <c r="F1630" s="392">
        <f>C1630*0.9</f>
        <v>7.29</v>
      </c>
      <c r="G1630" s="392">
        <f>C1630+D1630+E1630+F1630</f>
        <v>17.172000000000001</v>
      </c>
      <c r="H1630" s="392">
        <f>G1630*0.35</f>
        <v>6.0102000000000002</v>
      </c>
      <c r="I1630" s="393">
        <f>G1630+H1630</f>
        <v>23.182200000000002</v>
      </c>
      <c r="J1630" s="353"/>
      <c r="K1630" s="371"/>
      <c r="L1630" s="371"/>
    </row>
    <row r="1631" spans="1:12">
      <c r="A1631" s="350"/>
      <c r="B1631" s="351"/>
      <c r="C1631" s="391"/>
      <c r="D1631" s="392"/>
      <c r="E1631" s="355"/>
      <c r="F1631" s="392"/>
      <c r="G1631" s="392"/>
      <c r="H1631" s="392"/>
      <c r="I1631" s="393"/>
      <c r="J1631" s="353"/>
      <c r="K1631" s="371"/>
      <c r="L1631" s="371"/>
    </row>
    <row r="1632" spans="1:12">
      <c r="A1632" s="445" t="s">
        <v>1453</v>
      </c>
      <c r="B1632" s="384"/>
      <c r="C1632" s="412">
        <f>C1633+C1634</f>
        <v>44.45</v>
      </c>
      <c r="D1632" s="384">
        <v>13.46</v>
      </c>
      <c r="E1632" s="384">
        <v>19.68</v>
      </c>
      <c r="F1632" s="412">
        <f>C1632*0.9</f>
        <v>40.005000000000003</v>
      </c>
      <c r="G1632" s="412">
        <f>C1632+D1632+E1632+F1632</f>
        <v>117.595</v>
      </c>
      <c r="H1632" s="412">
        <f>G1632*0.35</f>
        <v>41.158249999999995</v>
      </c>
      <c r="I1632" s="413">
        <f>+G1632+H1632</f>
        <v>158.75324999999998</v>
      </c>
      <c r="J1632" s="349">
        <f>I1632+I1636+I1635</f>
        <v>185.02640999999997</v>
      </c>
      <c r="K1632" s="371"/>
      <c r="L1632" s="371"/>
    </row>
    <row r="1633" spans="1:12">
      <c r="A1633" s="386" t="s">
        <v>258</v>
      </c>
      <c r="B1633" s="386">
        <v>35</v>
      </c>
      <c r="C1633" s="386">
        <v>24.5</v>
      </c>
      <c r="D1633" s="386"/>
      <c r="E1633" s="386"/>
      <c r="F1633" s="392"/>
      <c r="G1633" s="392"/>
      <c r="H1633" s="392"/>
      <c r="I1633" s="446"/>
      <c r="J1633" s="380"/>
      <c r="K1633" s="371"/>
      <c r="L1633" s="371"/>
    </row>
    <row r="1634" spans="1:12">
      <c r="A1634" s="350" t="s">
        <v>337</v>
      </c>
      <c r="B1634" s="386">
        <v>35</v>
      </c>
      <c r="C1634" s="386">
        <v>19.95</v>
      </c>
      <c r="D1634" s="386"/>
      <c r="E1634" s="386"/>
      <c r="F1634" s="392"/>
      <c r="G1634" s="392"/>
      <c r="H1634" s="392"/>
      <c r="I1634" s="446"/>
      <c r="J1634" s="353"/>
      <c r="K1634" s="371"/>
      <c r="L1634" s="371"/>
    </row>
    <row r="1635" spans="1:12">
      <c r="A1635" s="350" t="s">
        <v>385</v>
      </c>
      <c r="B1635" s="351">
        <v>17</v>
      </c>
      <c r="C1635" s="391">
        <v>9.18</v>
      </c>
      <c r="D1635" s="392">
        <f>C1635*0.22</f>
        <v>2.0196000000000001</v>
      </c>
      <c r="E1635" s="355"/>
      <c r="F1635" s="392">
        <f>C1635*0.9</f>
        <v>8.2620000000000005</v>
      </c>
      <c r="G1635" s="392">
        <f>C1635+D1635+E1635+F1635</f>
        <v>19.461600000000001</v>
      </c>
      <c r="H1635" s="392">
        <f>G1635*0.35</f>
        <v>6.8115600000000001</v>
      </c>
      <c r="I1635" s="393">
        <f>G1635+H1635</f>
        <v>26.273160000000001</v>
      </c>
      <c r="J1635" s="353"/>
      <c r="K1635" s="371"/>
      <c r="L1635" s="371"/>
    </row>
    <row r="1636" spans="1:12">
      <c r="A1636" s="350"/>
      <c r="B1636" s="351"/>
      <c r="C1636" s="391"/>
      <c r="D1636" s="392"/>
      <c r="E1636" s="355"/>
      <c r="F1636" s="392"/>
      <c r="G1636" s="392"/>
      <c r="H1636" s="392"/>
      <c r="I1636" s="393"/>
      <c r="J1636" s="353"/>
      <c r="K1636" s="371"/>
      <c r="L1636" s="371"/>
    </row>
    <row r="1637" spans="1:12">
      <c r="A1637" s="445" t="s">
        <v>1454</v>
      </c>
      <c r="B1637" s="384"/>
      <c r="C1637" s="412">
        <f>C1638+C1639</f>
        <v>76.2</v>
      </c>
      <c r="D1637" s="384">
        <v>13.46</v>
      </c>
      <c r="E1637" s="384">
        <v>28.08</v>
      </c>
      <c r="F1637" s="412">
        <f>C1637*0.9</f>
        <v>68.58</v>
      </c>
      <c r="G1637" s="412">
        <f>C1637+D1637+E1637+F1637</f>
        <v>186.32</v>
      </c>
      <c r="H1637" s="412">
        <f>G1637*0.35</f>
        <v>65.211999999999989</v>
      </c>
      <c r="I1637" s="413">
        <f>+G1637+H1637</f>
        <v>251.53199999999998</v>
      </c>
      <c r="J1637" s="349">
        <f>I1637+I1640</f>
        <v>297.89639999999997</v>
      </c>
      <c r="K1637" s="371"/>
      <c r="L1637" s="371"/>
    </row>
    <row r="1638" spans="1:12">
      <c r="A1638" s="386" t="s">
        <v>258</v>
      </c>
      <c r="B1638" s="386">
        <v>60</v>
      </c>
      <c r="C1638" s="386">
        <v>42</v>
      </c>
      <c r="D1638" s="386"/>
      <c r="E1638" s="386"/>
      <c r="F1638" s="392"/>
      <c r="G1638" s="392"/>
      <c r="H1638" s="392"/>
      <c r="I1638" s="446"/>
      <c r="J1638" s="380"/>
      <c r="K1638" s="371"/>
      <c r="L1638" s="371"/>
    </row>
    <row r="1639" spans="1:12">
      <c r="A1639" s="350" t="s">
        <v>337</v>
      </c>
      <c r="B1639" s="386">
        <v>60</v>
      </c>
      <c r="C1639" s="386">
        <v>34.200000000000003</v>
      </c>
      <c r="D1639" s="386"/>
      <c r="E1639" s="386"/>
      <c r="F1639" s="392"/>
      <c r="G1639" s="392"/>
      <c r="H1639" s="392"/>
      <c r="I1639" s="446"/>
      <c r="J1639" s="353"/>
      <c r="K1639" s="371"/>
      <c r="L1639" s="371"/>
    </row>
    <row r="1640" spans="1:12">
      <c r="A1640" s="350" t="s">
        <v>385</v>
      </c>
      <c r="B1640" s="351">
        <v>30</v>
      </c>
      <c r="C1640" s="391">
        <v>16.2</v>
      </c>
      <c r="D1640" s="392">
        <f>C1640*0.22</f>
        <v>3.5640000000000001</v>
      </c>
      <c r="E1640" s="355"/>
      <c r="F1640" s="392">
        <f>C1640*0.9</f>
        <v>14.58</v>
      </c>
      <c r="G1640" s="392">
        <f>C1640+D1640+E1640+F1640</f>
        <v>34.344000000000001</v>
      </c>
      <c r="H1640" s="392">
        <f>G1640*0.35</f>
        <v>12.0204</v>
      </c>
      <c r="I1640" s="393">
        <f>G1640+H1640</f>
        <v>46.364400000000003</v>
      </c>
      <c r="J1640" s="353"/>
      <c r="K1640" s="371"/>
      <c r="L1640" s="371"/>
    </row>
    <row r="1641" spans="1:12">
      <c r="A1641" s="445" t="s">
        <v>1455</v>
      </c>
      <c r="B1641" s="384"/>
      <c r="C1641" s="412">
        <f>C1642+C1643</f>
        <v>19.05</v>
      </c>
      <c r="D1641" s="384">
        <v>13.46</v>
      </c>
      <c r="E1641" s="384">
        <v>19.68</v>
      </c>
      <c r="F1641" s="412">
        <f>C1641*0.9</f>
        <v>17.145</v>
      </c>
      <c r="G1641" s="412">
        <f>C1641+D1641+E1641+F1641</f>
        <v>69.335000000000008</v>
      </c>
      <c r="H1641" s="412">
        <f>G1641*0.35</f>
        <v>24.267250000000001</v>
      </c>
      <c r="I1641" s="413">
        <f>+G1641+H1641</f>
        <v>93.602250000000012</v>
      </c>
      <c r="J1641" s="349">
        <f>I1641+I1644</f>
        <v>104.42061000000001</v>
      </c>
      <c r="K1641" s="371"/>
      <c r="L1641" s="371"/>
    </row>
    <row r="1642" spans="1:12">
      <c r="A1642" s="386" t="s">
        <v>258</v>
      </c>
      <c r="B1642" s="386">
        <v>15</v>
      </c>
      <c r="C1642" s="386">
        <v>10.5</v>
      </c>
      <c r="D1642" s="386"/>
      <c r="E1642" s="386"/>
      <c r="F1642" s="392"/>
      <c r="G1642" s="392"/>
      <c r="H1642" s="392"/>
      <c r="I1642" s="446"/>
      <c r="J1642" s="379"/>
      <c r="K1642" s="371"/>
      <c r="L1642" s="371"/>
    </row>
    <row r="1643" spans="1:12">
      <c r="A1643" s="350" t="s">
        <v>337</v>
      </c>
      <c r="B1643" s="386">
        <v>15</v>
      </c>
      <c r="C1643" s="386">
        <v>8.5500000000000007</v>
      </c>
      <c r="D1643" s="386"/>
      <c r="E1643" s="386"/>
      <c r="F1643" s="392"/>
      <c r="G1643" s="392"/>
      <c r="H1643" s="392"/>
      <c r="I1643" s="446"/>
      <c r="J1643" s="355"/>
      <c r="K1643" s="371"/>
      <c r="L1643" s="371"/>
    </row>
    <row r="1644" spans="1:12">
      <c r="A1644" s="350" t="s">
        <v>385</v>
      </c>
      <c r="B1644" s="351">
        <v>7</v>
      </c>
      <c r="C1644" s="391">
        <v>3.78</v>
      </c>
      <c r="D1644" s="392">
        <f>C1644*0.22</f>
        <v>0.83160000000000001</v>
      </c>
      <c r="E1644" s="355"/>
      <c r="F1644" s="392">
        <f>C1644*0.9</f>
        <v>3.4019999999999997</v>
      </c>
      <c r="G1644" s="392">
        <f>C1644+D1644+E1644+F1644</f>
        <v>8.0136000000000003</v>
      </c>
      <c r="H1644" s="392">
        <f>G1644*0.35</f>
        <v>2.8047599999999999</v>
      </c>
      <c r="I1644" s="393">
        <f>G1644+H1644</f>
        <v>10.81836</v>
      </c>
      <c r="J1644" s="355"/>
      <c r="K1644" s="371"/>
      <c r="L1644" s="371"/>
    </row>
    <row r="1645" spans="1:12">
      <c r="A1645" s="350"/>
      <c r="B1645" s="351"/>
      <c r="C1645" s="391"/>
      <c r="D1645" s="392"/>
      <c r="E1645" s="355"/>
      <c r="F1645" s="392"/>
      <c r="G1645" s="392"/>
      <c r="H1645" s="392"/>
      <c r="I1645" s="393"/>
      <c r="J1645" s="355"/>
      <c r="K1645" s="371"/>
      <c r="L1645" s="371"/>
    </row>
    <row r="1646" spans="1:12">
      <c r="A1646" s="445" t="s">
        <v>991</v>
      </c>
      <c r="B1646" s="384"/>
      <c r="C1646" s="412">
        <f>C1647+C1648</f>
        <v>19.05</v>
      </c>
      <c r="D1646" s="384">
        <v>13.46</v>
      </c>
      <c r="E1646" s="384">
        <v>19.68</v>
      </c>
      <c r="F1646" s="412">
        <f>C1646*0.9</f>
        <v>17.145</v>
      </c>
      <c r="G1646" s="412">
        <f>C1646+D1646+E1646+F1646</f>
        <v>69.335000000000008</v>
      </c>
      <c r="H1646" s="412">
        <f>G1646*0.35</f>
        <v>24.267250000000001</v>
      </c>
      <c r="I1646" s="413">
        <f>+G1646+H1646</f>
        <v>93.602250000000012</v>
      </c>
      <c r="J1646" s="349">
        <f>I1646+I1649</f>
        <v>104.42061000000001</v>
      </c>
      <c r="K1646" s="371"/>
      <c r="L1646" s="371"/>
    </row>
    <row r="1647" spans="1:12">
      <c r="A1647" s="386" t="s">
        <v>258</v>
      </c>
      <c r="B1647" s="386">
        <v>15</v>
      </c>
      <c r="C1647" s="386">
        <v>10.5</v>
      </c>
      <c r="D1647" s="386"/>
      <c r="E1647" s="386"/>
      <c r="F1647" s="392"/>
      <c r="G1647" s="392"/>
      <c r="H1647" s="392"/>
      <c r="I1647" s="446"/>
      <c r="J1647" s="380"/>
      <c r="K1647" s="371"/>
      <c r="L1647" s="371"/>
    </row>
    <row r="1648" spans="1:12">
      <c r="A1648" s="350" t="s">
        <v>337</v>
      </c>
      <c r="B1648" s="386">
        <v>15</v>
      </c>
      <c r="C1648" s="386">
        <v>8.5500000000000007</v>
      </c>
      <c r="D1648" s="386"/>
      <c r="E1648" s="386"/>
      <c r="F1648" s="392"/>
      <c r="G1648" s="392"/>
      <c r="H1648" s="392"/>
      <c r="I1648" s="446"/>
      <c r="J1648" s="353"/>
    </row>
    <row r="1649" spans="1:10">
      <c r="A1649" s="350" t="s">
        <v>385</v>
      </c>
      <c r="B1649" s="351">
        <v>7</v>
      </c>
      <c r="C1649" s="391">
        <v>3.78</v>
      </c>
      <c r="D1649" s="392">
        <f>C1649*0.22</f>
        <v>0.83160000000000001</v>
      </c>
      <c r="E1649" s="355"/>
      <c r="F1649" s="392">
        <f>C1649*0.9</f>
        <v>3.4019999999999997</v>
      </c>
      <c r="G1649" s="392">
        <f>C1649+D1649+E1649+F1649</f>
        <v>8.0136000000000003</v>
      </c>
      <c r="H1649" s="392">
        <f>G1649*0.35</f>
        <v>2.8047599999999999</v>
      </c>
      <c r="I1649" s="393">
        <f>G1649+H1649</f>
        <v>10.81836</v>
      </c>
      <c r="J1649" s="353"/>
    </row>
    <row r="1650" spans="1:10">
      <c r="A1650" s="350"/>
      <c r="B1650" s="351"/>
      <c r="C1650" s="391"/>
      <c r="D1650" s="392"/>
      <c r="E1650" s="355"/>
      <c r="F1650" s="392"/>
      <c r="G1650" s="392"/>
      <c r="H1650" s="392"/>
      <c r="I1650" s="393"/>
      <c r="J1650" s="353"/>
    </row>
    <row r="1651" spans="1:10" ht="21.75">
      <c r="A1651" s="383" t="s">
        <v>1456</v>
      </c>
      <c r="B1651" s="384"/>
      <c r="C1651" s="412">
        <f>C1652+C1653</f>
        <v>19.05</v>
      </c>
      <c r="D1651" s="384">
        <v>13.46</v>
      </c>
      <c r="E1651" s="384">
        <v>1.68</v>
      </c>
      <c r="F1651" s="412">
        <f>C1651*0.9</f>
        <v>17.145</v>
      </c>
      <c r="G1651" s="412">
        <f>C1651+D1651+E1651+F1651</f>
        <v>51.335000000000008</v>
      </c>
      <c r="H1651" s="412">
        <f>G1651*0.35</f>
        <v>17.96725</v>
      </c>
      <c r="I1651" s="413">
        <f>+G1651+H1651</f>
        <v>69.302250000000015</v>
      </c>
      <c r="J1651" s="349">
        <f>I1651+I957+I1654</f>
        <v>80.120610000000013</v>
      </c>
    </row>
    <row r="1652" spans="1:10">
      <c r="A1652" s="386" t="s">
        <v>258</v>
      </c>
      <c r="B1652" s="386">
        <v>15</v>
      </c>
      <c r="C1652" s="386">
        <v>10.5</v>
      </c>
      <c r="D1652" s="386"/>
      <c r="E1652" s="386"/>
      <c r="F1652" s="392"/>
      <c r="G1652" s="392"/>
      <c r="H1652" s="392"/>
      <c r="I1652" s="446"/>
      <c r="J1652" s="380"/>
    </row>
    <row r="1653" spans="1:10">
      <c r="A1653" s="350" t="s">
        <v>337</v>
      </c>
      <c r="B1653" s="386">
        <v>15</v>
      </c>
      <c r="C1653" s="386">
        <v>8.5500000000000007</v>
      </c>
      <c r="D1653" s="386"/>
      <c r="E1653" s="386"/>
      <c r="F1653" s="392"/>
      <c r="G1653" s="392"/>
      <c r="H1653" s="392"/>
      <c r="I1653" s="446"/>
      <c r="J1653" s="353"/>
    </row>
    <row r="1654" spans="1:10">
      <c r="A1654" s="350" t="s">
        <v>385</v>
      </c>
      <c r="B1654" s="351">
        <v>7</v>
      </c>
      <c r="C1654" s="391">
        <v>3.78</v>
      </c>
      <c r="D1654" s="392">
        <f>C1654*0.22</f>
        <v>0.83160000000000001</v>
      </c>
      <c r="E1654" s="355"/>
      <c r="F1654" s="392">
        <f>C1654*0.9</f>
        <v>3.4019999999999997</v>
      </c>
      <c r="G1654" s="392">
        <f>C1654+D1654+E1654+F1654</f>
        <v>8.0136000000000003</v>
      </c>
      <c r="H1654" s="392">
        <f>G1654*0.35</f>
        <v>2.8047599999999999</v>
      </c>
      <c r="I1654" s="393">
        <f>G1654+H1654</f>
        <v>10.81836</v>
      </c>
      <c r="J1654" s="353"/>
    </row>
    <row r="1655" spans="1:10">
      <c r="A1655" s="350"/>
      <c r="B1655" s="351"/>
      <c r="C1655" s="391"/>
      <c r="D1655" s="392"/>
      <c r="E1655" s="355"/>
      <c r="F1655" s="392"/>
      <c r="G1655" s="392"/>
      <c r="H1655" s="392"/>
      <c r="I1655" s="393"/>
      <c r="J1655" s="353"/>
    </row>
    <row r="1656" spans="1:10" ht="21.75">
      <c r="A1656" s="383" t="s">
        <v>1457</v>
      </c>
      <c r="B1656" s="384"/>
      <c r="C1656" s="412">
        <f>C1657+C1658</f>
        <v>19.05</v>
      </c>
      <c r="D1656" s="384">
        <v>13.46</v>
      </c>
      <c r="E1656" s="384">
        <v>1.68</v>
      </c>
      <c r="F1656" s="412">
        <f>C1656*0.9</f>
        <v>17.145</v>
      </c>
      <c r="G1656" s="412">
        <f>C1656+D1656+E1656+F1656</f>
        <v>51.335000000000008</v>
      </c>
      <c r="H1656" s="412">
        <f>G1656*0.35</f>
        <v>17.96725</v>
      </c>
      <c r="I1656" s="413">
        <f>+G1656+H1656</f>
        <v>69.302250000000015</v>
      </c>
      <c r="J1656" s="349">
        <f>I1656+I962+I1659</f>
        <v>80.120610000000013</v>
      </c>
    </row>
    <row r="1657" spans="1:10">
      <c r="A1657" s="386" t="s">
        <v>258</v>
      </c>
      <c r="B1657" s="386">
        <v>15</v>
      </c>
      <c r="C1657" s="386">
        <v>10.5</v>
      </c>
      <c r="D1657" s="386"/>
      <c r="E1657" s="386"/>
      <c r="F1657" s="392"/>
      <c r="G1657" s="392"/>
      <c r="H1657" s="392"/>
      <c r="I1657" s="446"/>
      <c r="J1657" s="380"/>
    </row>
    <row r="1658" spans="1:10">
      <c r="A1658" s="350" t="s">
        <v>337</v>
      </c>
      <c r="B1658" s="386">
        <v>15</v>
      </c>
      <c r="C1658" s="386">
        <v>8.5500000000000007</v>
      </c>
      <c r="D1658" s="386"/>
      <c r="E1658" s="386"/>
      <c r="F1658" s="392"/>
      <c r="G1658" s="392"/>
      <c r="H1658" s="392"/>
      <c r="I1658" s="446"/>
      <c r="J1658" s="353"/>
    </row>
    <row r="1659" spans="1:10">
      <c r="A1659" s="350" t="s">
        <v>385</v>
      </c>
      <c r="B1659" s="351">
        <v>7</v>
      </c>
      <c r="C1659" s="391">
        <v>3.78</v>
      </c>
      <c r="D1659" s="392">
        <f>C1659*0.22</f>
        <v>0.83160000000000001</v>
      </c>
      <c r="E1659" s="355"/>
      <c r="F1659" s="392">
        <f>C1659*0.9</f>
        <v>3.4019999999999997</v>
      </c>
      <c r="G1659" s="392">
        <f>C1659+D1659+E1659+F1659</f>
        <v>8.0136000000000003</v>
      </c>
      <c r="H1659" s="392">
        <f>G1659*0.35</f>
        <v>2.8047599999999999</v>
      </c>
      <c r="I1659" s="393">
        <f>G1659+H1659</f>
        <v>10.81836</v>
      </c>
      <c r="J1659" s="353"/>
    </row>
    <row r="1660" spans="1:10">
      <c r="A1660" s="350"/>
      <c r="B1660" s="351"/>
      <c r="C1660" s="391"/>
      <c r="D1660" s="392"/>
      <c r="E1660" s="355"/>
      <c r="F1660" s="392"/>
      <c r="G1660" s="392"/>
      <c r="H1660" s="392"/>
      <c r="I1660" s="393"/>
      <c r="J1660" s="353"/>
    </row>
    <row r="1661" spans="1:10">
      <c r="A1661" s="383" t="s">
        <v>1458</v>
      </c>
      <c r="B1661" s="384"/>
      <c r="C1661" s="412">
        <f>C1662+C1663</f>
        <v>19.05</v>
      </c>
      <c r="D1661" s="384">
        <v>13.46</v>
      </c>
      <c r="E1661" s="384">
        <v>1.68</v>
      </c>
      <c r="F1661" s="412">
        <f>C1661*0.9</f>
        <v>17.145</v>
      </c>
      <c r="G1661" s="412">
        <f>C1661+D1661+E1661+F1661</f>
        <v>51.335000000000008</v>
      </c>
      <c r="H1661" s="412">
        <f>G1661*0.35</f>
        <v>17.96725</v>
      </c>
      <c r="I1661" s="413">
        <f>+G1661+H1661</f>
        <v>69.302250000000015</v>
      </c>
      <c r="J1661" s="349">
        <f>I1661+I967+I1664</f>
        <v>80.120610000000013</v>
      </c>
    </row>
    <row r="1662" spans="1:10">
      <c r="A1662" s="386" t="s">
        <v>258</v>
      </c>
      <c r="B1662" s="386">
        <v>15</v>
      </c>
      <c r="C1662" s="386">
        <v>10.5</v>
      </c>
      <c r="D1662" s="386"/>
      <c r="E1662" s="386"/>
      <c r="F1662" s="392"/>
      <c r="G1662" s="392"/>
      <c r="H1662" s="392"/>
      <c r="I1662" s="446"/>
      <c r="J1662" s="380"/>
    </row>
    <row r="1663" spans="1:10">
      <c r="A1663" s="350" t="s">
        <v>337</v>
      </c>
      <c r="B1663" s="386">
        <v>15</v>
      </c>
      <c r="C1663" s="386">
        <v>8.5500000000000007</v>
      </c>
      <c r="D1663" s="386"/>
      <c r="E1663" s="386"/>
      <c r="F1663" s="392"/>
      <c r="G1663" s="392"/>
      <c r="H1663" s="392"/>
      <c r="I1663" s="446"/>
      <c r="J1663" s="353"/>
    </row>
    <row r="1664" spans="1:10">
      <c r="A1664" s="350" t="s">
        <v>385</v>
      </c>
      <c r="B1664" s="351">
        <v>7</v>
      </c>
      <c r="C1664" s="391">
        <v>3.78</v>
      </c>
      <c r="D1664" s="392">
        <f>C1664*0.22</f>
        <v>0.83160000000000001</v>
      </c>
      <c r="E1664" s="355"/>
      <c r="F1664" s="392">
        <f>C1664*0.9</f>
        <v>3.4019999999999997</v>
      </c>
      <c r="G1664" s="392">
        <f>C1664+D1664+E1664+F1664</f>
        <v>8.0136000000000003</v>
      </c>
      <c r="H1664" s="392">
        <f>G1664*0.35</f>
        <v>2.8047599999999999</v>
      </c>
      <c r="I1664" s="393">
        <f>G1664+H1664</f>
        <v>10.81836</v>
      </c>
      <c r="J1664" s="353"/>
    </row>
    <row r="1665" spans="1:12">
      <c r="A1665" s="350"/>
      <c r="B1665" s="351"/>
      <c r="C1665" s="391"/>
      <c r="D1665" s="392"/>
      <c r="E1665" s="355"/>
      <c r="F1665" s="392"/>
      <c r="G1665" s="392"/>
      <c r="H1665" s="392"/>
      <c r="I1665" s="393"/>
      <c r="J1665" s="353"/>
    </row>
    <row r="1666" spans="1:12">
      <c r="A1666" s="383" t="s">
        <v>1459</v>
      </c>
      <c r="B1666" s="384"/>
      <c r="C1666" s="412">
        <f>C1667+C1668</f>
        <v>19.05</v>
      </c>
      <c r="D1666" s="384">
        <v>13.46</v>
      </c>
      <c r="E1666" s="384">
        <v>1.68</v>
      </c>
      <c r="F1666" s="412">
        <f>C1666*0.9</f>
        <v>17.145</v>
      </c>
      <c r="G1666" s="412">
        <f>C1666+D1666+E1666+F1666</f>
        <v>51.335000000000008</v>
      </c>
      <c r="H1666" s="412">
        <f>G1666*0.35</f>
        <v>17.96725</v>
      </c>
      <c r="I1666" s="413">
        <f>+G1666+H1666</f>
        <v>69.302250000000015</v>
      </c>
      <c r="J1666" s="349">
        <f>I1666+I1669</f>
        <v>80.120610000000013</v>
      </c>
    </row>
    <row r="1667" spans="1:12">
      <c r="A1667" s="386" t="s">
        <v>258</v>
      </c>
      <c r="B1667" s="386">
        <v>15</v>
      </c>
      <c r="C1667" s="386">
        <v>10.5</v>
      </c>
      <c r="D1667" s="386"/>
      <c r="E1667" s="386"/>
      <c r="F1667" s="392"/>
      <c r="G1667" s="392"/>
      <c r="H1667" s="392"/>
      <c r="I1667" s="446"/>
      <c r="J1667" s="379"/>
    </row>
    <row r="1668" spans="1:12">
      <c r="A1668" s="350" t="s">
        <v>337</v>
      </c>
      <c r="B1668" s="386">
        <v>15</v>
      </c>
      <c r="C1668" s="386">
        <v>8.5500000000000007</v>
      </c>
      <c r="D1668" s="386"/>
      <c r="E1668" s="386"/>
      <c r="F1668" s="392"/>
      <c r="G1668" s="392"/>
      <c r="H1668" s="392"/>
      <c r="I1668" s="446"/>
      <c r="J1668" s="355"/>
    </row>
    <row r="1669" spans="1:12">
      <c r="A1669" s="350" t="s">
        <v>385</v>
      </c>
      <c r="B1669" s="351">
        <v>7</v>
      </c>
      <c r="C1669" s="391">
        <v>3.78</v>
      </c>
      <c r="D1669" s="392">
        <f>C1669*0.22</f>
        <v>0.83160000000000001</v>
      </c>
      <c r="E1669" s="355"/>
      <c r="F1669" s="392">
        <f>C1669*0.9</f>
        <v>3.4019999999999997</v>
      </c>
      <c r="G1669" s="392">
        <f>C1669+D1669+E1669+F1669</f>
        <v>8.0136000000000003</v>
      </c>
      <c r="H1669" s="392">
        <f>G1669*0.35</f>
        <v>2.8047599999999999</v>
      </c>
      <c r="I1669" s="393">
        <f>G1669+H1669</f>
        <v>10.81836</v>
      </c>
      <c r="J1669" s="355"/>
    </row>
    <row r="1670" spans="1:12">
      <c r="A1670" s="350"/>
      <c r="B1670" s="351"/>
      <c r="C1670" s="391"/>
      <c r="D1670" s="392"/>
      <c r="E1670" s="355"/>
      <c r="F1670" s="392"/>
      <c r="G1670" s="392"/>
      <c r="H1670" s="392"/>
      <c r="I1670" s="393"/>
      <c r="J1670" s="355"/>
    </row>
    <row r="1671" spans="1:12" s="429" customFormat="1" ht="12.75">
      <c r="A1671" s="368" t="s">
        <v>1460</v>
      </c>
      <c r="B1671" s="369"/>
      <c r="C1671" s="369"/>
      <c r="D1671" s="369"/>
      <c r="E1671" s="369"/>
      <c r="F1671" s="369"/>
      <c r="G1671" s="369"/>
      <c r="H1671" s="369"/>
      <c r="I1671" s="369"/>
      <c r="J1671" s="370"/>
      <c r="K1671" s="428"/>
      <c r="L1671" s="428"/>
    </row>
    <row r="1672" spans="1:12" s="406" customFormat="1" ht="21">
      <c r="A1672" s="345" t="s">
        <v>1461</v>
      </c>
      <c r="B1672" s="346"/>
      <c r="C1672" s="412">
        <f>C1673+C1674</f>
        <v>3.81</v>
      </c>
      <c r="D1672" s="412">
        <f t="shared" ref="D1672:D1710" si="307">C1672*0.22</f>
        <v>0.83820000000000006</v>
      </c>
      <c r="E1672" s="412">
        <v>27</v>
      </c>
      <c r="F1672" s="412">
        <f t="shared" ref="F1672:F1710" si="308">C1672*0.9</f>
        <v>3.4290000000000003</v>
      </c>
      <c r="G1672" s="412">
        <f>C1672+D1672+E1672+F1672</f>
        <v>35.077199999999998</v>
      </c>
      <c r="H1672" s="412">
        <f>G1672*0.35</f>
        <v>12.277019999999998</v>
      </c>
      <c r="I1672" s="413">
        <f>G1672+H1672</f>
        <v>47.354219999999998</v>
      </c>
      <c r="J1672" s="349">
        <f>I1672+I1675</f>
        <v>48.899699999999996</v>
      </c>
    </row>
    <row r="1673" spans="1:12">
      <c r="A1673" s="350" t="s">
        <v>258</v>
      </c>
      <c r="B1673" s="350">
        <v>3</v>
      </c>
      <c r="C1673" s="391">
        <v>2.1</v>
      </c>
      <c r="D1673" s="392">
        <f t="shared" si="307"/>
        <v>0.46200000000000002</v>
      </c>
      <c r="E1673" s="392"/>
      <c r="F1673" s="392">
        <f t="shared" si="308"/>
        <v>1.8900000000000001</v>
      </c>
      <c r="G1673" s="392"/>
      <c r="H1673" s="392"/>
      <c r="I1673" s="393"/>
      <c r="J1673" s="353"/>
    </row>
    <row r="1674" spans="1:12">
      <c r="A1674" s="350" t="s">
        <v>337</v>
      </c>
      <c r="B1674" s="350">
        <v>3</v>
      </c>
      <c r="C1674" s="391">
        <v>1.71</v>
      </c>
      <c r="D1674" s="392">
        <f t="shared" si="307"/>
        <v>0.37619999999999998</v>
      </c>
      <c r="E1674" s="392"/>
      <c r="F1674" s="392">
        <f t="shared" si="308"/>
        <v>1.5389999999999999</v>
      </c>
      <c r="G1674" s="392"/>
      <c r="H1674" s="392"/>
      <c r="I1674" s="393"/>
      <c r="J1674" s="353"/>
    </row>
    <row r="1675" spans="1:12">
      <c r="A1675" s="350" t="s">
        <v>385</v>
      </c>
      <c r="B1675" s="351">
        <v>1</v>
      </c>
      <c r="C1675" s="391">
        <v>0.54</v>
      </c>
      <c r="D1675" s="392">
        <f t="shared" si="307"/>
        <v>0.1188</v>
      </c>
      <c r="E1675" s="355"/>
      <c r="F1675" s="392">
        <f t="shared" si="308"/>
        <v>0.48600000000000004</v>
      </c>
      <c r="G1675" s="392">
        <f>C1675+D1675+E1675+F1675</f>
        <v>1.1448</v>
      </c>
      <c r="H1675" s="392">
        <f>G1675*0.35</f>
        <v>0.40067999999999998</v>
      </c>
      <c r="I1675" s="393">
        <f>G1675+H1675</f>
        <v>1.54548</v>
      </c>
      <c r="J1675" s="353"/>
    </row>
    <row r="1676" spans="1:12">
      <c r="A1676" s="350"/>
      <c r="B1676" s="351"/>
      <c r="C1676" s="391"/>
      <c r="D1676" s="392"/>
      <c r="E1676" s="355"/>
      <c r="F1676" s="392"/>
      <c r="G1676" s="392"/>
      <c r="H1676" s="392"/>
      <c r="I1676" s="393"/>
      <c r="J1676" s="353"/>
    </row>
    <row r="1677" spans="1:12" ht="21">
      <c r="A1677" s="345" t="s">
        <v>1462</v>
      </c>
      <c r="B1677" s="346"/>
      <c r="C1677" s="412">
        <f>C1678+C1679</f>
        <v>3.81</v>
      </c>
      <c r="D1677" s="412">
        <f t="shared" ref="D1677:D1680" si="309">C1677*0.22</f>
        <v>0.83820000000000006</v>
      </c>
      <c r="E1677" s="412">
        <v>1.35</v>
      </c>
      <c r="F1677" s="412">
        <f t="shared" ref="F1677:F1680" si="310">C1677*0.9</f>
        <v>3.4290000000000003</v>
      </c>
      <c r="G1677" s="412">
        <f>C1677+D1677+E1677+F1677</f>
        <v>9.4272000000000009</v>
      </c>
      <c r="H1677" s="412">
        <f>G1677*0.35</f>
        <v>3.2995200000000002</v>
      </c>
      <c r="I1677" s="413">
        <f>G1677+H1677</f>
        <v>12.72672</v>
      </c>
      <c r="J1677" s="349">
        <f>I1677+I1681+I1680</f>
        <v>14.2722</v>
      </c>
    </row>
    <row r="1678" spans="1:12">
      <c r="A1678" s="350" t="s">
        <v>258</v>
      </c>
      <c r="B1678" s="350">
        <v>3</v>
      </c>
      <c r="C1678" s="391">
        <v>2.1</v>
      </c>
      <c r="D1678" s="392">
        <f t="shared" si="309"/>
        <v>0.46200000000000002</v>
      </c>
      <c r="E1678" s="392"/>
      <c r="F1678" s="392">
        <f t="shared" si="310"/>
        <v>1.8900000000000001</v>
      </c>
      <c r="G1678" s="392"/>
      <c r="H1678" s="392"/>
      <c r="I1678" s="393"/>
      <c r="J1678" s="353"/>
    </row>
    <row r="1679" spans="1:12">
      <c r="A1679" s="350" t="s">
        <v>337</v>
      </c>
      <c r="B1679" s="350">
        <v>3</v>
      </c>
      <c r="C1679" s="391">
        <v>1.71</v>
      </c>
      <c r="D1679" s="392">
        <f t="shared" si="309"/>
        <v>0.37619999999999998</v>
      </c>
      <c r="E1679" s="392"/>
      <c r="F1679" s="392">
        <f t="shared" si="310"/>
        <v>1.5389999999999999</v>
      </c>
      <c r="G1679" s="392"/>
      <c r="H1679" s="392"/>
      <c r="I1679" s="393"/>
      <c r="J1679" s="353"/>
    </row>
    <row r="1680" spans="1:12">
      <c r="A1680" s="350" t="s">
        <v>385</v>
      </c>
      <c r="B1680" s="351">
        <v>1</v>
      </c>
      <c r="C1680" s="391">
        <v>0.54</v>
      </c>
      <c r="D1680" s="392">
        <f t="shared" si="309"/>
        <v>0.1188</v>
      </c>
      <c r="E1680" s="355"/>
      <c r="F1680" s="392">
        <f t="shared" si="310"/>
        <v>0.48600000000000004</v>
      </c>
      <c r="G1680" s="392">
        <f>C1680+D1680+E1680+F1680</f>
        <v>1.1448</v>
      </c>
      <c r="H1680" s="392">
        <f>G1680*0.35</f>
        <v>0.40067999999999998</v>
      </c>
      <c r="I1680" s="393">
        <f>G1680+H1680</f>
        <v>1.54548</v>
      </c>
      <c r="J1680" s="353"/>
    </row>
    <row r="1681" spans="1:10">
      <c r="A1681" s="350"/>
      <c r="B1681" s="351"/>
      <c r="C1681" s="391"/>
      <c r="D1681" s="392"/>
      <c r="E1681" s="355"/>
      <c r="F1681" s="392"/>
      <c r="G1681" s="392"/>
      <c r="H1681" s="392"/>
      <c r="I1681" s="393"/>
      <c r="J1681" s="353"/>
    </row>
    <row r="1682" spans="1:10">
      <c r="A1682" s="345" t="s">
        <v>1463</v>
      </c>
      <c r="B1682" s="346"/>
      <c r="C1682" s="412">
        <f>C1683+C1684</f>
        <v>3.81</v>
      </c>
      <c r="D1682" s="412">
        <f t="shared" si="307"/>
        <v>0.83820000000000006</v>
      </c>
      <c r="E1682" s="412">
        <v>27</v>
      </c>
      <c r="F1682" s="412">
        <f t="shared" si="308"/>
        <v>3.4290000000000003</v>
      </c>
      <c r="G1682" s="412">
        <f>C1682+D1682+E1682+F1682</f>
        <v>35.077199999999998</v>
      </c>
      <c r="H1682" s="412">
        <f>G1682*0.35</f>
        <v>12.277019999999998</v>
      </c>
      <c r="I1682" s="413">
        <f>G1682+H1682</f>
        <v>47.354219999999998</v>
      </c>
      <c r="J1682" s="349">
        <f>I1682+I1686+I1685</f>
        <v>48.899699999999996</v>
      </c>
    </row>
    <row r="1683" spans="1:10">
      <c r="A1683" s="350" t="s">
        <v>258</v>
      </c>
      <c r="B1683" s="350">
        <v>3</v>
      </c>
      <c r="C1683" s="391">
        <v>2.1</v>
      </c>
      <c r="D1683" s="392">
        <f t="shared" si="307"/>
        <v>0.46200000000000002</v>
      </c>
      <c r="E1683" s="392"/>
      <c r="F1683" s="392">
        <f t="shared" si="308"/>
        <v>1.8900000000000001</v>
      </c>
      <c r="G1683" s="392"/>
      <c r="H1683" s="392"/>
      <c r="I1683" s="393"/>
      <c r="J1683" s="353"/>
    </row>
    <row r="1684" spans="1:10">
      <c r="A1684" s="350" t="s">
        <v>337</v>
      </c>
      <c r="B1684" s="350">
        <v>3</v>
      </c>
      <c r="C1684" s="391">
        <v>1.71</v>
      </c>
      <c r="D1684" s="392">
        <f t="shared" si="307"/>
        <v>0.37619999999999998</v>
      </c>
      <c r="E1684" s="392"/>
      <c r="F1684" s="392">
        <f t="shared" si="308"/>
        <v>1.5389999999999999</v>
      </c>
      <c r="G1684" s="392"/>
      <c r="H1684" s="392"/>
      <c r="I1684" s="393"/>
      <c r="J1684" s="353"/>
    </row>
    <row r="1685" spans="1:10">
      <c r="A1685" s="350" t="s">
        <v>385</v>
      </c>
      <c r="B1685" s="351">
        <v>1</v>
      </c>
      <c r="C1685" s="391">
        <v>0.54</v>
      </c>
      <c r="D1685" s="392">
        <f t="shared" si="307"/>
        <v>0.1188</v>
      </c>
      <c r="E1685" s="355"/>
      <c r="F1685" s="392">
        <f t="shared" si="308"/>
        <v>0.48600000000000004</v>
      </c>
      <c r="G1685" s="392">
        <f>C1685+D1685+E1685+F1685</f>
        <v>1.1448</v>
      </c>
      <c r="H1685" s="392">
        <f>G1685*0.35</f>
        <v>0.40067999999999998</v>
      </c>
      <c r="I1685" s="393">
        <f>G1685+H1685</f>
        <v>1.54548</v>
      </c>
      <c r="J1685" s="353"/>
    </row>
    <row r="1686" spans="1:10">
      <c r="A1686" s="350"/>
      <c r="B1686" s="351"/>
      <c r="C1686" s="391"/>
      <c r="D1686" s="392"/>
      <c r="E1686" s="355"/>
      <c r="F1686" s="392"/>
      <c r="G1686" s="392"/>
      <c r="H1686" s="392"/>
      <c r="I1686" s="393"/>
      <c r="J1686" s="353"/>
    </row>
    <row r="1687" spans="1:10" ht="21">
      <c r="A1687" s="345" t="s">
        <v>1464</v>
      </c>
      <c r="B1687" s="346"/>
      <c r="C1687" s="412">
        <f>C1688+C1689</f>
        <v>3.81</v>
      </c>
      <c r="D1687" s="412">
        <f t="shared" si="307"/>
        <v>0.83820000000000006</v>
      </c>
      <c r="E1687" s="412">
        <v>27</v>
      </c>
      <c r="F1687" s="412">
        <f t="shared" si="308"/>
        <v>3.4290000000000003</v>
      </c>
      <c r="G1687" s="412">
        <f>C1687+D1687+E1687+F1687</f>
        <v>35.077199999999998</v>
      </c>
      <c r="H1687" s="412">
        <f>G1687*0.35</f>
        <v>12.277019999999998</v>
      </c>
      <c r="I1687" s="413">
        <f>G1687+H1687</f>
        <v>47.354219999999998</v>
      </c>
      <c r="J1687" s="349">
        <f>I1687+I1691+I1690</f>
        <v>48.899699999999996</v>
      </c>
    </row>
    <row r="1688" spans="1:10">
      <c r="A1688" s="350" t="s">
        <v>258</v>
      </c>
      <c r="B1688" s="350">
        <v>3</v>
      </c>
      <c r="C1688" s="391">
        <v>2.1</v>
      </c>
      <c r="D1688" s="392">
        <f t="shared" si="307"/>
        <v>0.46200000000000002</v>
      </c>
      <c r="E1688" s="392"/>
      <c r="F1688" s="392">
        <f t="shared" si="308"/>
        <v>1.8900000000000001</v>
      </c>
      <c r="G1688" s="392"/>
      <c r="H1688" s="392"/>
      <c r="I1688" s="393"/>
      <c r="J1688" s="353"/>
    </row>
    <row r="1689" spans="1:10">
      <c r="A1689" s="350" t="s">
        <v>337</v>
      </c>
      <c r="B1689" s="350">
        <v>3</v>
      </c>
      <c r="C1689" s="391">
        <v>1.71</v>
      </c>
      <c r="D1689" s="392">
        <f t="shared" si="307"/>
        <v>0.37619999999999998</v>
      </c>
      <c r="E1689" s="392"/>
      <c r="F1689" s="392">
        <f t="shared" si="308"/>
        <v>1.5389999999999999</v>
      </c>
      <c r="G1689" s="392"/>
      <c r="H1689" s="392"/>
      <c r="I1689" s="393"/>
      <c r="J1689" s="353"/>
    </row>
    <row r="1690" spans="1:10">
      <c r="A1690" s="350" t="s">
        <v>385</v>
      </c>
      <c r="B1690" s="351">
        <v>1</v>
      </c>
      <c r="C1690" s="391">
        <v>0.54</v>
      </c>
      <c r="D1690" s="392">
        <f t="shared" si="307"/>
        <v>0.1188</v>
      </c>
      <c r="E1690" s="355"/>
      <c r="F1690" s="392">
        <f t="shared" si="308"/>
        <v>0.48600000000000004</v>
      </c>
      <c r="G1690" s="392">
        <f>C1690+D1690+E1690+F1690</f>
        <v>1.1448</v>
      </c>
      <c r="H1690" s="392">
        <f>G1690*0.35</f>
        <v>0.40067999999999998</v>
      </c>
      <c r="I1690" s="393">
        <f>G1690+H1690</f>
        <v>1.54548</v>
      </c>
      <c r="J1690" s="353"/>
    </row>
    <row r="1691" spans="1:10">
      <c r="A1691" s="350"/>
      <c r="B1691" s="351"/>
      <c r="C1691" s="391"/>
      <c r="D1691" s="392"/>
      <c r="E1691" s="355"/>
      <c r="F1691" s="392"/>
      <c r="G1691" s="392"/>
      <c r="H1691" s="392"/>
      <c r="I1691" s="393"/>
      <c r="J1691" s="353"/>
    </row>
    <row r="1692" spans="1:10">
      <c r="A1692" s="345" t="s">
        <v>1465</v>
      </c>
      <c r="B1692" s="346"/>
      <c r="C1692" s="412">
        <f>C1693+C1694</f>
        <v>12.7</v>
      </c>
      <c r="D1692" s="412">
        <f t="shared" si="307"/>
        <v>2.794</v>
      </c>
      <c r="E1692" s="412">
        <v>1.35</v>
      </c>
      <c r="F1692" s="412">
        <f t="shared" si="308"/>
        <v>11.43</v>
      </c>
      <c r="G1692" s="412">
        <f>C1692+D1692+E1692+F1692</f>
        <v>28.274000000000001</v>
      </c>
      <c r="H1692" s="412">
        <f>G1692*0.35</f>
        <v>9.8958999999999993</v>
      </c>
      <c r="I1692" s="413">
        <f>G1692+H1692</f>
        <v>38.169899999999998</v>
      </c>
      <c r="J1692" s="349">
        <f>I1692+I1696+I1695</f>
        <v>45.897300000000001</v>
      </c>
    </row>
    <row r="1693" spans="1:10">
      <c r="A1693" s="350" t="s">
        <v>258</v>
      </c>
      <c r="B1693" s="350">
        <v>10</v>
      </c>
      <c r="C1693" s="391">
        <v>7</v>
      </c>
      <c r="D1693" s="392">
        <f t="shared" si="307"/>
        <v>1.54</v>
      </c>
      <c r="E1693" s="392"/>
      <c r="F1693" s="392">
        <f t="shared" si="308"/>
        <v>6.3</v>
      </c>
      <c r="G1693" s="392"/>
      <c r="H1693" s="392"/>
      <c r="I1693" s="393"/>
      <c r="J1693" s="353"/>
    </row>
    <row r="1694" spans="1:10">
      <c r="A1694" s="350" t="s">
        <v>337</v>
      </c>
      <c r="B1694" s="350">
        <v>10</v>
      </c>
      <c r="C1694" s="391">
        <v>5.7</v>
      </c>
      <c r="D1694" s="392">
        <f t="shared" si="307"/>
        <v>1.254</v>
      </c>
      <c r="E1694" s="392"/>
      <c r="F1694" s="392">
        <f t="shared" si="308"/>
        <v>5.13</v>
      </c>
      <c r="G1694" s="392"/>
      <c r="H1694" s="392"/>
      <c r="I1694" s="393"/>
      <c r="J1694" s="353"/>
    </row>
    <row r="1695" spans="1:10">
      <c r="A1695" s="350" t="s">
        <v>385</v>
      </c>
      <c r="B1695" s="351">
        <v>5</v>
      </c>
      <c r="C1695" s="391">
        <v>2.7</v>
      </c>
      <c r="D1695" s="392">
        <f t="shared" si="307"/>
        <v>0.59400000000000008</v>
      </c>
      <c r="E1695" s="355"/>
      <c r="F1695" s="392">
        <f t="shared" si="308"/>
        <v>2.4300000000000002</v>
      </c>
      <c r="G1695" s="392">
        <f>C1695+D1695+E1695+F1695</f>
        <v>5.7240000000000002</v>
      </c>
      <c r="H1695" s="392">
        <f>G1695*0.35</f>
        <v>2.0034000000000001</v>
      </c>
      <c r="I1695" s="393">
        <f>G1695+H1695</f>
        <v>7.7274000000000003</v>
      </c>
      <c r="J1695" s="353"/>
    </row>
    <row r="1696" spans="1:10">
      <c r="A1696" s="350"/>
      <c r="B1696" s="351"/>
      <c r="C1696" s="391"/>
      <c r="D1696" s="392"/>
      <c r="E1696" s="355"/>
      <c r="F1696" s="392"/>
      <c r="G1696" s="392"/>
      <c r="H1696" s="392"/>
      <c r="I1696" s="393"/>
      <c r="J1696" s="353"/>
    </row>
    <row r="1697" spans="1:10">
      <c r="A1697" s="345" t="s">
        <v>1466</v>
      </c>
      <c r="B1697" s="346"/>
      <c r="C1697" s="412">
        <f>C1698+C1699</f>
        <v>3.33</v>
      </c>
      <c r="D1697" s="412">
        <f t="shared" si="307"/>
        <v>0.73260000000000003</v>
      </c>
      <c r="E1697" s="412">
        <v>27</v>
      </c>
      <c r="F1697" s="412">
        <f t="shared" si="308"/>
        <v>2.9970000000000003</v>
      </c>
      <c r="G1697" s="412">
        <f>C1697+D1697+E1697+F1697</f>
        <v>34.059600000000003</v>
      </c>
      <c r="H1697" s="412">
        <f>G1697*0.35</f>
        <v>11.920860000000001</v>
      </c>
      <c r="I1697" s="413">
        <f>G1697+H1697</f>
        <v>45.980460000000008</v>
      </c>
      <c r="J1697" s="349">
        <f>I1697+I1701+I1700</f>
        <v>47.239740000000005</v>
      </c>
    </row>
    <row r="1698" spans="1:10">
      <c r="A1698" s="350" t="s">
        <v>258</v>
      </c>
      <c r="B1698" s="350">
        <v>3</v>
      </c>
      <c r="C1698" s="391">
        <v>1.98</v>
      </c>
      <c r="D1698" s="392">
        <f t="shared" si="307"/>
        <v>0.43559999999999999</v>
      </c>
      <c r="E1698" s="392"/>
      <c r="F1698" s="392">
        <f t="shared" si="308"/>
        <v>1.782</v>
      </c>
      <c r="G1698" s="392"/>
      <c r="H1698" s="392"/>
      <c r="I1698" s="393"/>
      <c r="J1698" s="355"/>
    </row>
    <row r="1699" spans="1:10">
      <c r="A1699" s="350" t="s">
        <v>337</v>
      </c>
      <c r="B1699" s="350">
        <v>3</v>
      </c>
      <c r="C1699" s="391">
        <v>1.35</v>
      </c>
      <c r="D1699" s="392">
        <f t="shared" si="307"/>
        <v>0.29700000000000004</v>
      </c>
      <c r="E1699" s="392"/>
      <c r="F1699" s="392">
        <f t="shared" si="308"/>
        <v>1.2150000000000001</v>
      </c>
      <c r="G1699" s="392"/>
      <c r="H1699" s="392"/>
      <c r="I1699" s="393"/>
      <c r="J1699" s="355"/>
    </row>
    <row r="1700" spans="1:10">
      <c r="A1700" s="350" t="s">
        <v>385</v>
      </c>
      <c r="B1700" s="351">
        <v>1</v>
      </c>
      <c r="C1700" s="391">
        <v>0.44</v>
      </c>
      <c r="D1700" s="392">
        <f t="shared" si="307"/>
        <v>9.6799999999999997E-2</v>
      </c>
      <c r="E1700" s="355"/>
      <c r="F1700" s="392">
        <f t="shared" si="308"/>
        <v>0.39600000000000002</v>
      </c>
      <c r="G1700" s="392">
        <f>C1700+D1700+E1700+F1700</f>
        <v>0.93279999999999996</v>
      </c>
      <c r="H1700" s="392">
        <f>G1700*0.35</f>
        <v>0.32647999999999999</v>
      </c>
      <c r="I1700" s="393">
        <f>G1700+H1700</f>
        <v>1.25928</v>
      </c>
      <c r="J1700" s="355"/>
    </row>
    <row r="1701" spans="1:10">
      <c r="A1701" s="350"/>
      <c r="B1701" s="351"/>
      <c r="C1701" s="391"/>
      <c r="D1701" s="392"/>
      <c r="E1701" s="355"/>
      <c r="F1701" s="392"/>
      <c r="G1701" s="392"/>
      <c r="H1701" s="392"/>
      <c r="I1701" s="393"/>
      <c r="J1701" s="355"/>
    </row>
    <row r="1702" spans="1:10">
      <c r="A1702" s="345" t="s">
        <v>1467</v>
      </c>
      <c r="B1702" s="346"/>
      <c r="C1702" s="412">
        <f>C1703+C1704</f>
        <v>19.05</v>
      </c>
      <c r="D1702" s="412">
        <f t="shared" si="307"/>
        <v>4.1909999999999998</v>
      </c>
      <c r="E1702" s="412">
        <v>27</v>
      </c>
      <c r="F1702" s="412">
        <f t="shared" si="308"/>
        <v>17.145</v>
      </c>
      <c r="G1702" s="412">
        <f>C1702+D1702+E1702+F1702</f>
        <v>67.385999999999996</v>
      </c>
      <c r="H1702" s="412">
        <f>G1702*0.35</f>
        <v>23.585099999999997</v>
      </c>
      <c r="I1702" s="413">
        <f>G1702+H1702</f>
        <v>90.971099999999993</v>
      </c>
      <c r="J1702" s="349">
        <f>I1702+I1706+I1705</f>
        <v>101.78945999999999</v>
      </c>
    </row>
    <row r="1703" spans="1:10">
      <c r="A1703" s="350" t="s">
        <v>258</v>
      </c>
      <c r="B1703" s="350">
        <v>15</v>
      </c>
      <c r="C1703" s="391">
        <v>10.5</v>
      </c>
      <c r="D1703" s="392">
        <f t="shared" si="307"/>
        <v>2.31</v>
      </c>
      <c r="E1703" s="392"/>
      <c r="F1703" s="392">
        <f t="shared" si="308"/>
        <v>9.4500000000000011</v>
      </c>
      <c r="G1703" s="392"/>
      <c r="H1703" s="392"/>
      <c r="I1703" s="393"/>
      <c r="J1703" s="353"/>
    </row>
    <row r="1704" spans="1:10">
      <c r="A1704" s="350" t="s">
        <v>337</v>
      </c>
      <c r="B1704" s="350">
        <v>15</v>
      </c>
      <c r="C1704" s="391">
        <v>8.5500000000000007</v>
      </c>
      <c r="D1704" s="392">
        <f t="shared" si="307"/>
        <v>1.8810000000000002</v>
      </c>
      <c r="E1704" s="392"/>
      <c r="F1704" s="392">
        <f t="shared" si="308"/>
        <v>7.6950000000000012</v>
      </c>
      <c r="G1704" s="392"/>
      <c r="H1704" s="392"/>
      <c r="I1704" s="393"/>
      <c r="J1704" s="353"/>
    </row>
    <row r="1705" spans="1:10">
      <c r="A1705" s="350" t="s">
        <v>385</v>
      </c>
      <c r="B1705" s="351">
        <v>7</v>
      </c>
      <c r="C1705" s="391">
        <v>3.78</v>
      </c>
      <c r="D1705" s="392">
        <f t="shared" si="307"/>
        <v>0.83160000000000001</v>
      </c>
      <c r="E1705" s="355"/>
      <c r="F1705" s="392">
        <f t="shared" si="308"/>
        <v>3.4019999999999997</v>
      </c>
      <c r="G1705" s="392">
        <f>C1705+D1705+E1705+F1705</f>
        <v>8.0136000000000003</v>
      </c>
      <c r="H1705" s="392">
        <f>G1705*0.35</f>
        <v>2.8047599999999999</v>
      </c>
      <c r="I1705" s="393">
        <f>G1705+H1705</f>
        <v>10.81836</v>
      </c>
      <c r="J1705" s="353"/>
    </row>
    <row r="1706" spans="1:10">
      <c r="A1706" s="350"/>
      <c r="B1706" s="351"/>
      <c r="C1706" s="391"/>
      <c r="D1706" s="392"/>
      <c r="E1706" s="355"/>
      <c r="F1706" s="392"/>
      <c r="G1706" s="392"/>
      <c r="H1706" s="392"/>
      <c r="I1706" s="393"/>
      <c r="J1706" s="353"/>
    </row>
    <row r="1707" spans="1:10">
      <c r="A1707" s="345" t="s">
        <v>991</v>
      </c>
      <c r="B1707" s="346"/>
      <c r="C1707" s="412">
        <f>C1708+C1709</f>
        <v>19.05</v>
      </c>
      <c r="D1707" s="412">
        <f t="shared" si="307"/>
        <v>4.1909999999999998</v>
      </c>
      <c r="E1707" s="412">
        <v>68.099999999999994</v>
      </c>
      <c r="F1707" s="412">
        <f t="shared" si="308"/>
        <v>17.145</v>
      </c>
      <c r="G1707" s="412">
        <f>C1707+D1707+E1707+F1707</f>
        <v>108.48599999999999</v>
      </c>
      <c r="H1707" s="412">
        <f>G1707*0.35</f>
        <v>37.970099999999995</v>
      </c>
      <c r="I1707" s="413">
        <f>G1707+H1707</f>
        <v>146.45609999999999</v>
      </c>
      <c r="J1707" s="349">
        <f>I1707+I1711+I1710</f>
        <v>157.27446</v>
      </c>
    </row>
    <row r="1708" spans="1:10">
      <c r="A1708" s="350" t="s">
        <v>258</v>
      </c>
      <c r="B1708" s="350">
        <v>15</v>
      </c>
      <c r="C1708" s="391">
        <v>10.5</v>
      </c>
      <c r="D1708" s="392">
        <f t="shared" si="307"/>
        <v>2.31</v>
      </c>
      <c r="E1708" s="392"/>
      <c r="F1708" s="392">
        <f t="shared" si="308"/>
        <v>9.4500000000000011</v>
      </c>
      <c r="G1708" s="392"/>
      <c r="H1708" s="392"/>
      <c r="I1708" s="393"/>
      <c r="J1708" s="353"/>
    </row>
    <row r="1709" spans="1:10">
      <c r="A1709" s="350" t="s">
        <v>337</v>
      </c>
      <c r="B1709" s="350">
        <v>15</v>
      </c>
      <c r="C1709" s="391">
        <v>8.5500000000000007</v>
      </c>
      <c r="D1709" s="392">
        <f t="shared" si="307"/>
        <v>1.8810000000000002</v>
      </c>
      <c r="E1709" s="392"/>
      <c r="F1709" s="392">
        <f t="shared" si="308"/>
        <v>7.6950000000000012</v>
      </c>
      <c r="G1709" s="392"/>
      <c r="H1709" s="392"/>
      <c r="I1709" s="393"/>
      <c r="J1709" s="353"/>
    </row>
    <row r="1710" spans="1:10">
      <c r="A1710" s="350" t="s">
        <v>385</v>
      </c>
      <c r="B1710" s="351">
        <v>7</v>
      </c>
      <c r="C1710" s="391">
        <v>3.78</v>
      </c>
      <c r="D1710" s="392">
        <f t="shared" si="307"/>
        <v>0.83160000000000001</v>
      </c>
      <c r="E1710" s="355"/>
      <c r="F1710" s="392">
        <f t="shared" si="308"/>
        <v>3.4019999999999997</v>
      </c>
      <c r="G1710" s="392">
        <f>C1710+D1710+E1710+F1710</f>
        <v>8.0136000000000003</v>
      </c>
      <c r="H1710" s="392">
        <f>G1710*0.35</f>
        <v>2.8047599999999999</v>
      </c>
      <c r="I1710" s="393">
        <f>G1710+H1710</f>
        <v>10.81836</v>
      </c>
      <c r="J1710" s="353"/>
    </row>
    <row r="1711" spans="1:10">
      <c r="A1711" s="350"/>
      <c r="B1711" s="351"/>
      <c r="C1711" s="391"/>
      <c r="D1711" s="392"/>
      <c r="E1711" s="355"/>
      <c r="F1711" s="392"/>
      <c r="G1711" s="392"/>
      <c r="H1711" s="392"/>
      <c r="I1711" s="393"/>
      <c r="J1711" s="353"/>
    </row>
    <row r="1712" spans="1:10" ht="21">
      <c r="A1712" s="447" t="s">
        <v>1468</v>
      </c>
      <c r="B1712" s="346"/>
      <c r="C1712" s="412">
        <f>C1713+C1714</f>
        <v>19.05</v>
      </c>
      <c r="D1712" s="412">
        <f t="shared" ref="D1712:D1720" si="311">C1712*0.22</f>
        <v>4.1909999999999998</v>
      </c>
      <c r="E1712" s="412">
        <v>68.5</v>
      </c>
      <c r="F1712" s="412">
        <f t="shared" ref="F1712:F1720" si="312">C1712*0.9</f>
        <v>17.145</v>
      </c>
      <c r="G1712" s="412">
        <f t="shared" ref="G1712" si="313">C1712+D1712+E1712+F1712</f>
        <v>108.886</v>
      </c>
      <c r="H1712" s="412">
        <f t="shared" ref="H1712" si="314">G1712*0.35</f>
        <v>38.110099999999996</v>
      </c>
      <c r="I1712" s="413">
        <f t="shared" ref="I1712" si="315">G1712+H1712</f>
        <v>146.99609999999998</v>
      </c>
      <c r="J1712" s="349">
        <f t="shared" ref="J1712" si="316">I1712+I1716+I1715</f>
        <v>157.81446</v>
      </c>
    </row>
    <row r="1713" spans="1:10">
      <c r="A1713" s="350" t="s">
        <v>258</v>
      </c>
      <c r="B1713" s="350">
        <v>15</v>
      </c>
      <c r="C1713" s="391">
        <v>10.5</v>
      </c>
      <c r="D1713" s="392">
        <f t="shared" si="311"/>
        <v>2.31</v>
      </c>
      <c r="E1713" s="392"/>
      <c r="F1713" s="392">
        <f t="shared" si="312"/>
        <v>9.4500000000000011</v>
      </c>
      <c r="G1713" s="392"/>
      <c r="H1713" s="392"/>
      <c r="I1713" s="393"/>
      <c r="J1713" s="353"/>
    </row>
    <row r="1714" spans="1:10">
      <c r="A1714" s="350" t="s">
        <v>337</v>
      </c>
      <c r="B1714" s="350">
        <v>15</v>
      </c>
      <c r="C1714" s="391">
        <v>8.5500000000000007</v>
      </c>
      <c r="D1714" s="392">
        <f t="shared" si="311"/>
        <v>1.8810000000000002</v>
      </c>
      <c r="E1714" s="392"/>
      <c r="F1714" s="392">
        <f t="shared" si="312"/>
        <v>7.6950000000000012</v>
      </c>
      <c r="G1714" s="392"/>
      <c r="H1714" s="392"/>
      <c r="I1714" s="393"/>
      <c r="J1714" s="353"/>
    </row>
    <row r="1715" spans="1:10">
      <c r="A1715" s="350" t="s">
        <v>385</v>
      </c>
      <c r="B1715" s="351">
        <v>7</v>
      </c>
      <c r="C1715" s="391">
        <v>3.78</v>
      </c>
      <c r="D1715" s="392">
        <f t="shared" si="311"/>
        <v>0.83160000000000001</v>
      </c>
      <c r="E1715" s="355"/>
      <c r="F1715" s="392">
        <f t="shared" si="312"/>
        <v>3.4019999999999997</v>
      </c>
      <c r="G1715" s="392">
        <f t="shared" ref="G1715:G1717" si="317">C1715+D1715+E1715+F1715</f>
        <v>8.0136000000000003</v>
      </c>
      <c r="H1715" s="392">
        <f t="shared" ref="H1715:H1717" si="318">G1715*0.35</f>
        <v>2.8047599999999999</v>
      </c>
      <c r="I1715" s="393">
        <f t="shared" ref="I1715:I1717" si="319">G1715+H1715</f>
        <v>10.81836</v>
      </c>
      <c r="J1715" s="353"/>
    </row>
    <row r="1716" spans="1:10">
      <c r="A1716" s="350"/>
      <c r="B1716" s="351"/>
      <c r="C1716" s="391"/>
      <c r="D1716" s="392"/>
      <c r="E1716" s="355"/>
      <c r="F1716" s="392"/>
      <c r="G1716" s="392"/>
      <c r="H1716" s="392"/>
      <c r="I1716" s="393"/>
      <c r="J1716" s="353"/>
    </row>
    <row r="1717" spans="1:10">
      <c r="A1717" s="345" t="s">
        <v>1469</v>
      </c>
      <c r="B1717" s="346"/>
      <c r="C1717" s="412">
        <f>C1718+C1719</f>
        <v>19.05</v>
      </c>
      <c r="D1717" s="412">
        <f t="shared" si="311"/>
        <v>4.1909999999999998</v>
      </c>
      <c r="E1717" s="412">
        <v>47.55</v>
      </c>
      <c r="F1717" s="412">
        <f t="shared" si="312"/>
        <v>17.145</v>
      </c>
      <c r="G1717" s="412">
        <f t="shared" si="317"/>
        <v>87.935999999999993</v>
      </c>
      <c r="H1717" s="412">
        <f t="shared" si="318"/>
        <v>30.777599999999996</v>
      </c>
      <c r="I1717" s="413">
        <f t="shared" si="319"/>
        <v>118.71359999999999</v>
      </c>
      <c r="J1717" s="349">
        <f t="shared" ref="J1717" si="320">I1717+I1721+I1720</f>
        <v>129.53196</v>
      </c>
    </row>
    <row r="1718" spans="1:10">
      <c r="A1718" s="350" t="s">
        <v>258</v>
      </c>
      <c r="B1718" s="350">
        <v>15</v>
      </c>
      <c r="C1718" s="391">
        <v>10.5</v>
      </c>
      <c r="D1718" s="392">
        <f t="shared" si="311"/>
        <v>2.31</v>
      </c>
      <c r="E1718" s="392"/>
      <c r="F1718" s="392">
        <f t="shared" si="312"/>
        <v>9.4500000000000011</v>
      </c>
      <c r="G1718" s="392"/>
      <c r="H1718" s="392"/>
      <c r="I1718" s="393"/>
      <c r="J1718" s="353"/>
    </row>
    <row r="1719" spans="1:10">
      <c r="A1719" s="350" t="s">
        <v>337</v>
      </c>
      <c r="B1719" s="350">
        <v>15</v>
      </c>
      <c r="C1719" s="391">
        <v>8.5500000000000007</v>
      </c>
      <c r="D1719" s="392">
        <f t="shared" si="311"/>
        <v>1.8810000000000002</v>
      </c>
      <c r="E1719" s="392"/>
      <c r="F1719" s="392">
        <f t="shared" si="312"/>
        <v>7.6950000000000012</v>
      </c>
      <c r="G1719" s="392"/>
      <c r="H1719" s="392"/>
      <c r="I1719" s="393"/>
      <c r="J1719" s="353"/>
    </row>
    <row r="1720" spans="1:10">
      <c r="A1720" s="350" t="s">
        <v>385</v>
      </c>
      <c r="B1720" s="351">
        <v>7</v>
      </c>
      <c r="C1720" s="391">
        <v>3.78</v>
      </c>
      <c r="D1720" s="392">
        <f t="shared" si="311"/>
        <v>0.83160000000000001</v>
      </c>
      <c r="E1720" s="355"/>
      <c r="F1720" s="392">
        <f t="shared" si="312"/>
        <v>3.4019999999999997</v>
      </c>
      <c r="G1720" s="392">
        <f t="shared" ref="G1720" si="321">C1720+D1720+E1720+F1720</f>
        <v>8.0136000000000003</v>
      </c>
      <c r="H1720" s="392">
        <f t="shared" ref="H1720" si="322">G1720*0.35</f>
        <v>2.8047599999999999</v>
      </c>
      <c r="I1720" s="393">
        <f t="shared" ref="I1720" si="323">G1720+H1720</f>
        <v>10.81836</v>
      </c>
      <c r="J1720" s="353"/>
    </row>
    <row r="1721" spans="1:10">
      <c r="A1721" s="350"/>
      <c r="B1721" s="351"/>
      <c r="C1721" s="391"/>
      <c r="D1721" s="392"/>
      <c r="E1721" s="355"/>
      <c r="F1721" s="392"/>
      <c r="G1721" s="392"/>
      <c r="H1721" s="392"/>
      <c r="I1721" s="393"/>
      <c r="J1721" s="353"/>
    </row>
    <row r="1722" spans="1:10" ht="21">
      <c r="A1722" s="345" t="s">
        <v>1470</v>
      </c>
      <c r="B1722" s="346"/>
      <c r="C1722" s="412">
        <f>C1723+C1724</f>
        <v>16.649999999999999</v>
      </c>
      <c r="D1722" s="412">
        <f t="shared" ref="D1722:D1730" si="324">C1722*0.22</f>
        <v>3.6629999999999998</v>
      </c>
      <c r="E1722" s="412">
        <v>120.5</v>
      </c>
      <c r="F1722" s="412">
        <f t="shared" ref="F1722:F1730" si="325">C1722*0.9</f>
        <v>14.984999999999999</v>
      </c>
      <c r="G1722" s="412">
        <f>C1722+D1722+E1722+F1722</f>
        <v>155.798</v>
      </c>
      <c r="H1722" s="412">
        <f>G1722*0.35</f>
        <v>54.529299999999999</v>
      </c>
      <c r="I1722" s="413">
        <f>G1722+H1722</f>
        <v>210.32730000000001</v>
      </c>
      <c r="J1722" s="349">
        <f t="shared" ref="J1722" si="326">I1722+I1726+I1725</f>
        <v>218.0547</v>
      </c>
    </row>
    <row r="1723" spans="1:10">
      <c r="A1723" s="350" t="s">
        <v>258</v>
      </c>
      <c r="B1723" s="350">
        <v>15</v>
      </c>
      <c r="C1723" s="391">
        <v>9.9</v>
      </c>
      <c r="D1723" s="392">
        <f t="shared" si="324"/>
        <v>2.1779999999999999</v>
      </c>
      <c r="E1723" s="392"/>
      <c r="F1723" s="392">
        <f t="shared" si="325"/>
        <v>8.91</v>
      </c>
      <c r="G1723" s="392"/>
      <c r="H1723" s="392"/>
      <c r="I1723" s="393"/>
      <c r="J1723" s="355"/>
    </row>
    <row r="1724" spans="1:10">
      <c r="A1724" s="350" t="s">
        <v>337</v>
      </c>
      <c r="B1724" s="350">
        <v>15</v>
      </c>
      <c r="C1724" s="391">
        <v>6.75</v>
      </c>
      <c r="D1724" s="392">
        <f t="shared" si="324"/>
        <v>1.4850000000000001</v>
      </c>
      <c r="E1724" s="392"/>
      <c r="F1724" s="392">
        <f t="shared" si="325"/>
        <v>6.0750000000000002</v>
      </c>
      <c r="G1724" s="392"/>
      <c r="H1724" s="392"/>
      <c r="I1724" s="393"/>
      <c r="J1724" s="355"/>
    </row>
    <row r="1725" spans="1:10">
      <c r="A1725" s="350" t="s">
        <v>385</v>
      </c>
      <c r="B1725" s="351">
        <v>5</v>
      </c>
      <c r="C1725" s="391">
        <v>2.7</v>
      </c>
      <c r="D1725" s="392">
        <f t="shared" si="324"/>
        <v>0.59400000000000008</v>
      </c>
      <c r="E1725" s="355"/>
      <c r="F1725" s="392">
        <f t="shared" si="325"/>
        <v>2.4300000000000002</v>
      </c>
      <c r="G1725" s="392">
        <f>C1725+D1725+E1725+F1725</f>
        <v>5.7240000000000002</v>
      </c>
      <c r="H1725" s="392">
        <f>G1725*0.35</f>
        <v>2.0034000000000001</v>
      </c>
      <c r="I1725" s="393">
        <f>G1725+H1725</f>
        <v>7.7274000000000003</v>
      </c>
      <c r="J1725" s="355"/>
    </row>
    <row r="1726" spans="1:10">
      <c r="A1726" s="350"/>
      <c r="B1726" s="351"/>
      <c r="C1726" s="391"/>
      <c r="D1726" s="392"/>
      <c r="E1726" s="355"/>
      <c r="F1726" s="392"/>
      <c r="G1726" s="392"/>
      <c r="H1726" s="392"/>
      <c r="I1726" s="393"/>
      <c r="J1726" s="355"/>
    </row>
    <row r="1727" spans="1:10" ht="21">
      <c r="A1727" s="345" t="s">
        <v>1471</v>
      </c>
      <c r="B1727" s="346"/>
      <c r="C1727" s="412">
        <f>C1728+C1729</f>
        <v>12.7</v>
      </c>
      <c r="D1727" s="412">
        <f t="shared" si="324"/>
        <v>2.794</v>
      </c>
      <c r="E1727" s="412">
        <v>43.25</v>
      </c>
      <c r="F1727" s="412">
        <f t="shared" si="325"/>
        <v>11.43</v>
      </c>
      <c r="G1727" s="412">
        <f>C1727+D1727+E1727+F1727</f>
        <v>70.174000000000007</v>
      </c>
      <c r="H1727" s="412">
        <f>G1727*0.35</f>
        <v>24.5609</v>
      </c>
      <c r="I1727" s="413">
        <f>G1727+H1727</f>
        <v>94.73490000000001</v>
      </c>
      <c r="J1727" s="349">
        <f>I1727+I1731+I1730</f>
        <v>102.46230000000001</v>
      </c>
    </row>
    <row r="1728" spans="1:10">
      <c r="A1728" s="350" t="s">
        <v>258</v>
      </c>
      <c r="B1728" s="350">
        <v>10</v>
      </c>
      <c r="C1728" s="391">
        <v>7</v>
      </c>
      <c r="D1728" s="392">
        <f t="shared" si="324"/>
        <v>1.54</v>
      </c>
      <c r="E1728" s="392"/>
      <c r="F1728" s="392">
        <f t="shared" si="325"/>
        <v>6.3</v>
      </c>
      <c r="G1728" s="392"/>
      <c r="H1728" s="392"/>
      <c r="I1728" s="393"/>
      <c r="J1728" s="353"/>
    </row>
    <row r="1729" spans="1:10">
      <c r="A1729" s="350" t="s">
        <v>337</v>
      </c>
      <c r="B1729" s="350">
        <v>10</v>
      </c>
      <c r="C1729" s="391">
        <v>5.7</v>
      </c>
      <c r="D1729" s="392">
        <f t="shared" si="324"/>
        <v>1.254</v>
      </c>
      <c r="E1729" s="392"/>
      <c r="F1729" s="392">
        <f t="shared" si="325"/>
        <v>5.13</v>
      </c>
      <c r="G1729" s="392"/>
      <c r="H1729" s="392"/>
      <c r="I1729" s="393"/>
      <c r="J1729" s="353"/>
    </row>
    <row r="1730" spans="1:10">
      <c r="A1730" s="350" t="s">
        <v>385</v>
      </c>
      <c r="B1730" s="351">
        <v>5</v>
      </c>
      <c r="C1730" s="391">
        <v>2.7</v>
      </c>
      <c r="D1730" s="392">
        <f t="shared" si="324"/>
        <v>0.59400000000000008</v>
      </c>
      <c r="E1730" s="355"/>
      <c r="F1730" s="392">
        <f t="shared" si="325"/>
        <v>2.4300000000000002</v>
      </c>
      <c r="G1730" s="392">
        <f>C1730+D1730+E1730+F1730</f>
        <v>5.7240000000000002</v>
      </c>
      <c r="H1730" s="392">
        <f>G1730*0.35</f>
        <v>2.0034000000000001</v>
      </c>
      <c r="I1730" s="393">
        <f>G1730+H1730</f>
        <v>7.7274000000000003</v>
      </c>
      <c r="J1730" s="353"/>
    </row>
    <row r="1731" spans="1:10">
      <c r="A1731" s="350"/>
      <c r="B1731" s="351"/>
      <c r="C1731" s="391"/>
      <c r="D1731" s="392"/>
      <c r="E1731" s="355"/>
      <c r="F1731" s="392"/>
      <c r="G1731" s="392"/>
      <c r="H1731" s="392"/>
      <c r="I1731" s="393"/>
      <c r="J1731" s="353"/>
    </row>
    <row r="1732" spans="1:10">
      <c r="A1732" s="345" t="s">
        <v>1472</v>
      </c>
      <c r="B1732" s="346"/>
      <c r="C1732" s="412">
        <f>C1733+C1734</f>
        <v>16.649999999999999</v>
      </c>
      <c r="D1732" s="412">
        <f t="shared" ref="D1732:D1735" si="327">C1732*0.22</f>
        <v>3.6629999999999998</v>
      </c>
      <c r="E1732" s="412">
        <v>27</v>
      </c>
      <c r="F1732" s="412">
        <f t="shared" ref="F1732:F1735" si="328">C1732*0.9</f>
        <v>14.984999999999999</v>
      </c>
      <c r="G1732" s="412">
        <f t="shared" ref="G1732" si="329">C1732+D1732+E1732+F1732</f>
        <v>62.298000000000002</v>
      </c>
      <c r="H1732" s="412">
        <f t="shared" ref="H1732" si="330">G1732*0.35</f>
        <v>21.804299999999998</v>
      </c>
      <c r="I1732" s="413">
        <f t="shared" ref="I1732" si="331">G1732+H1732</f>
        <v>84.1023</v>
      </c>
      <c r="J1732" s="349">
        <f t="shared" ref="J1732" si="332">I1732+I1736+I1735</f>
        <v>94.920659999999998</v>
      </c>
    </row>
    <row r="1733" spans="1:10">
      <c r="A1733" s="350" t="s">
        <v>258</v>
      </c>
      <c r="B1733" s="350">
        <v>15</v>
      </c>
      <c r="C1733" s="391">
        <v>9.9</v>
      </c>
      <c r="D1733" s="392">
        <f t="shared" si="327"/>
        <v>2.1779999999999999</v>
      </c>
      <c r="E1733" s="392"/>
      <c r="F1733" s="392">
        <f t="shared" si="328"/>
        <v>8.91</v>
      </c>
      <c r="G1733" s="392"/>
      <c r="H1733" s="392"/>
      <c r="I1733" s="393"/>
      <c r="J1733" s="353"/>
    </row>
    <row r="1734" spans="1:10">
      <c r="A1734" s="350" t="s">
        <v>337</v>
      </c>
      <c r="B1734" s="350">
        <v>15</v>
      </c>
      <c r="C1734" s="391">
        <v>6.75</v>
      </c>
      <c r="D1734" s="392">
        <f t="shared" si="327"/>
        <v>1.4850000000000001</v>
      </c>
      <c r="E1734" s="392"/>
      <c r="F1734" s="392">
        <f t="shared" si="328"/>
        <v>6.0750000000000002</v>
      </c>
      <c r="G1734" s="392"/>
      <c r="H1734" s="392"/>
      <c r="I1734" s="393"/>
      <c r="J1734" s="353"/>
    </row>
    <row r="1735" spans="1:10">
      <c r="A1735" s="350" t="s">
        <v>385</v>
      </c>
      <c r="B1735" s="351">
        <v>7</v>
      </c>
      <c r="C1735" s="391">
        <v>3.78</v>
      </c>
      <c r="D1735" s="392">
        <f t="shared" si="327"/>
        <v>0.83160000000000001</v>
      </c>
      <c r="E1735" s="355"/>
      <c r="F1735" s="392">
        <f t="shared" si="328"/>
        <v>3.4019999999999997</v>
      </c>
      <c r="G1735" s="392">
        <f t="shared" ref="G1735:G1737" si="333">C1735+D1735+E1735+F1735</f>
        <v>8.0136000000000003</v>
      </c>
      <c r="H1735" s="392">
        <f t="shared" ref="H1735:H1737" si="334">G1735*0.35</f>
        <v>2.8047599999999999</v>
      </c>
      <c r="I1735" s="393">
        <f t="shared" ref="I1735:I1737" si="335">G1735+H1735</f>
        <v>10.81836</v>
      </c>
      <c r="J1735" s="353"/>
    </row>
    <row r="1736" spans="1:10">
      <c r="A1736" s="350"/>
      <c r="B1736" s="351"/>
      <c r="C1736" s="391"/>
      <c r="D1736" s="392"/>
      <c r="E1736" s="355"/>
      <c r="F1736" s="392"/>
      <c r="G1736" s="392"/>
      <c r="H1736" s="392"/>
      <c r="I1736" s="393"/>
      <c r="J1736" s="353"/>
    </row>
    <row r="1737" spans="1:10">
      <c r="A1737" s="345" t="s">
        <v>1473</v>
      </c>
      <c r="B1737" s="346"/>
      <c r="C1737" s="412">
        <f>C1738+C1739</f>
        <v>25.4</v>
      </c>
      <c r="D1737" s="412">
        <f t="shared" ref="D1737:D1745" si="336">C1737*0.22</f>
        <v>5.5880000000000001</v>
      </c>
      <c r="E1737" s="412">
        <v>106.6</v>
      </c>
      <c r="F1737" s="412">
        <f t="shared" ref="F1737:F1745" si="337">C1737*0.9</f>
        <v>22.86</v>
      </c>
      <c r="G1737" s="412">
        <f t="shared" si="333"/>
        <v>160.44799999999998</v>
      </c>
      <c r="H1737" s="412">
        <f t="shared" si="334"/>
        <v>56.15679999999999</v>
      </c>
      <c r="I1737" s="413">
        <f t="shared" si="335"/>
        <v>216.60479999999995</v>
      </c>
      <c r="J1737" s="349">
        <f>I1737+I1740</f>
        <v>232.05959999999996</v>
      </c>
    </row>
    <row r="1738" spans="1:10">
      <c r="A1738" s="350" t="s">
        <v>258</v>
      </c>
      <c r="B1738" s="350">
        <v>20</v>
      </c>
      <c r="C1738" s="391">
        <v>14</v>
      </c>
      <c r="D1738" s="392">
        <f t="shared" si="336"/>
        <v>3.08</v>
      </c>
      <c r="E1738" s="392"/>
      <c r="F1738" s="392">
        <f t="shared" si="337"/>
        <v>12.6</v>
      </c>
      <c r="G1738" s="392"/>
      <c r="H1738" s="392"/>
      <c r="I1738" s="393"/>
      <c r="J1738" s="353"/>
    </row>
    <row r="1739" spans="1:10">
      <c r="A1739" s="350" t="s">
        <v>337</v>
      </c>
      <c r="B1739" s="350">
        <v>20</v>
      </c>
      <c r="C1739" s="391">
        <v>11.4</v>
      </c>
      <c r="D1739" s="392">
        <f t="shared" si="336"/>
        <v>2.508</v>
      </c>
      <c r="E1739" s="392"/>
      <c r="F1739" s="392">
        <f t="shared" si="337"/>
        <v>10.26</v>
      </c>
      <c r="G1739" s="392"/>
      <c r="H1739" s="392"/>
      <c r="I1739" s="393"/>
      <c r="J1739" s="353"/>
    </row>
    <row r="1740" spans="1:10">
      <c r="A1740" s="350" t="s">
        <v>385</v>
      </c>
      <c r="B1740" s="351">
        <v>10</v>
      </c>
      <c r="C1740" s="391">
        <v>5.4</v>
      </c>
      <c r="D1740" s="392">
        <f t="shared" si="336"/>
        <v>1.1880000000000002</v>
      </c>
      <c r="E1740" s="355"/>
      <c r="F1740" s="392">
        <f t="shared" si="337"/>
        <v>4.8600000000000003</v>
      </c>
      <c r="G1740" s="392">
        <f t="shared" ref="G1740:G1742" si="338">C1740+D1740+E1740+F1740</f>
        <v>11.448</v>
      </c>
      <c r="H1740" s="392">
        <f t="shared" ref="H1740:H1742" si="339">G1740*0.35</f>
        <v>4.0068000000000001</v>
      </c>
      <c r="I1740" s="393">
        <f t="shared" ref="I1740:I1742" si="340">G1740+H1740</f>
        <v>15.454800000000001</v>
      </c>
      <c r="J1740" s="353"/>
    </row>
    <row r="1741" spans="1:10">
      <c r="A1741" s="350"/>
      <c r="B1741" s="351"/>
      <c r="C1741" s="391"/>
      <c r="D1741" s="392"/>
      <c r="E1741" s="355"/>
      <c r="F1741" s="392"/>
      <c r="G1741" s="392"/>
      <c r="H1741" s="392"/>
      <c r="I1741" s="393"/>
      <c r="J1741" s="353"/>
    </row>
    <row r="1742" spans="1:10">
      <c r="A1742" s="345" t="s">
        <v>1474</v>
      </c>
      <c r="B1742" s="346"/>
      <c r="C1742" s="412">
        <f>C1743+C1744</f>
        <v>16.649999999999999</v>
      </c>
      <c r="D1742" s="412">
        <f t="shared" si="336"/>
        <v>3.6629999999999998</v>
      </c>
      <c r="E1742" s="412">
        <v>68.5</v>
      </c>
      <c r="F1742" s="412">
        <f t="shared" si="337"/>
        <v>14.984999999999999</v>
      </c>
      <c r="G1742" s="412">
        <f t="shared" si="338"/>
        <v>103.798</v>
      </c>
      <c r="H1742" s="412">
        <f t="shared" si="339"/>
        <v>36.329299999999996</v>
      </c>
      <c r="I1742" s="413">
        <f t="shared" si="340"/>
        <v>140.12729999999999</v>
      </c>
      <c r="J1742" s="349">
        <f>I1742+I1745</f>
        <v>150.94566</v>
      </c>
    </row>
    <row r="1743" spans="1:10">
      <c r="A1743" s="350" t="s">
        <v>258</v>
      </c>
      <c r="B1743" s="350">
        <v>15</v>
      </c>
      <c r="C1743" s="391">
        <v>9.9</v>
      </c>
      <c r="D1743" s="392">
        <f t="shared" si="336"/>
        <v>2.1779999999999999</v>
      </c>
      <c r="E1743" s="392"/>
      <c r="F1743" s="392">
        <f t="shared" si="337"/>
        <v>8.91</v>
      </c>
      <c r="G1743" s="392"/>
      <c r="H1743" s="392"/>
      <c r="I1743" s="393"/>
      <c r="J1743" s="353"/>
    </row>
    <row r="1744" spans="1:10">
      <c r="A1744" s="350" t="s">
        <v>337</v>
      </c>
      <c r="B1744" s="350">
        <v>15</v>
      </c>
      <c r="C1744" s="391">
        <v>6.75</v>
      </c>
      <c r="D1744" s="392">
        <f t="shared" si="336"/>
        <v>1.4850000000000001</v>
      </c>
      <c r="E1744" s="392"/>
      <c r="F1744" s="392">
        <f t="shared" si="337"/>
        <v>6.0750000000000002</v>
      </c>
      <c r="G1744" s="392"/>
      <c r="H1744" s="392"/>
      <c r="I1744" s="393"/>
      <c r="J1744" s="353"/>
    </row>
    <row r="1745" spans="1:10">
      <c r="A1745" s="350" t="s">
        <v>385</v>
      </c>
      <c r="B1745" s="351">
        <v>7</v>
      </c>
      <c r="C1745" s="391">
        <v>3.78</v>
      </c>
      <c r="D1745" s="392">
        <f t="shared" si="336"/>
        <v>0.83160000000000001</v>
      </c>
      <c r="E1745" s="355"/>
      <c r="F1745" s="392">
        <f t="shared" si="337"/>
        <v>3.4019999999999997</v>
      </c>
      <c r="G1745" s="392">
        <f t="shared" ref="G1745:G1747" si="341">C1745+D1745+E1745+F1745</f>
        <v>8.0136000000000003</v>
      </c>
      <c r="H1745" s="392">
        <f t="shared" ref="H1745:H1747" si="342">G1745*0.35</f>
        <v>2.8047599999999999</v>
      </c>
      <c r="I1745" s="393">
        <f t="shared" ref="I1745:I1747" si="343">G1745+H1745</f>
        <v>10.81836</v>
      </c>
      <c r="J1745" s="353"/>
    </row>
    <row r="1746" spans="1:10">
      <c r="A1746" s="350"/>
      <c r="B1746" s="351"/>
      <c r="C1746" s="391"/>
      <c r="D1746" s="392"/>
      <c r="E1746" s="355"/>
      <c r="F1746" s="392"/>
      <c r="G1746" s="392"/>
      <c r="H1746" s="392"/>
      <c r="I1746" s="393"/>
      <c r="J1746" s="353"/>
    </row>
    <row r="1747" spans="1:10">
      <c r="A1747" s="345" t="s">
        <v>1475</v>
      </c>
      <c r="B1747" s="346"/>
      <c r="C1747" s="412">
        <f>C1748+C1749</f>
        <v>38.1</v>
      </c>
      <c r="D1747" s="412">
        <f t="shared" ref="D1747:D1750" si="344">C1747*0.22</f>
        <v>8.3819999999999997</v>
      </c>
      <c r="E1747" s="412">
        <v>27</v>
      </c>
      <c r="F1747" s="412">
        <f t="shared" ref="F1747:F1750" si="345">C1747*0.9</f>
        <v>34.29</v>
      </c>
      <c r="G1747" s="412">
        <f t="shared" si="341"/>
        <v>107.77199999999999</v>
      </c>
      <c r="H1747" s="412">
        <f t="shared" si="342"/>
        <v>37.720199999999991</v>
      </c>
      <c r="I1747" s="413">
        <f t="shared" si="343"/>
        <v>145.49219999999997</v>
      </c>
      <c r="J1747" s="349">
        <f>(I1747+I1750)*9</f>
        <v>1518.0695999999996</v>
      </c>
    </row>
    <row r="1748" spans="1:10">
      <c r="A1748" s="350" t="s">
        <v>258</v>
      </c>
      <c r="B1748" s="350">
        <v>30</v>
      </c>
      <c r="C1748" s="391">
        <v>21</v>
      </c>
      <c r="D1748" s="392">
        <f t="shared" si="344"/>
        <v>4.62</v>
      </c>
      <c r="E1748" s="392"/>
      <c r="F1748" s="392">
        <f t="shared" si="345"/>
        <v>18.900000000000002</v>
      </c>
      <c r="G1748" s="392"/>
      <c r="H1748" s="392"/>
      <c r="I1748" s="393"/>
      <c r="J1748" s="353"/>
    </row>
    <row r="1749" spans="1:10">
      <c r="A1749" s="350" t="s">
        <v>337</v>
      </c>
      <c r="B1749" s="350">
        <v>30</v>
      </c>
      <c r="C1749" s="391">
        <v>17.100000000000001</v>
      </c>
      <c r="D1749" s="392">
        <f t="shared" si="344"/>
        <v>3.7620000000000005</v>
      </c>
      <c r="E1749" s="392"/>
      <c r="F1749" s="392">
        <f t="shared" si="345"/>
        <v>15.390000000000002</v>
      </c>
      <c r="G1749" s="392"/>
      <c r="H1749" s="392"/>
      <c r="I1749" s="393"/>
      <c r="J1749" s="353"/>
    </row>
    <row r="1750" spans="1:10">
      <c r="A1750" s="350" t="s">
        <v>385</v>
      </c>
      <c r="B1750" s="351">
        <v>15</v>
      </c>
      <c r="C1750" s="391">
        <v>8.1</v>
      </c>
      <c r="D1750" s="392">
        <f t="shared" si="344"/>
        <v>1.782</v>
      </c>
      <c r="E1750" s="355"/>
      <c r="F1750" s="392">
        <f t="shared" si="345"/>
        <v>7.29</v>
      </c>
      <c r="G1750" s="392">
        <f t="shared" ref="G1750:G1752" si="346">C1750+D1750+E1750+F1750</f>
        <v>17.172000000000001</v>
      </c>
      <c r="H1750" s="392">
        <f t="shared" ref="H1750:H1752" si="347">G1750*0.35</f>
        <v>6.0102000000000002</v>
      </c>
      <c r="I1750" s="393">
        <f t="shared" ref="I1750:I1752" si="348">G1750+H1750</f>
        <v>23.182200000000002</v>
      </c>
      <c r="J1750" s="353"/>
    </row>
    <row r="1751" spans="1:10">
      <c r="A1751" s="350"/>
      <c r="B1751" s="351"/>
      <c r="C1751" s="391"/>
      <c r="D1751" s="392"/>
      <c r="E1751" s="355"/>
      <c r="F1751" s="392"/>
      <c r="G1751" s="392"/>
      <c r="H1751" s="392"/>
      <c r="I1751" s="393"/>
      <c r="J1751" s="353"/>
    </row>
    <row r="1752" spans="1:10">
      <c r="A1752" s="345" t="s">
        <v>1476</v>
      </c>
      <c r="B1752" s="346"/>
      <c r="C1752" s="412">
        <f>C1753+C1754</f>
        <v>38.1</v>
      </c>
      <c r="D1752" s="412">
        <f t="shared" ref="D1752:D1755" si="349">C1752*0.22</f>
        <v>8.3819999999999997</v>
      </c>
      <c r="E1752" s="412">
        <v>27</v>
      </c>
      <c r="F1752" s="412">
        <f t="shared" ref="F1752:F1755" si="350">C1752*0.9</f>
        <v>34.29</v>
      </c>
      <c r="G1752" s="412">
        <f t="shared" si="346"/>
        <v>107.77199999999999</v>
      </c>
      <c r="H1752" s="412">
        <f t="shared" si="347"/>
        <v>37.720199999999991</v>
      </c>
      <c r="I1752" s="413">
        <f t="shared" si="348"/>
        <v>145.49219999999997</v>
      </c>
      <c r="J1752" s="349">
        <f>(I1752+I1755)*6</f>
        <v>1012.0463999999997</v>
      </c>
    </row>
    <row r="1753" spans="1:10">
      <c r="A1753" s="350" t="s">
        <v>258</v>
      </c>
      <c r="B1753" s="350">
        <v>30</v>
      </c>
      <c r="C1753" s="391">
        <v>21</v>
      </c>
      <c r="D1753" s="392">
        <f t="shared" si="349"/>
        <v>4.62</v>
      </c>
      <c r="E1753" s="392"/>
      <c r="F1753" s="392">
        <f t="shared" si="350"/>
        <v>18.900000000000002</v>
      </c>
      <c r="G1753" s="392"/>
      <c r="H1753" s="392"/>
      <c r="I1753" s="393"/>
      <c r="J1753" s="355"/>
    </row>
    <row r="1754" spans="1:10">
      <c r="A1754" s="350" t="s">
        <v>337</v>
      </c>
      <c r="B1754" s="350">
        <v>30</v>
      </c>
      <c r="C1754" s="391">
        <v>17.100000000000001</v>
      </c>
      <c r="D1754" s="392">
        <f t="shared" si="349"/>
        <v>3.7620000000000005</v>
      </c>
      <c r="E1754" s="392"/>
      <c r="F1754" s="392">
        <f t="shared" si="350"/>
        <v>15.390000000000002</v>
      </c>
      <c r="G1754" s="392"/>
      <c r="H1754" s="392"/>
      <c r="I1754" s="393"/>
      <c r="J1754" s="355"/>
    </row>
    <row r="1755" spans="1:10">
      <c r="A1755" s="350" t="s">
        <v>385</v>
      </c>
      <c r="B1755" s="351">
        <v>15</v>
      </c>
      <c r="C1755" s="391">
        <v>8.1</v>
      </c>
      <c r="D1755" s="392">
        <f t="shared" si="349"/>
        <v>1.782</v>
      </c>
      <c r="E1755" s="355"/>
      <c r="F1755" s="392">
        <f t="shared" si="350"/>
        <v>7.29</v>
      </c>
      <c r="G1755" s="392">
        <f t="shared" ref="G1755:G1757" si="351">C1755+D1755+E1755+F1755</f>
        <v>17.172000000000001</v>
      </c>
      <c r="H1755" s="392">
        <f t="shared" ref="H1755:H1757" si="352">G1755*0.35</f>
        <v>6.0102000000000002</v>
      </c>
      <c r="I1755" s="393">
        <f t="shared" ref="I1755:I1757" si="353">G1755+H1755</f>
        <v>23.182200000000002</v>
      </c>
      <c r="J1755" s="355"/>
    </row>
    <row r="1756" spans="1:10">
      <c r="A1756" s="350"/>
      <c r="B1756" s="351"/>
      <c r="C1756" s="391"/>
      <c r="D1756" s="392"/>
      <c r="E1756" s="355"/>
      <c r="F1756" s="392"/>
      <c r="G1756" s="392"/>
      <c r="H1756" s="392"/>
      <c r="I1756" s="393"/>
      <c r="J1756" s="355"/>
    </row>
    <row r="1757" spans="1:10">
      <c r="A1757" s="345" t="s">
        <v>1477</v>
      </c>
      <c r="B1757" s="346"/>
      <c r="C1757" s="412">
        <f>C1758+C1759</f>
        <v>57.15</v>
      </c>
      <c r="D1757" s="412">
        <f t="shared" ref="D1757:D1760" si="354">C1757*0.22</f>
        <v>12.573</v>
      </c>
      <c r="E1757" s="412">
        <v>27</v>
      </c>
      <c r="F1757" s="412">
        <f t="shared" ref="F1757:F1760" si="355">C1757*0.9</f>
        <v>51.435000000000002</v>
      </c>
      <c r="G1757" s="412">
        <f t="shared" si="351"/>
        <v>148.15800000000002</v>
      </c>
      <c r="H1757" s="412">
        <f t="shared" si="352"/>
        <v>51.8553</v>
      </c>
      <c r="I1757" s="413">
        <f t="shared" si="353"/>
        <v>200.01330000000002</v>
      </c>
      <c r="J1757" s="349">
        <f>(I1757+I1762+I1760)*3</f>
        <v>702.04158000000007</v>
      </c>
    </row>
    <row r="1758" spans="1:10">
      <c r="A1758" s="350" t="s">
        <v>258</v>
      </c>
      <c r="B1758" s="350">
        <v>45</v>
      </c>
      <c r="C1758" s="391">
        <v>31.5</v>
      </c>
      <c r="D1758" s="392">
        <f t="shared" si="354"/>
        <v>6.93</v>
      </c>
      <c r="E1758" s="392"/>
      <c r="F1758" s="392">
        <f t="shared" si="355"/>
        <v>28.35</v>
      </c>
      <c r="G1758" s="392"/>
      <c r="H1758" s="392"/>
      <c r="I1758" s="393"/>
      <c r="J1758" s="355"/>
    </row>
    <row r="1759" spans="1:10">
      <c r="A1759" s="350" t="s">
        <v>337</v>
      </c>
      <c r="B1759" s="350">
        <v>45</v>
      </c>
      <c r="C1759" s="391">
        <v>25.65</v>
      </c>
      <c r="D1759" s="392">
        <f t="shared" si="354"/>
        <v>5.6429999999999998</v>
      </c>
      <c r="E1759" s="392"/>
      <c r="F1759" s="392">
        <f t="shared" si="355"/>
        <v>23.085000000000001</v>
      </c>
      <c r="G1759" s="392"/>
      <c r="H1759" s="392"/>
      <c r="I1759" s="393"/>
      <c r="J1759" s="355"/>
    </row>
    <row r="1760" spans="1:10">
      <c r="A1760" s="350" t="s">
        <v>385</v>
      </c>
      <c r="B1760" s="351">
        <v>22</v>
      </c>
      <c r="C1760" s="391">
        <v>11.88</v>
      </c>
      <c r="D1760" s="392">
        <f t="shared" si="354"/>
        <v>2.6136000000000004</v>
      </c>
      <c r="E1760" s="355"/>
      <c r="F1760" s="392">
        <f t="shared" si="355"/>
        <v>10.692</v>
      </c>
      <c r="G1760" s="392">
        <f t="shared" ref="G1760" si="356">C1760+D1760+E1760+F1760</f>
        <v>25.185600000000001</v>
      </c>
      <c r="H1760" s="392">
        <f t="shared" ref="H1760" si="357">G1760*0.35</f>
        <v>8.8149599999999992</v>
      </c>
      <c r="I1760" s="393">
        <f t="shared" ref="I1760" si="358">G1760+H1760</f>
        <v>34.00056</v>
      </c>
      <c r="J1760" s="355"/>
    </row>
    <row r="1761" spans="1:10">
      <c r="A1761" s="350"/>
      <c r="B1761" s="351"/>
      <c r="C1761" s="391"/>
      <c r="D1761" s="392"/>
      <c r="E1761" s="355"/>
      <c r="F1761" s="392"/>
      <c r="G1761" s="392"/>
      <c r="H1761" s="392"/>
      <c r="I1761" s="393"/>
      <c r="J1761" s="355"/>
    </row>
    <row r="1762" spans="1:10" ht="12.75">
      <c r="A1762" s="368" t="s">
        <v>1478</v>
      </c>
      <c r="B1762" s="369"/>
      <c r="C1762" s="369"/>
      <c r="D1762" s="369"/>
      <c r="E1762" s="369"/>
      <c r="F1762" s="369"/>
      <c r="G1762" s="369"/>
      <c r="H1762" s="369"/>
      <c r="I1762" s="369"/>
      <c r="J1762" s="370"/>
    </row>
    <row r="1763" spans="1:10">
      <c r="A1763" s="345" t="s">
        <v>998</v>
      </c>
      <c r="B1763" s="346"/>
      <c r="C1763" s="412">
        <f>C1764+C1765</f>
        <v>55.6</v>
      </c>
      <c r="D1763" s="412">
        <f t="shared" ref="D1763:D1791" si="359">C1763*0.22</f>
        <v>12.232000000000001</v>
      </c>
      <c r="E1763" s="412">
        <v>0.18</v>
      </c>
      <c r="F1763" s="412">
        <f>C1763*0.9</f>
        <v>50.04</v>
      </c>
      <c r="G1763" s="412">
        <f>C1763+D1763+E1763+F1763</f>
        <v>118.05200000000002</v>
      </c>
      <c r="H1763" s="412">
        <f>G1763*0.35</f>
        <v>41.318200000000004</v>
      </c>
      <c r="I1763" s="413">
        <f>G1763+H1763</f>
        <v>159.37020000000001</v>
      </c>
      <c r="J1763" s="349">
        <f>I1763+I1766+I1767</f>
        <v>190.27980000000002</v>
      </c>
    </row>
    <row r="1764" spans="1:10">
      <c r="A1764" s="350" t="s">
        <v>258</v>
      </c>
      <c r="B1764" s="350">
        <v>40</v>
      </c>
      <c r="C1764" s="391">
        <v>31.6</v>
      </c>
      <c r="D1764" s="392">
        <f t="shared" si="359"/>
        <v>6.952</v>
      </c>
      <c r="E1764" s="392"/>
      <c r="F1764" s="392"/>
      <c r="G1764" s="392"/>
      <c r="H1764" s="392"/>
      <c r="I1764" s="393"/>
      <c r="J1764" s="353"/>
    </row>
    <row r="1765" spans="1:10">
      <c r="A1765" s="350" t="s">
        <v>337</v>
      </c>
      <c r="B1765" s="350">
        <v>40</v>
      </c>
      <c r="C1765" s="391">
        <v>24</v>
      </c>
      <c r="D1765" s="392">
        <f t="shared" si="359"/>
        <v>5.28</v>
      </c>
      <c r="E1765" s="392"/>
      <c r="F1765" s="392"/>
      <c r="G1765" s="392"/>
      <c r="H1765" s="392"/>
      <c r="I1765" s="393"/>
      <c r="J1765" s="353"/>
    </row>
    <row r="1766" spans="1:10">
      <c r="A1766" s="350" t="s">
        <v>385</v>
      </c>
      <c r="B1766" s="351">
        <v>20</v>
      </c>
      <c r="C1766" s="391">
        <v>10.8</v>
      </c>
      <c r="D1766" s="392">
        <f t="shared" si="359"/>
        <v>2.3760000000000003</v>
      </c>
      <c r="E1766" s="355"/>
      <c r="F1766" s="392">
        <f>C1766*0.9</f>
        <v>9.7200000000000006</v>
      </c>
      <c r="G1766" s="392">
        <f>C1766+D1766+E1766+F1766</f>
        <v>22.896000000000001</v>
      </c>
      <c r="H1766" s="392">
        <f>G1766*0.35</f>
        <v>8.0136000000000003</v>
      </c>
      <c r="I1766" s="393">
        <f>G1766+H1766</f>
        <v>30.909600000000001</v>
      </c>
      <c r="J1766" s="353"/>
    </row>
    <row r="1767" spans="1:10">
      <c r="A1767" s="350"/>
      <c r="B1767" s="351"/>
      <c r="C1767" s="391"/>
      <c r="D1767" s="392"/>
      <c r="E1767" s="355"/>
      <c r="F1767" s="392"/>
      <c r="G1767" s="392"/>
      <c r="H1767" s="392"/>
      <c r="I1767" s="393"/>
      <c r="J1767" s="353"/>
    </row>
    <row r="1768" spans="1:10">
      <c r="A1768" s="345" t="s">
        <v>1479</v>
      </c>
      <c r="B1768" s="346"/>
      <c r="C1768" s="412">
        <f>C1769+C1770</f>
        <v>27.8</v>
      </c>
      <c r="D1768" s="412">
        <f t="shared" si="359"/>
        <v>6.1160000000000005</v>
      </c>
      <c r="E1768" s="412">
        <v>0.18</v>
      </c>
      <c r="F1768" s="412">
        <f>C1768*0.9</f>
        <v>25.02</v>
      </c>
      <c r="G1768" s="412">
        <f>C1768+D1768+E1768+F1768</f>
        <v>59.116</v>
      </c>
      <c r="H1768" s="412">
        <f>G1768*0.35</f>
        <v>20.6906</v>
      </c>
      <c r="I1768" s="413">
        <f>G1768+H1768</f>
        <v>79.806600000000003</v>
      </c>
      <c r="J1768" s="349">
        <f>I1768+I1771+I1772</f>
        <v>95.261400000000009</v>
      </c>
    </row>
    <row r="1769" spans="1:10">
      <c r="A1769" s="350" t="s">
        <v>258</v>
      </c>
      <c r="B1769" s="350">
        <v>20</v>
      </c>
      <c r="C1769" s="391">
        <v>15.8</v>
      </c>
      <c r="D1769" s="392">
        <f t="shared" si="359"/>
        <v>3.476</v>
      </c>
      <c r="E1769" s="392"/>
      <c r="F1769" s="392"/>
      <c r="G1769" s="392"/>
      <c r="H1769" s="392"/>
      <c r="I1769" s="393"/>
      <c r="J1769" s="353"/>
    </row>
    <row r="1770" spans="1:10">
      <c r="A1770" s="350" t="s">
        <v>337</v>
      </c>
      <c r="B1770" s="350">
        <v>20</v>
      </c>
      <c r="C1770" s="391">
        <v>12</v>
      </c>
      <c r="D1770" s="392">
        <f t="shared" si="359"/>
        <v>2.64</v>
      </c>
      <c r="E1770" s="392"/>
      <c r="F1770" s="392"/>
      <c r="G1770" s="392"/>
      <c r="H1770" s="392"/>
      <c r="I1770" s="393"/>
      <c r="J1770" s="353"/>
    </row>
    <row r="1771" spans="1:10">
      <c r="A1771" s="350" t="s">
        <v>385</v>
      </c>
      <c r="B1771" s="351">
        <v>10</v>
      </c>
      <c r="C1771" s="391">
        <v>5.4</v>
      </c>
      <c r="D1771" s="392">
        <f t="shared" si="359"/>
        <v>1.1880000000000002</v>
      </c>
      <c r="E1771" s="355"/>
      <c r="F1771" s="392">
        <f>C1771*0.9</f>
        <v>4.8600000000000003</v>
      </c>
      <c r="G1771" s="392">
        <f>C1771+D1771+E1771+F1771</f>
        <v>11.448</v>
      </c>
      <c r="H1771" s="392">
        <f>G1771*0.35</f>
        <v>4.0068000000000001</v>
      </c>
      <c r="I1771" s="393">
        <f>G1771+H1771</f>
        <v>15.454800000000001</v>
      </c>
      <c r="J1771" s="353"/>
    </row>
    <row r="1772" spans="1:10">
      <c r="A1772" s="350"/>
      <c r="B1772" s="351"/>
      <c r="C1772" s="391"/>
      <c r="D1772" s="392"/>
      <c r="E1772" s="355"/>
      <c r="F1772" s="392"/>
      <c r="G1772" s="392"/>
      <c r="H1772" s="392"/>
      <c r="I1772" s="393"/>
      <c r="J1772" s="353"/>
    </row>
    <row r="1773" spans="1:10">
      <c r="A1773" s="345" t="s">
        <v>1002</v>
      </c>
      <c r="B1773" s="346"/>
      <c r="C1773" s="412">
        <f>C1774+C1775</f>
        <v>20.85</v>
      </c>
      <c r="D1773" s="412">
        <f t="shared" si="359"/>
        <v>4.5870000000000006</v>
      </c>
      <c r="E1773" s="412">
        <v>0.18</v>
      </c>
      <c r="F1773" s="412">
        <f>C1773*0.9</f>
        <v>18.765000000000001</v>
      </c>
      <c r="G1773" s="412">
        <f>C1773+D1773+E1773+F1773</f>
        <v>44.382000000000005</v>
      </c>
      <c r="H1773" s="412">
        <f>G1773*0.35</f>
        <v>15.533700000000001</v>
      </c>
      <c r="I1773" s="413">
        <f>G1773+H1773</f>
        <v>59.915700000000008</v>
      </c>
      <c r="J1773" s="349">
        <f>I1773+I1776+I1777</f>
        <v>70.734060000000014</v>
      </c>
    </row>
    <row r="1774" spans="1:10">
      <c r="A1774" s="350" t="s">
        <v>258</v>
      </c>
      <c r="B1774" s="350">
        <v>15</v>
      </c>
      <c r="C1774" s="391">
        <v>11.85</v>
      </c>
      <c r="D1774" s="392">
        <f t="shared" si="359"/>
        <v>2.6069999999999998</v>
      </c>
      <c r="E1774" s="392"/>
      <c r="F1774" s="392"/>
      <c r="G1774" s="392"/>
      <c r="H1774" s="392"/>
      <c r="I1774" s="393"/>
      <c r="J1774" s="353"/>
    </row>
    <row r="1775" spans="1:10">
      <c r="A1775" s="350" t="s">
        <v>337</v>
      </c>
      <c r="B1775" s="350">
        <v>15</v>
      </c>
      <c r="C1775" s="391">
        <v>9</v>
      </c>
      <c r="D1775" s="392">
        <f t="shared" si="359"/>
        <v>1.98</v>
      </c>
      <c r="E1775" s="392"/>
      <c r="F1775" s="392"/>
      <c r="G1775" s="392"/>
      <c r="H1775" s="392"/>
      <c r="I1775" s="393"/>
      <c r="J1775" s="353"/>
    </row>
    <row r="1776" spans="1:10">
      <c r="A1776" s="350" t="s">
        <v>385</v>
      </c>
      <c r="B1776" s="351">
        <v>7</v>
      </c>
      <c r="C1776" s="391">
        <v>3.78</v>
      </c>
      <c r="D1776" s="392">
        <f t="shared" si="359"/>
        <v>0.83160000000000001</v>
      </c>
      <c r="E1776" s="355"/>
      <c r="F1776" s="392">
        <f>C1776*0.9</f>
        <v>3.4019999999999997</v>
      </c>
      <c r="G1776" s="392">
        <f>C1776+D1776+E1776+F1776</f>
        <v>8.0136000000000003</v>
      </c>
      <c r="H1776" s="392">
        <f>G1776*0.35</f>
        <v>2.8047599999999999</v>
      </c>
      <c r="I1776" s="393">
        <f>G1776+H1776</f>
        <v>10.81836</v>
      </c>
      <c r="J1776" s="353"/>
    </row>
    <row r="1777" spans="1:10">
      <c r="A1777" s="350"/>
      <c r="B1777" s="351"/>
      <c r="C1777" s="391"/>
      <c r="D1777" s="392"/>
      <c r="E1777" s="355"/>
      <c r="F1777" s="392"/>
      <c r="G1777" s="392"/>
      <c r="H1777" s="392"/>
      <c r="I1777" s="393"/>
      <c r="J1777" s="353"/>
    </row>
    <row r="1778" spans="1:10" ht="21">
      <c r="A1778" s="345" t="s">
        <v>1480</v>
      </c>
      <c r="B1778" s="346"/>
      <c r="C1778" s="412">
        <f>C1779+C1780</f>
        <v>13.9</v>
      </c>
      <c r="D1778" s="412">
        <f t="shared" si="359"/>
        <v>3.0580000000000003</v>
      </c>
      <c r="E1778" s="412">
        <v>0.18</v>
      </c>
      <c r="F1778" s="412">
        <f>C1778*0.9</f>
        <v>12.51</v>
      </c>
      <c r="G1778" s="412">
        <f>C1778+D1778+E1778+F1778</f>
        <v>29.648000000000003</v>
      </c>
      <c r="H1778" s="412">
        <f>G1778*0.35</f>
        <v>10.376800000000001</v>
      </c>
      <c r="I1778" s="413">
        <f>G1778+H1778</f>
        <v>40.024800000000006</v>
      </c>
      <c r="J1778" s="349">
        <f>I1778+I1781+I1782</f>
        <v>47.752200000000009</v>
      </c>
    </row>
    <row r="1779" spans="1:10">
      <c r="A1779" s="350" t="s">
        <v>258</v>
      </c>
      <c r="B1779" s="350">
        <v>10</v>
      </c>
      <c r="C1779" s="391">
        <v>7.9</v>
      </c>
      <c r="D1779" s="392">
        <f t="shared" si="359"/>
        <v>1.738</v>
      </c>
      <c r="E1779" s="392"/>
      <c r="F1779" s="392"/>
      <c r="G1779" s="392"/>
      <c r="H1779" s="392"/>
      <c r="I1779" s="393"/>
      <c r="J1779" s="353"/>
    </row>
    <row r="1780" spans="1:10">
      <c r="A1780" s="350" t="s">
        <v>337</v>
      </c>
      <c r="B1780" s="350">
        <v>10</v>
      </c>
      <c r="C1780" s="391">
        <v>6</v>
      </c>
      <c r="D1780" s="392">
        <f t="shared" si="359"/>
        <v>1.32</v>
      </c>
      <c r="E1780" s="392"/>
      <c r="F1780" s="392"/>
      <c r="G1780" s="392"/>
      <c r="H1780" s="392"/>
      <c r="I1780" s="393"/>
      <c r="J1780" s="353"/>
    </row>
    <row r="1781" spans="1:10">
      <c r="A1781" s="350" t="s">
        <v>385</v>
      </c>
      <c r="B1781" s="351">
        <v>5</v>
      </c>
      <c r="C1781" s="391">
        <v>2.7</v>
      </c>
      <c r="D1781" s="392">
        <f t="shared" si="359"/>
        <v>0.59400000000000008</v>
      </c>
      <c r="E1781" s="355"/>
      <c r="F1781" s="392">
        <f>C1781*0.9</f>
        <v>2.4300000000000002</v>
      </c>
      <c r="G1781" s="392">
        <f>C1781+D1781+E1781+F1781</f>
        <v>5.7240000000000002</v>
      </c>
      <c r="H1781" s="392">
        <f>G1781*0.35</f>
        <v>2.0034000000000001</v>
      </c>
      <c r="I1781" s="393">
        <f>G1781+H1781</f>
        <v>7.7274000000000003</v>
      </c>
      <c r="J1781" s="353"/>
    </row>
    <row r="1782" spans="1:10">
      <c r="A1782" s="350"/>
      <c r="B1782" s="351"/>
      <c r="C1782" s="391"/>
      <c r="D1782" s="392"/>
      <c r="E1782" s="355"/>
      <c r="F1782" s="392"/>
      <c r="G1782" s="392"/>
      <c r="H1782" s="392"/>
      <c r="I1782" s="393"/>
      <c r="J1782" s="353"/>
    </row>
    <row r="1783" spans="1:10">
      <c r="A1783" s="345" t="s">
        <v>1481</v>
      </c>
      <c r="B1783" s="346"/>
      <c r="C1783" s="412">
        <f>C1784+C1785</f>
        <v>25.200000000000003</v>
      </c>
      <c r="D1783" s="412">
        <f t="shared" si="359"/>
        <v>5.5440000000000005</v>
      </c>
      <c r="E1783" s="412">
        <v>0.18</v>
      </c>
      <c r="F1783" s="412">
        <f>C1783*0.9</f>
        <v>22.680000000000003</v>
      </c>
      <c r="G1783" s="412">
        <f>C1783+D1783+E1783+F1783</f>
        <v>53.604000000000006</v>
      </c>
      <c r="H1783" s="412">
        <f>G1783*0.35</f>
        <v>18.761400000000002</v>
      </c>
      <c r="I1783" s="413">
        <f>G1783+H1783</f>
        <v>72.365400000000008</v>
      </c>
      <c r="J1783" s="349">
        <f>I1783+I1786+I1787</f>
        <v>87.820200000000014</v>
      </c>
    </row>
    <row r="1784" spans="1:10">
      <c r="A1784" s="350" t="s">
        <v>258</v>
      </c>
      <c r="B1784" s="350">
        <v>20</v>
      </c>
      <c r="C1784" s="391">
        <v>15.8</v>
      </c>
      <c r="D1784" s="392">
        <f t="shared" si="359"/>
        <v>3.476</v>
      </c>
      <c r="E1784" s="392"/>
      <c r="F1784" s="392"/>
      <c r="G1784" s="392"/>
      <c r="H1784" s="392"/>
      <c r="I1784" s="393"/>
      <c r="J1784" s="355"/>
    </row>
    <row r="1785" spans="1:10">
      <c r="A1785" s="350" t="s">
        <v>337</v>
      </c>
      <c r="B1785" s="350">
        <v>20</v>
      </c>
      <c r="C1785" s="391">
        <v>9.4</v>
      </c>
      <c r="D1785" s="392">
        <f t="shared" si="359"/>
        <v>2.0680000000000001</v>
      </c>
      <c r="E1785" s="392"/>
      <c r="F1785" s="392"/>
      <c r="G1785" s="392"/>
      <c r="H1785" s="392"/>
      <c r="I1785" s="393"/>
      <c r="J1785" s="355"/>
    </row>
    <row r="1786" spans="1:10">
      <c r="A1786" s="350" t="s">
        <v>385</v>
      </c>
      <c r="B1786" s="351">
        <v>10</v>
      </c>
      <c r="C1786" s="391">
        <v>5.4</v>
      </c>
      <c r="D1786" s="392">
        <f t="shared" si="359"/>
        <v>1.1880000000000002</v>
      </c>
      <c r="E1786" s="355"/>
      <c r="F1786" s="392">
        <f>C1786*0.9</f>
        <v>4.8600000000000003</v>
      </c>
      <c r="G1786" s="392">
        <f>C1786+D1786+E1786+F1786</f>
        <v>11.448</v>
      </c>
      <c r="H1786" s="392">
        <f>G1786*0.35</f>
        <v>4.0068000000000001</v>
      </c>
      <c r="I1786" s="393">
        <f>G1786+H1786</f>
        <v>15.454800000000001</v>
      </c>
      <c r="J1786" s="355"/>
    </row>
    <row r="1787" spans="1:10">
      <c r="A1787" s="350"/>
      <c r="B1787" s="351"/>
      <c r="C1787" s="391"/>
      <c r="D1787" s="392"/>
      <c r="E1787" s="355"/>
      <c r="F1787" s="392"/>
      <c r="G1787" s="392"/>
      <c r="H1787" s="392"/>
      <c r="I1787" s="393"/>
      <c r="J1787" s="355"/>
    </row>
    <row r="1788" spans="1:10">
      <c r="A1788" s="345" t="s">
        <v>1482</v>
      </c>
      <c r="B1788" s="346"/>
      <c r="C1788" s="412">
        <f>C1789+C1790</f>
        <v>27.8</v>
      </c>
      <c r="D1788" s="412">
        <f t="shared" si="359"/>
        <v>6.1160000000000005</v>
      </c>
      <c r="E1788" s="412">
        <v>0.18</v>
      </c>
      <c r="F1788" s="412">
        <f>C1788*0.9</f>
        <v>25.02</v>
      </c>
      <c r="G1788" s="412">
        <f>C1788+D1788+E1788+F1788</f>
        <v>59.116</v>
      </c>
      <c r="H1788" s="412">
        <f>G1788*0.35</f>
        <v>20.6906</v>
      </c>
      <c r="I1788" s="413">
        <f>G1788+H1788</f>
        <v>79.806600000000003</v>
      </c>
      <c r="J1788" s="349">
        <f>I1788+I1791+I1792</f>
        <v>95.261400000000009</v>
      </c>
    </row>
    <row r="1789" spans="1:10" s="406" customFormat="1">
      <c r="A1789" s="350" t="s">
        <v>258</v>
      </c>
      <c r="B1789" s="350">
        <v>20</v>
      </c>
      <c r="C1789" s="391">
        <v>15.8</v>
      </c>
      <c r="D1789" s="392">
        <f t="shared" si="359"/>
        <v>3.476</v>
      </c>
      <c r="E1789" s="392"/>
      <c r="F1789" s="392"/>
      <c r="G1789" s="392"/>
      <c r="H1789" s="392"/>
      <c r="I1789" s="393"/>
      <c r="J1789" s="353"/>
    </row>
    <row r="1790" spans="1:10" s="406" customFormat="1">
      <c r="A1790" s="350" t="s">
        <v>337</v>
      </c>
      <c r="B1790" s="350">
        <v>20</v>
      </c>
      <c r="C1790" s="391">
        <v>12</v>
      </c>
      <c r="D1790" s="392">
        <f t="shared" si="359"/>
        <v>2.64</v>
      </c>
      <c r="E1790" s="392"/>
      <c r="F1790" s="392"/>
      <c r="G1790" s="392"/>
      <c r="H1790" s="392"/>
      <c r="I1790" s="393"/>
      <c r="J1790" s="353"/>
    </row>
    <row r="1791" spans="1:10" s="406" customFormat="1">
      <c r="A1791" s="350" t="s">
        <v>385</v>
      </c>
      <c r="B1791" s="351">
        <v>10</v>
      </c>
      <c r="C1791" s="391">
        <v>5.4</v>
      </c>
      <c r="D1791" s="392">
        <f t="shared" si="359"/>
        <v>1.1880000000000002</v>
      </c>
      <c r="E1791" s="355"/>
      <c r="F1791" s="392">
        <f>C1791*0.9</f>
        <v>4.8600000000000003</v>
      </c>
      <c r="G1791" s="392">
        <f>C1791+D1791+E1791+F1791</f>
        <v>11.448</v>
      </c>
      <c r="H1791" s="392">
        <f>G1791*0.35</f>
        <v>4.0068000000000001</v>
      </c>
      <c r="I1791" s="393">
        <f>G1791+H1791</f>
        <v>15.454800000000001</v>
      </c>
      <c r="J1791" s="353"/>
    </row>
    <row r="1792" spans="1:10" s="406" customFormat="1">
      <c r="A1792" s="350"/>
      <c r="B1792" s="351"/>
      <c r="C1792" s="391"/>
      <c r="D1792" s="392"/>
      <c r="E1792" s="355"/>
      <c r="F1792" s="392"/>
      <c r="G1792" s="392"/>
      <c r="H1792" s="392"/>
      <c r="I1792" s="393"/>
      <c r="J1792" s="353"/>
    </row>
    <row r="1793" spans="1:10" s="406" customFormat="1">
      <c r="A1793" s="345" t="s">
        <v>1483</v>
      </c>
      <c r="B1793" s="346"/>
      <c r="C1793" s="412">
        <f>C1794+C1795</f>
        <v>27.8</v>
      </c>
      <c r="D1793" s="412">
        <f t="shared" ref="D1793:D1806" si="360">C1793*0.22</f>
        <v>6.1160000000000005</v>
      </c>
      <c r="E1793" s="412">
        <v>0.18</v>
      </c>
      <c r="F1793" s="412">
        <f>C1793*0.9</f>
        <v>25.02</v>
      </c>
      <c r="G1793" s="412">
        <f>C1793+D1793+E1793+F1793</f>
        <v>59.116</v>
      </c>
      <c r="H1793" s="412">
        <f>G1793*0.35</f>
        <v>20.6906</v>
      </c>
      <c r="I1793" s="413">
        <f>G1793+H1793</f>
        <v>79.806600000000003</v>
      </c>
      <c r="J1793" s="349">
        <f>I1793+I1796+I1797</f>
        <v>95.261400000000009</v>
      </c>
    </row>
    <row r="1794" spans="1:10" s="406" customFormat="1">
      <c r="A1794" s="350" t="s">
        <v>258</v>
      </c>
      <c r="B1794" s="350">
        <v>20</v>
      </c>
      <c r="C1794" s="391">
        <v>15.8</v>
      </c>
      <c r="D1794" s="392">
        <f t="shared" si="360"/>
        <v>3.476</v>
      </c>
      <c r="E1794" s="392"/>
      <c r="F1794" s="392"/>
      <c r="G1794" s="392"/>
      <c r="H1794" s="392"/>
      <c r="I1794" s="393"/>
      <c r="J1794" s="353"/>
    </row>
    <row r="1795" spans="1:10" s="406" customFormat="1">
      <c r="A1795" s="350" t="s">
        <v>337</v>
      </c>
      <c r="B1795" s="350">
        <v>20</v>
      </c>
      <c r="C1795" s="391">
        <v>12</v>
      </c>
      <c r="D1795" s="392">
        <f t="shared" si="360"/>
        <v>2.64</v>
      </c>
      <c r="E1795" s="392"/>
      <c r="F1795" s="392"/>
      <c r="G1795" s="392"/>
      <c r="H1795" s="392"/>
      <c r="I1795" s="393"/>
      <c r="J1795" s="353"/>
    </row>
    <row r="1796" spans="1:10" s="406" customFormat="1">
      <c r="A1796" s="350" t="s">
        <v>385</v>
      </c>
      <c r="B1796" s="351">
        <v>10</v>
      </c>
      <c r="C1796" s="391">
        <v>5.4</v>
      </c>
      <c r="D1796" s="392">
        <f t="shared" si="360"/>
        <v>1.1880000000000002</v>
      </c>
      <c r="E1796" s="355"/>
      <c r="F1796" s="392">
        <f>C1796*0.9</f>
        <v>4.8600000000000003</v>
      </c>
      <c r="G1796" s="392">
        <f>C1796+D1796+E1796+F1796</f>
        <v>11.448</v>
      </c>
      <c r="H1796" s="392">
        <f>G1796*0.35</f>
        <v>4.0068000000000001</v>
      </c>
      <c r="I1796" s="393">
        <f>G1796+H1796</f>
        <v>15.454800000000001</v>
      </c>
      <c r="J1796" s="353"/>
    </row>
    <row r="1797" spans="1:10" s="406" customFormat="1">
      <c r="A1797" s="350"/>
      <c r="B1797" s="351"/>
      <c r="C1797" s="391"/>
      <c r="D1797" s="392"/>
      <c r="E1797" s="355"/>
      <c r="F1797" s="392"/>
      <c r="G1797" s="392"/>
      <c r="H1797" s="392"/>
      <c r="I1797" s="393"/>
      <c r="J1797" s="353"/>
    </row>
    <row r="1798" spans="1:10" s="406" customFormat="1" ht="21">
      <c r="A1798" s="345" t="s">
        <v>1484</v>
      </c>
      <c r="B1798" s="346"/>
      <c r="C1798" s="412">
        <f>C1799+C1800</f>
        <v>34.75</v>
      </c>
      <c r="D1798" s="412">
        <f t="shared" si="360"/>
        <v>7.6450000000000005</v>
      </c>
      <c r="E1798" s="412">
        <v>0.18</v>
      </c>
      <c r="F1798" s="412">
        <f>C1798*0.9</f>
        <v>31.275000000000002</v>
      </c>
      <c r="G1798" s="412">
        <f>C1798+D1798+E1798+F1798</f>
        <v>73.850000000000009</v>
      </c>
      <c r="H1798" s="412">
        <f>G1798*0.35</f>
        <v>25.8475</v>
      </c>
      <c r="I1798" s="413">
        <f>G1798+H1798</f>
        <v>99.697500000000005</v>
      </c>
      <c r="J1798" s="349">
        <f>I1798+I1801+I1802</f>
        <v>118.24326000000001</v>
      </c>
    </row>
    <row r="1799" spans="1:10" s="406" customFormat="1">
      <c r="A1799" s="350" t="s">
        <v>258</v>
      </c>
      <c r="B1799" s="350">
        <v>25</v>
      </c>
      <c r="C1799" s="391">
        <v>19.75</v>
      </c>
      <c r="D1799" s="392">
        <f t="shared" si="360"/>
        <v>4.3449999999999998</v>
      </c>
      <c r="E1799" s="392"/>
      <c r="F1799" s="392"/>
      <c r="G1799" s="392"/>
      <c r="H1799" s="392"/>
      <c r="I1799" s="393"/>
      <c r="J1799" s="353"/>
    </row>
    <row r="1800" spans="1:10" s="406" customFormat="1">
      <c r="A1800" s="350" t="s">
        <v>337</v>
      </c>
      <c r="B1800" s="350">
        <v>25</v>
      </c>
      <c r="C1800" s="391">
        <v>15</v>
      </c>
      <c r="D1800" s="392">
        <f t="shared" si="360"/>
        <v>3.3</v>
      </c>
      <c r="E1800" s="392"/>
      <c r="F1800" s="392"/>
      <c r="G1800" s="392"/>
      <c r="H1800" s="392"/>
      <c r="I1800" s="393"/>
      <c r="J1800" s="353"/>
    </row>
    <row r="1801" spans="1:10" s="406" customFormat="1">
      <c r="A1801" s="350" t="s">
        <v>385</v>
      </c>
      <c r="B1801" s="351">
        <v>12</v>
      </c>
      <c r="C1801" s="391">
        <v>6.48</v>
      </c>
      <c r="D1801" s="392">
        <f t="shared" si="360"/>
        <v>1.4256000000000002</v>
      </c>
      <c r="E1801" s="355"/>
      <c r="F1801" s="392">
        <f>C1801*0.9</f>
        <v>5.8320000000000007</v>
      </c>
      <c r="G1801" s="392">
        <f>C1801+D1801+E1801+F1801</f>
        <v>13.7376</v>
      </c>
      <c r="H1801" s="392">
        <f>G1801*0.35</f>
        <v>4.80816</v>
      </c>
      <c r="I1801" s="393">
        <f>G1801+H1801</f>
        <v>18.545760000000001</v>
      </c>
      <c r="J1801" s="353"/>
    </row>
    <row r="1802" spans="1:10" s="406" customFormat="1">
      <c r="A1802" s="350"/>
      <c r="B1802" s="351"/>
      <c r="C1802" s="391"/>
      <c r="D1802" s="392"/>
      <c r="E1802" s="355"/>
      <c r="F1802" s="392"/>
      <c r="G1802" s="392"/>
      <c r="H1802" s="392"/>
      <c r="I1802" s="393"/>
      <c r="J1802" s="353"/>
    </row>
    <row r="1803" spans="1:10" s="406" customFormat="1" ht="21">
      <c r="A1803" s="345" t="s">
        <v>1485</v>
      </c>
      <c r="B1803" s="346"/>
      <c r="C1803" s="412">
        <f>C1804+C1805</f>
        <v>41.7</v>
      </c>
      <c r="D1803" s="412">
        <f t="shared" si="360"/>
        <v>9.1740000000000013</v>
      </c>
      <c r="E1803" s="412">
        <v>0.18</v>
      </c>
      <c r="F1803" s="412">
        <f>C1803*0.9</f>
        <v>37.53</v>
      </c>
      <c r="G1803" s="412">
        <f>C1803+D1803+E1803+F1803</f>
        <v>88.584000000000003</v>
      </c>
      <c r="H1803" s="412">
        <f>G1803*0.35</f>
        <v>31.0044</v>
      </c>
      <c r="I1803" s="413">
        <f>G1803+H1803</f>
        <v>119.58840000000001</v>
      </c>
      <c r="J1803" s="349">
        <f>I1803+I1806+I1807</f>
        <v>142.7706</v>
      </c>
    </row>
    <row r="1804" spans="1:10" s="406" customFormat="1">
      <c r="A1804" s="350" t="s">
        <v>258</v>
      </c>
      <c r="B1804" s="350">
        <v>30</v>
      </c>
      <c r="C1804" s="391">
        <v>23.7</v>
      </c>
      <c r="D1804" s="392">
        <f t="shared" si="360"/>
        <v>5.2139999999999995</v>
      </c>
      <c r="E1804" s="392"/>
      <c r="F1804" s="392"/>
      <c r="G1804" s="392"/>
      <c r="H1804" s="392"/>
      <c r="I1804" s="393"/>
      <c r="J1804" s="355"/>
    </row>
    <row r="1805" spans="1:10" s="406" customFormat="1">
      <c r="A1805" s="350" t="s">
        <v>337</v>
      </c>
      <c r="B1805" s="350">
        <v>30</v>
      </c>
      <c r="C1805" s="391">
        <v>18</v>
      </c>
      <c r="D1805" s="392">
        <f t="shared" si="360"/>
        <v>3.96</v>
      </c>
      <c r="E1805" s="392"/>
      <c r="F1805" s="392"/>
      <c r="G1805" s="392"/>
      <c r="H1805" s="392"/>
      <c r="I1805" s="393"/>
      <c r="J1805" s="355"/>
    </row>
    <row r="1806" spans="1:10" s="406" customFormat="1">
      <c r="A1806" s="350" t="s">
        <v>385</v>
      </c>
      <c r="B1806" s="351">
        <v>15</v>
      </c>
      <c r="C1806" s="391">
        <v>8.1</v>
      </c>
      <c r="D1806" s="392">
        <f t="shared" si="360"/>
        <v>1.782</v>
      </c>
      <c r="E1806" s="355"/>
      <c r="F1806" s="392">
        <f>C1806*0.9</f>
        <v>7.29</v>
      </c>
      <c r="G1806" s="392">
        <f>C1806+D1806+E1806+F1806</f>
        <v>17.172000000000001</v>
      </c>
      <c r="H1806" s="392">
        <f>G1806*0.35</f>
        <v>6.0102000000000002</v>
      </c>
      <c r="I1806" s="393">
        <f>G1806+H1806</f>
        <v>23.182200000000002</v>
      </c>
      <c r="J1806" s="355"/>
    </row>
    <row r="1807" spans="1:10" s="406" customFormat="1">
      <c r="A1807" s="350"/>
      <c r="B1807" s="351"/>
      <c r="C1807" s="391"/>
      <c r="D1807" s="392"/>
      <c r="E1807" s="355"/>
      <c r="F1807" s="392"/>
      <c r="G1807" s="392"/>
      <c r="H1807" s="392"/>
      <c r="I1807" s="393"/>
      <c r="J1807" s="355"/>
    </row>
    <row r="1808" spans="1:10" s="406" customFormat="1">
      <c r="A1808" s="358" t="s">
        <v>1486</v>
      </c>
      <c r="B1808" s="448"/>
      <c r="C1808" s="412">
        <f>C1809+C1810</f>
        <v>20.85</v>
      </c>
      <c r="D1808" s="448">
        <v>1.82</v>
      </c>
      <c r="E1808" s="448">
        <v>0.18</v>
      </c>
      <c r="F1808" s="412">
        <f>C1808*0.9</f>
        <v>18.765000000000001</v>
      </c>
      <c r="G1808" s="412">
        <f>C1808+D1808+E1808+F1808</f>
        <v>41.615000000000002</v>
      </c>
      <c r="H1808" s="412">
        <f>G1808*0.35</f>
        <v>14.565249999999999</v>
      </c>
      <c r="I1808" s="449">
        <f>G1808+H1808</f>
        <v>56.180250000000001</v>
      </c>
      <c r="J1808" s="349">
        <f>I1808+I1812+I1811</f>
        <v>66.998609999999999</v>
      </c>
    </row>
    <row r="1809" spans="1:10" s="406" customFormat="1">
      <c r="A1809" s="389" t="s">
        <v>258</v>
      </c>
      <c r="B1809" s="450">
        <v>15</v>
      </c>
      <c r="C1809" s="450">
        <v>11.85</v>
      </c>
      <c r="D1809" s="450"/>
      <c r="E1809" s="450"/>
      <c r="F1809" s="424"/>
      <c r="G1809" s="424"/>
      <c r="H1809" s="424"/>
      <c r="I1809" s="451"/>
      <c r="J1809" s="380"/>
    </row>
    <row r="1810" spans="1:10" s="406" customFormat="1">
      <c r="A1810" s="350" t="s">
        <v>337</v>
      </c>
      <c r="B1810" s="452">
        <v>15</v>
      </c>
      <c r="C1810" s="452">
        <v>9</v>
      </c>
      <c r="D1810" s="452"/>
      <c r="E1810" s="452"/>
      <c r="F1810" s="392"/>
      <c r="G1810" s="392"/>
      <c r="H1810" s="392"/>
      <c r="I1810" s="453"/>
      <c r="J1810" s="353"/>
    </row>
    <row r="1811" spans="1:10" s="406" customFormat="1">
      <c r="A1811" s="350" t="s">
        <v>385</v>
      </c>
      <c r="B1811" s="351">
        <v>7</v>
      </c>
      <c r="C1811" s="391">
        <v>3.78</v>
      </c>
      <c r="D1811" s="392">
        <f>C1811*0.22</f>
        <v>0.83160000000000001</v>
      </c>
      <c r="E1811" s="355"/>
      <c r="F1811" s="392">
        <f>C1811*0.9</f>
        <v>3.4019999999999997</v>
      </c>
      <c r="G1811" s="392">
        <f>C1811+D1811+E1811+F1811</f>
        <v>8.0136000000000003</v>
      </c>
      <c r="H1811" s="392">
        <f>G1811*0.35</f>
        <v>2.8047599999999999</v>
      </c>
      <c r="I1811" s="393">
        <f>G1811+H1811</f>
        <v>10.81836</v>
      </c>
      <c r="J1811" s="353"/>
    </row>
    <row r="1812" spans="1:10" s="406" customFormat="1">
      <c r="A1812" s="350"/>
      <c r="B1812" s="351"/>
      <c r="C1812" s="391"/>
      <c r="D1812" s="392"/>
      <c r="E1812" s="355"/>
      <c r="F1812" s="392"/>
      <c r="G1812" s="392"/>
      <c r="H1812" s="392"/>
      <c r="I1812" s="393"/>
      <c r="J1812" s="353"/>
    </row>
    <row r="1813" spans="1:10" s="406" customFormat="1">
      <c r="A1813" s="358" t="s">
        <v>1487</v>
      </c>
      <c r="B1813" s="448"/>
      <c r="C1813" s="412">
        <f>C1814+C1815</f>
        <v>41.7</v>
      </c>
      <c r="D1813" s="454">
        <f>C1813*0.22</f>
        <v>9.1740000000000013</v>
      </c>
      <c r="E1813" s="454">
        <v>0.18</v>
      </c>
      <c r="F1813" s="412">
        <f>C1813*0.9</f>
        <v>37.53</v>
      </c>
      <c r="G1813" s="412">
        <f>C1813+D1813+E1813+F1813</f>
        <v>88.584000000000003</v>
      </c>
      <c r="H1813" s="412">
        <f>G1813*0.35</f>
        <v>31.0044</v>
      </c>
      <c r="I1813" s="449">
        <f>G1813+H1813</f>
        <v>119.58840000000001</v>
      </c>
      <c r="J1813" s="349">
        <f>I1813+I1817+I1816</f>
        <v>142.7706</v>
      </c>
    </row>
    <row r="1814" spans="1:10" s="406" customFormat="1">
      <c r="A1814" s="355" t="s">
        <v>258</v>
      </c>
      <c r="B1814" s="452">
        <v>30</v>
      </c>
      <c r="C1814" s="450">
        <v>23.7</v>
      </c>
      <c r="D1814" s="455"/>
      <c r="E1814" s="455"/>
      <c r="F1814" s="392"/>
      <c r="G1814" s="392"/>
      <c r="H1814" s="392"/>
      <c r="I1814" s="456"/>
      <c r="J1814" s="380"/>
    </row>
    <row r="1815" spans="1:10" s="406" customFormat="1">
      <c r="A1815" s="350" t="s">
        <v>337</v>
      </c>
      <c r="B1815" s="452">
        <v>30</v>
      </c>
      <c r="C1815" s="452">
        <v>18</v>
      </c>
      <c r="D1815" s="452"/>
      <c r="E1815" s="452"/>
      <c r="F1815" s="392"/>
      <c r="G1815" s="392"/>
      <c r="H1815" s="392"/>
      <c r="I1815" s="453"/>
      <c r="J1815" s="353"/>
    </row>
    <row r="1816" spans="1:10" s="406" customFormat="1">
      <c r="A1816" s="350" t="s">
        <v>385</v>
      </c>
      <c r="B1816" s="351">
        <v>15</v>
      </c>
      <c r="C1816" s="391">
        <v>8.1</v>
      </c>
      <c r="D1816" s="392">
        <f>C1816*0.22</f>
        <v>1.782</v>
      </c>
      <c r="E1816" s="355"/>
      <c r="F1816" s="392">
        <f>C1816*0.9</f>
        <v>7.29</v>
      </c>
      <c r="G1816" s="392">
        <f>C1816+D1816+E1816+F1816</f>
        <v>17.172000000000001</v>
      </c>
      <c r="H1816" s="392">
        <f>G1816*0.35</f>
        <v>6.0102000000000002</v>
      </c>
      <c r="I1816" s="393">
        <f>G1816+H1816</f>
        <v>23.182200000000002</v>
      </c>
      <c r="J1816" s="353"/>
    </row>
    <row r="1817" spans="1:10" s="406" customFormat="1">
      <c r="A1817" s="350"/>
      <c r="B1817" s="351"/>
      <c r="C1817" s="391"/>
      <c r="D1817" s="392"/>
      <c r="E1817" s="355"/>
      <c r="F1817" s="392"/>
      <c r="G1817" s="392"/>
      <c r="H1817" s="392"/>
      <c r="I1817" s="393"/>
      <c r="J1817" s="353"/>
    </row>
    <row r="1818" spans="1:10" s="406" customFormat="1" ht="21.75">
      <c r="A1818" s="383" t="s">
        <v>1488</v>
      </c>
      <c r="B1818" s="384"/>
      <c r="C1818" s="412">
        <f>C1819+C1820</f>
        <v>41.7</v>
      </c>
      <c r="D1818" s="412">
        <f>C1818*0.22</f>
        <v>9.1740000000000013</v>
      </c>
      <c r="E1818" s="384">
        <v>0.18</v>
      </c>
      <c r="F1818" s="412">
        <f>C1818*0.9</f>
        <v>37.53</v>
      </c>
      <c r="G1818" s="412">
        <f>C1818+D1818+E1818+F1818</f>
        <v>88.584000000000003</v>
      </c>
      <c r="H1818" s="412">
        <f>G1818*0.35</f>
        <v>31.0044</v>
      </c>
      <c r="I1818" s="413">
        <f>+G1818+H1818</f>
        <v>119.58840000000001</v>
      </c>
      <c r="J1818" s="349">
        <f>I1818+I1822+I1821</f>
        <v>142.7706</v>
      </c>
    </row>
    <row r="1819" spans="1:10" s="406" customFormat="1">
      <c r="A1819" s="423" t="s">
        <v>258</v>
      </c>
      <c r="B1819" s="423">
        <v>30</v>
      </c>
      <c r="C1819" s="423">
        <v>23.7</v>
      </c>
      <c r="D1819" s="424"/>
      <c r="E1819" s="423"/>
      <c r="F1819" s="424"/>
      <c r="G1819" s="424"/>
      <c r="H1819" s="424"/>
      <c r="I1819" s="425"/>
      <c r="J1819" s="380"/>
    </row>
    <row r="1820" spans="1:10">
      <c r="A1820" s="350" t="s">
        <v>337</v>
      </c>
      <c r="B1820" s="386">
        <v>30</v>
      </c>
      <c r="C1820" s="386">
        <v>18</v>
      </c>
      <c r="D1820" s="392"/>
      <c r="E1820" s="386"/>
      <c r="F1820" s="392"/>
      <c r="G1820" s="392"/>
      <c r="H1820" s="392"/>
      <c r="I1820" s="446"/>
      <c r="J1820" s="353"/>
    </row>
    <row r="1821" spans="1:10">
      <c r="A1821" s="350" t="s">
        <v>385</v>
      </c>
      <c r="B1821" s="351">
        <v>15</v>
      </c>
      <c r="C1821" s="391">
        <v>8.1</v>
      </c>
      <c r="D1821" s="392">
        <f>C1821*0.22</f>
        <v>1.782</v>
      </c>
      <c r="E1821" s="355"/>
      <c r="F1821" s="392">
        <f>C1821*0.9</f>
        <v>7.29</v>
      </c>
      <c r="G1821" s="392">
        <f>C1821+D1821+E1821+F1821</f>
        <v>17.172000000000001</v>
      </c>
      <c r="H1821" s="392">
        <f>G1821*0.35</f>
        <v>6.0102000000000002</v>
      </c>
      <c r="I1821" s="393">
        <f>G1821+H1821</f>
        <v>23.182200000000002</v>
      </c>
      <c r="J1821" s="353"/>
    </row>
    <row r="1822" spans="1:10">
      <c r="A1822" s="350"/>
      <c r="B1822" s="351"/>
      <c r="C1822" s="391"/>
      <c r="D1822" s="392"/>
      <c r="E1822" s="355"/>
      <c r="F1822" s="392"/>
      <c r="G1822" s="392"/>
      <c r="H1822" s="392"/>
      <c r="I1822" s="393"/>
      <c r="J1822" s="353"/>
    </row>
    <row r="1823" spans="1:10" ht="21.75">
      <c r="A1823" s="383" t="s">
        <v>1489</v>
      </c>
      <c r="B1823" s="384"/>
      <c r="C1823" s="412">
        <f>C1824+C1825</f>
        <v>53.1</v>
      </c>
      <c r="D1823" s="412">
        <f>C1823*0.22</f>
        <v>11.682</v>
      </c>
      <c r="E1823" s="384">
        <v>0.18</v>
      </c>
      <c r="F1823" s="412">
        <f>C1823*0.9</f>
        <v>47.79</v>
      </c>
      <c r="G1823" s="412">
        <f>C1823+D1823+E1823+F1823</f>
        <v>112.75200000000001</v>
      </c>
      <c r="H1823" s="412">
        <f>G1823*0.35</f>
        <v>39.463200000000001</v>
      </c>
      <c r="I1823" s="413">
        <f>+G1823+H1823</f>
        <v>152.21520000000001</v>
      </c>
      <c r="J1823" s="349">
        <f>I1823+I1827+I1826</f>
        <v>186.21576000000002</v>
      </c>
    </row>
    <row r="1824" spans="1:10">
      <c r="A1824" s="385" t="s">
        <v>258</v>
      </c>
      <c r="B1824" s="423">
        <v>45</v>
      </c>
      <c r="C1824" s="424">
        <v>26.1</v>
      </c>
      <c r="D1824" s="424"/>
      <c r="E1824" s="423"/>
      <c r="F1824" s="424"/>
      <c r="G1824" s="424"/>
      <c r="H1824" s="424"/>
      <c r="I1824" s="425"/>
      <c r="J1824" s="380"/>
    </row>
    <row r="1825" spans="1:10">
      <c r="A1825" s="350" t="s">
        <v>337</v>
      </c>
      <c r="B1825" s="386">
        <v>45</v>
      </c>
      <c r="C1825" s="386">
        <v>27</v>
      </c>
      <c r="D1825" s="392"/>
      <c r="E1825" s="386"/>
      <c r="F1825" s="392"/>
      <c r="G1825" s="392"/>
      <c r="H1825" s="392"/>
      <c r="I1825" s="446"/>
      <c r="J1825" s="353"/>
    </row>
    <row r="1826" spans="1:10">
      <c r="A1826" s="350" t="s">
        <v>385</v>
      </c>
      <c r="B1826" s="351">
        <v>22</v>
      </c>
      <c r="C1826" s="391">
        <v>11.88</v>
      </c>
      <c r="D1826" s="392">
        <f>C1826*0.22</f>
        <v>2.6136000000000004</v>
      </c>
      <c r="E1826" s="355"/>
      <c r="F1826" s="392">
        <f>C1826*0.9</f>
        <v>10.692</v>
      </c>
      <c r="G1826" s="392">
        <f>C1826+D1826+E1826+F1826</f>
        <v>25.185600000000001</v>
      </c>
      <c r="H1826" s="392">
        <f>G1826*0.35</f>
        <v>8.8149599999999992</v>
      </c>
      <c r="I1826" s="393">
        <f>G1826+H1826</f>
        <v>34.00056</v>
      </c>
      <c r="J1826" s="353"/>
    </row>
    <row r="1827" spans="1:10">
      <c r="A1827" s="350"/>
      <c r="B1827" s="351"/>
      <c r="C1827" s="391"/>
      <c r="D1827" s="392"/>
      <c r="E1827" s="355"/>
      <c r="F1827" s="392"/>
      <c r="G1827" s="392"/>
      <c r="H1827" s="392"/>
      <c r="I1827" s="393"/>
      <c r="J1827" s="353"/>
    </row>
    <row r="1828" spans="1:10">
      <c r="A1828" s="445" t="s">
        <v>1490</v>
      </c>
      <c r="B1828" s="384"/>
      <c r="C1828" s="412">
        <f>C1829+C1830</f>
        <v>20.85</v>
      </c>
      <c r="D1828" s="412">
        <f>C1828*0.22</f>
        <v>4.5870000000000006</v>
      </c>
      <c r="E1828" s="384">
        <v>0.18</v>
      </c>
      <c r="F1828" s="412">
        <f>C1828*0.9</f>
        <v>18.765000000000001</v>
      </c>
      <c r="G1828" s="412">
        <f>C1828+D1828+E1828+F1828</f>
        <v>44.382000000000005</v>
      </c>
      <c r="H1828" s="412">
        <f>G1828*0.35</f>
        <v>15.533700000000001</v>
      </c>
      <c r="I1828" s="413">
        <f>+G1828+H1828</f>
        <v>59.915700000000008</v>
      </c>
      <c r="J1828" s="349">
        <f>I1828+I1832+I1831</f>
        <v>70.734060000000014</v>
      </c>
    </row>
    <row r="1829" spans="1:10">
      <c r="A1829" s="423" t="s">
        <v>258</v>
      </c>
      <c r="B1829" s="423">
        <v>15</v>
      </c>
      <c r="C1829" s="423">
        <v>11.85</v>
      </c>
      <c r="D1829" s="424"/>
      <c r="E1829" s="423"/>
      <c r="F1829" s="424"/>
      <c r="G1829" s="424"/>
      <c r="H1829" s="424"/>
      <c r="I1829" s="425"/>
      <c r="J1829" s="380"/>
    </row>
    <row r="1830" spans="1:10">
      <c r="A1830" s="350" t="s">
        <v>337</v>
      </c>
      <c r="B1830" s="386">
        <v>15</v>
      </c>
      <c r="C1830" s="386">
        <v>9</v>
      </c>
      <c r="D1830" s="392"/>
      <c r="E1830" s="386"/>
      <c r="F1830" s="392"/>
      <c r="G1830" s="392"/>
      <c r="H1830" s="392"/>
      <c r="I1830" s="446"/>
      <c r="J1830" s="353"/>
    </row>
    <row r="1831" spans="1:10">
      <c r="A1831" s="350" t="s">
        <v>385</v>
      </c>
      <c r="B1831" s="351">
        <v>7</v>
      </c>
      <c r="C1831" s="391">
        <v>3.78</v>
      </c>
      <c r="D1831" s="392">
        <f>C1831*0.22</f>
        <v>0.83160000000000001</v>
      </c>
      <c r="E1831" s="355"/>
      <c r="F1831" s="392">
        <f>C1831*0.9</f>
        <v>3.4019999999999997</v>
      </c>
      <c r="G1831" s="392">
        <f>C1831+D1831+E1831+F1831</f>
        <v>8.0136000000000003</v>
      </c>
      <c r="H1831" s="392">
        <f>G1831*0.35</f>
        <v>2.8047599999999999</v>
      </c>
      <c r="I1831" s="393">
        <f>G1831+H1831</f>
        <v>10.81836</v>
      </c>
      <c r="J1831" s="353"/>
    </row>
    <row r="1832" spans="1:10">
      <c r="A1832" s="350"/>
      <c r="B1832" s="351"/>
      <c r="C1832" s="391"/>
      <c r="D1832" s="392"/>
      <c r="E1832" s="355"/>
      <c r="F1832" s="392"/>
      <c r="G1832" s="392"/>
      <c r="H1832" s="392"/>
      <c r="I1832" s="393"/>
      <c r="J1832" s="353"/>
    </row>
    <row r="1833" spans="1:10">
      <c r="A1833" s="445" t="s">
        <v>1491</v>
      </c>
      <c r="B1833" s="384"/>
      <c r="C1833" s="412">
        <f>C1834+C1835</f>
        <v>20.85</v>
      </c>
      <c r="D1833" s="412">
        <f>C1833*0.22</f>
        <v>4.5870000000000006</v>
      </c>
      <c r="E1833" s="384">
        <v>0.18</v>
      </c>
      <c r="F1833" s="412">
        <f>C1833*0.9</f>
        <v>18.765000000000001</v>
      </c>
      <c r="G1833" s="412">
        <f>C1833+D1833+E1833+F1833</f>
        <v>44.382000000000005</v>
      </c>
      <c r="H1833" s="412">
        <f>G1833*0.35</f>
        <v>15.533700000000001</v>
      </c>
      <c r="I1833" s="413">
        <f>+G1833+H1833</f>
        <v>59.915700000000008</v>
      </c>
      <c r="J1833" s="349">
        <f>I1833+I1837+I1836</f>
        <v>70.734060000000014</v>
      </c>
    </row>
    <row r="1834" spans="1:10">
      <c r="A1834" s="423" t="s">
        <v>258</v>
      </c>
      <c r="B1834" s="423">
        <v>15</v>
      </c>
      <c r="C1834" s="423">
        <v>11.85</v>
      </c>
      <c r="D1834" s="424"/>
      <c r="E1834" s="423"/>
      <c r="F1834" s="424"/>
      <c r="G1834" s="424"/>
      <c r="H1834" s="424"/>
      <c r="I1834" s="425"/>
      <c r="J1834" s="380"/>
    </row>
    <row r="1835" spans="1:10">
      <c r="A1835" s="350" t="s">
        <v>337</v>
      </c>
      <c r="B1835" s="386">
        <v>15</v>
      </c>
      <c r="C1835" s="386">
        <v>9</v>
      </c>
      <c r="D1835" s="392"/>
      <c r="E1835" s="386"/>
      <c r="F1835" s="392"/>
      <c r="G1835" s="392"/>
      <c r="H1835" s="392"/>
      <c r="I1835" s="446"/>
      <c r="J1835" s="353"/>
    </row>
    <row r="1836" spans="1:10">
      <c r="A1836" s="350" t="s">
        <v>385</v>
      </c>
      <c r="B1836" s="351">
        <v>7</v>
      </c>
      <c r="C1836" s="391">
        <v>3.78</v>
      </c>
      <c r="D1836" s="392">
        <f>C1836*0.22</f>
        <v>0.83160000000000001</v>
      </c>
      <c r="E1836" s="355"/>
      <c r="F1836" s="392">
        <f>C1836*0.9</f>
        <v>3.4019999999999997</v>
      </c>
      <c r="G1836" s="392">
        <f>C1836+D1836+E1836+F1836</f>
        <v>8.0136000000000003</v>
      </c>
      <c r="H1836" s="392">
        <f>G1836*0.35</f>
        <v>2.8047599999999999</v>
      </c>
      <c r="I1836" s="393">
        <f>G1836+H1836</f>
        <v>10.81836</v>
      </c>
      <c r="J1836" s="353"/>
    </row>
    <row r="1837" spans="1:10">
      <c r="A1837" s="350"/>
      <c r="B1837" s="351"/>
      <c r="C1837" s="391"/>
      <c r="D1837" s="392"/>
      <c r="E1837" s="355"/>
      <c r="F1837" s="392"/>
      <c r="G1837" s="392"/>
      <c r="H1837" s="392"/>
      <c r="I1837" s="393"/>
      <c r="J1837" s="353"/>
    </row>
    <row r="1838" spans="1:10">
      <c r="A1838" s="445" t="s">
        <v>1492</v>
      </c>
      <c r="B1838" s="384"/>
      <c r="C1838" s="412">
        <f>C1839+C1840</f>
        <v>41.7</v>
      </c>
      <c r="D1838" s="412">
        <f>C1838*0.22</f>
        <v>9.1740000000000013</v>
      </c>
      <c r="E1838" s="384">
        <v>0.18</v>
      </c>
      <c r="F1838" s="412">
        <f>C1838*0.9</f>
        <v>37.53</v>
      </c>
      <c r="G1838" s="412">
        <f>C1838+D1838+E1838+F1838</f>
        <v>88.584000000000003</v>
      </c>
      <c r="H1838" s="412">
        <f>G1838*0.35</f>
        <v>31.0044</v>
      </c>
      <c r="I1838" s="413">
        <f>+G1838+H1838</f>
        <v>119.58840000000001</v>
      </c>
      <c r="J1838" s="349">
        <f>I1838+I1842+I1841</f>
        <v>142.7706</v>
      </c>
    </row>
    <row r="1839" spans="1:10">
      <c r="A1839" s="423" t="s">
        <v>258</v>
      </c>
      <c r="B1839" s="423">
        <v>30</v>
      </c>
      <c r="C1839" s="423">
        <v>23.7</v>
      </c>
      <c r="D1839" s="424"/>
      <c r="E1839" s="423"/>
      <c r="F1839" s="424"/>
      <c r="G1839" s="424"/>
      <c r="H1839" s="424"/>
      <c r="I1839" s="425"/>
      <c r="J1839" s="380"/>
    </row>
    <row r="1840" spans="1:10">
      <c r="A1840" s="350" t="s">
        <v>337</v>
      </c>
      <c r="B1840" s="386">
        <v>30</v>
      </c>
      <c r="C1840" s="386">
        <v>18</v>
      </c>
      <c r="D1840" s="392"/>
      <c r="E1840" s="386"/>
      <c r="F1840" s="392"/>
      <c r="G1840" s="392"/>
      <c r="H1840" s="392"/>
      <c r="I1840" s="446"/>
      <c r="J1840" s="353"/>
    </row>
    <row r="1841" spans="1:10">
      <c r="A1841" s="350" t="s">
        <v>385</v>
      </c>
      <c r="B1841" s="351">
        <v>15</v>
      </c>
      <c r="C1841" s="391">
        <v>8.1</v>
      </c>
      <c r="D1841" s="392">
        <f>C1841*0.22</f>
        <v>1.782</v>
      </c>
      <c r="E1841" s="355"/>
      <c r="F1841" s="392">
        <f>C1841*0.9</f>
        <v>7.29</v>
      </c>
      <c r="G1841" s="392">
        <f>C1841+D1841+E1841+F1841</f>
        <v>17.172000000000001</v>
      </c>
      <c r="H1841" s="392">
        <f>G1841*0.35</f>
        <v>6.0102000000000002</v>
      </c>
      <c r="I1841" s="393">
        <f>G1841+H1841</f>
        <v>23.182200000000002</v>
      </c>
      <c r="J1841" s="353"/>
    </row>
    <row r="1842" spans="1:10">
      <c r="A1842" s="350"/>
      <c r="B1842" s="351"/>
      <c r="C1842" s="391"/>
      <c r="D1842" s="392"/>
      <c r="E1842" s="355"/>
      <c r="F1842" s="392"/>
      <c r="G1842" s="392"/>
      <c r="H1842" s="392"/>
      <c r="I1842" s="393"/>
      <c r="J1842" s="353"/>
    </row>
    <row r="1843" spans="1:10">
      <c r="A1843" s="445" t="s">
        <v>1493</v>
      </c>
      <c r="B1843" s="384"/>
      <c r="C1843" s="412">
        <f>C1844+C1845</f>
        <v>27.8</v>
      </c>
      <c r="D1843" s="412">
        <f>C1843*0.22</f>
        <v>6.1160000000000005</v>
      </c>
      <c r="E1843" s="384">
        <v>0.18</v>
      </c>
      <c r="F1843" s="412">
        <f>C1843*0.9</f>
        <v>25.02</v>
      </c>
      <c r="G1843" s="412">
        <f>C1843+D1843+E1843+F1843</f>
        <v>59.116</v>
      </c>
      <c r="H1843" s="412">
        <f>G1843*0.35</f>
        <v>20.6906</v>
      </c>
      <c r="I1843" s="413">
        <f>+G1843+H1843</f>
        <v>79.806600000000003</v>
      </c>
      <c r="J1843" s="349">
        <f>I1843+I1847+I1846</f>
        <v>95.261400000000009</v>
      </c>
    </row>
    <row r="1844" spans="1:10">
      <c r="A1844" s="386" t="s">
        <v>258</v>
      </c>
      <c r="B1844" s="386">
        <v>20</v>
      </c>
      <c r="C1844" s="386">
        <v>15.8</v>
      </c>
      <c r="D1844" s="392"/>
      <c r="E1844" s="386"/>
      <c r="F1844" s="392"/>
      <c r="G1844" s="392"/>
      <c r="H1844" s="392"/>
      <c r="I1844" s="446"/>
      <c r="J1844" s="380"/>
    </row>
    <row r="1845" spans="1:10">
      <c r="A1845" s="350" t="s">
        <v>337</v>
      </c>
      <c r="B1845" s="386">
        <v>20</v>
      </c>
      <c r="C1845" s="386">
        <v>12</v>
      </c>
      <c r="D1845" s="392"/>
      <c r="E1845" s="386"/>
      <c r="F1845" s="392"/>
      <c r="G1845" s="392"/>
      <c r="H1845" s="392"/>
      <c r="I1845" s="446"/>
      <c r="J1845" s="353"/>
    </row>
    <row r="1846" spans="1:10">
      <c r="A1846" s="350" t="s">
        <v>385</v>
      </c>
      <c r="B1846" s="351">
        <v>10</v>
      </c>
      <c r="C1846" s="391">
        <v>5.4</v>
      </c>
      <c r="D1846" s="392">
        <f>C1846*0.22</f>
        <v>1.1880000000000002</v>
      </c>
      <c r="E1846" s="355"/>
      <c r="F1846" s="392">
        <f>C1846*0.9</f>
        <v>4.8600000000000003</v>
      </c>
      <c r="G1846" s="392">
        <f>C1846+D1846+E1846+F1846</f>
        <v>11.448</v>
      </c>
      <c r="H1846" s="392">
        <f>G1846*0.35</f>
        <v>4.0068000000000001</v>
      </c>
      <c r="I1846" s="393">
        <f>G1846+H1846</f>
        <v>15.454800000000001</v>
      </c>
      <c r="J1846" s="353"/>
    </row>
    <row r="1847" spans="1:10">
      <c r="A1847" s="350"/>
      <c r="B1847" s="351"/>
      <c r="C1847" s="391"/>
      <c r="D1847" s="392"/>
      <c r="E1847" s="355"/>
      <c r="F1847" s="392"/>
      <c r="G1847" s="392"/>
      <c r="H1847" s="392"/>
      <c r="I1847" s="393"/>
      <c r="J1847" s="353"/>
    </row>
    <row r="1848" spans="1:10" ht="21.75">
      <c r="A1848" s="383" t="s">
        <v>1494</v>
      </c>
      <c r="B1848" s="384"/>
      <c r="C1848" s="412">
        <f>C1849+C1850</f>
        <v>62.55</v>
      </c>
      <c r="D1848" s="412">
        <f>C1848*0.22</f>
        <v>13.760999999999999</v>
      </c>
      <c r="E1848" s="384">
        <v>0.18</v>
      </c>
      <c r="F1848" s="412">
        <f>C1848*0.9</f>
        <v>56.295000000000002</v>
      </c>
      <c r="G1848" s="412">
        <f>C1848+D1848+E1848+F1848</f>
        <v>132.786</v>
      </c>
      <c r="H1848" s="412">
        <f>G1848*0.35</f>
        <v>46.475099999999998</v>
      </c>
      <c r="I1848" s="413">
        <f>+G1848+H1848</f>
        <v>179.2611</v>
      </c>
      <c r="J1848" s="349">
        <f>I1848+I1852+I1851</f>
        <v>210.17070000000001</v>
      </c>
    </row>
    <row r="1849" spans="1:10">
      <c r="A1849" s="423" t="s">
        <v>258</v>
      </c>
      <c r="B1849" s="386">
        <v>45</v>
      </c>
      <c r="C1849" s="386">
        <v>35.549999999999997</v>
      </c>
      <c r="D1849" s="392"/>
      <c r="E1849" s="386"/>
      <c r="F1849" s="392"/>
      <c r="G1849" s="392"/>
      <c r="H1849" s="392"/>
      <c r="I1849" s="425"/>
      <c r="J1849" s="380"/>
    </row>
    <row r="1850" spans="1:10">
      <c r="A1850" s="350" t="s">
        <v>337</v>
      </c>
      <c r="B1850" s="386">
        <v>45</v>
      </c>
      <c r="C1850" s="386">
        <v>27</v>
      </c>
      <c r="D1850" s="392"/>
      <c r="E1850" s="386"/>
      <c r="F1850" s="392"/>
      <c r="G1850" s="392"/>
      <c r="H1850" s="392"/>
      <c r="I1850" s="446"/>
      <c r="J1850" s="353"/>
    </row>
    <row r="1851" spans="1:10">
      <c r="A1851" s="350" t="s">
        <v>385</v>
      </c>
      <c r="B1851" s="351">
        <v>20</v>
      </c>
      <c r="C1851" s="391">
        <v>10.8</v>
      </c>
      <c r="D1851" s="392">
        <f>C1851*0.22</f>
        <v>2.3760000000000003</v>
      </c>
      <c r="E1851" s="355"/>
      <c r="F1851" s="392">
        <f>C1851*0.9</f>
        <v>9.7200000000000006</v>
      </c>
      <c r="G1851" s="392">
        <f>C1851+D1851+E1851+F1851</f>
        <v>22.896000000000001</v>
      </c>
      <c r="H1851" s="392">
        <f>G1851*0.35</f>
        <v>8.0136000000000003</v>
      </c>
      <c r="I1851" s="393">
        <f>G1851+H1851</f>
        <v>30.909600000000001</v>
      </c>
      <c r="J1851" s="353"/>
    </row>
    <row r="1852" spans="1:10">
      <c r="A1852" s="350"/>
      <c r="B1852" s="351"/>
      <c r="C1852" s="391"/>
      <c r="D1852" s="392"/>
      <c r="E1852" s="355"/>
      <c r="F1852" s="392"/>
      <c r="G1852" s="392"/>
      <c r="H1852" s="392"/>
      <c r="I1852" s="393"/>
      <c r="J1852" s="353"/>
    </row>
    <row r="1853" spans="1:10" ht="21.75">
      <c r="A1853" s="383" t="s">
        <v>1495</v>
      </c>
      <c r="B1853" s="384"/>
      <c r="C1853" s="412">
        <f>C1854+C1855</f>
        <v>55.6</v>
      </c>
      <c r="D1853" s="412">
        <f>C1853*0.22</f>
        <v>12.232000000000001</v>
      </c>
      <c r="E1853" s="384">
        <v>0.18</v>
      </c>
      <c r="F1853" s="412">
        <f>C1853*0.9</f>
        <v>50.04</v>
      </c>
      <c r="G1853" s="412">
        <f>C1853+D1853+E1853+F1853</f>
        <v>118.05200000000002</v>
      </c>
      <c r="H1853" s="412">
        <f>G1853*0.35</f>
        <v>41.318200000000004</v>
      </c>
      <c r="I1853" s="413">
        <f>+G1853+H1853</f>
        <v>159.37020000000001</v>
      </c>
      <c r="J1853" s="349">
        <f>I1853+I1857+I1856</f>
        <v>190.27980000000002</v>
      </c>
    </row>
    <row r="1854" spans="1:10">
      <c r="A1854" s="423" t="s">
        <v>258</v>
      </c>
      <c r="B1854" s="386">
        <v>40</v>
      </c>
      <c r="C1854" s="386">
        <v>31.6</v>
      </c>
      <c r="D1854" s="392"/>
      <c r="E1854" s="386"/>
      <c r="F1854" s="392"/>
      <c r="G1854" s="392"/>
      <c r="H1854" s="392"/>
      <c r="I1854" s="425"/>
      <c r="J1854" s="380"/>
    </row>
    <row r="1855" spans="1:10">
      <c r="A1855" s="350" t="s">
        <v>337</v>
      </c>
      <c r="B1855" s="386">
        <v>40</v>
      </c>
      <c r="C1855" s="386">
        <v>24</v>
      </c>
      <c r="D1855" s="392"/>
      <c r="E1855" s="386"/>
      <c r="F1855" s="392"/>
      <c r="G1855" s="392"/>
      <c r="H1855" s="392"/>
      <c r="I1855" s="446"/>
      <c r="J1855" s="353"/>
    </row>
    <row r="1856" spans="1:10">
      <c r="A1856" s="350" t="s">
        <v>385</v>
      </c>
      <c r="B1856" s="351">
        <v>20</v>
      </c>
      <c r="C1856" s="391">
        <v>10.8</v>
      </c>
      <c r="D1856" s="392">
        <f>C1856*0.22</f>
        <v>2.3760000000000003</v>
      </c>
      <c r="E1856" s="355"/>
      <c r="F1856" s="392">
        <f>C1856*0.9</f>
        <v>9.7200000000000006</v>
      </c>
      <c r="G1856" s="392">
        <f>C1856+D1856+E1856+F1856</f>
        <v>22.896000000000001</v>
      </c>
      <c r="H1856" s="392">
        <f>G1856*0.35</f>
        <v>8.0136000000000003</v>
      </c>
      <c r="I1856" s="393">
        <f>G1856+H1856</f>
        <v>30.909600000000001</v>
      </c>
      <c r="J1856" s="353"/>
    </row>
    <row r="1857" spans="1:10">
      <c r="A1857" s="350"/>
      <c r="B1857" s="351"/>
      <c r="C1857" s="391"/>
      <c r="D1857" s="392"/>
      <c r="E1857" s="355"/>
      <c r="F1857" s="392"/>
      <c r="G1857" s="392"/>
      <c r="H1857" s="392"/>
      <c r="I1857" s="393"/>
      <c r="J1857" s="353"/>
    </row>
    <row r="1858" spans="1:10" ht="21.75">
      <c r="A1858" s="383" t="s">
        <v>1496</v>
      </c>
      <c r="B1858" s="384"/>
      <c r="C1858" s="412">
        <f>C1859+C1860</f>
        <v>62.55</v>
      </c>
      <c r="D1858" s="412">
        <f>C1858*0.22</f>
        <v>13.760999999999999</v>
      </c>
      <c r="E1858" s="384">
        <v>0.18</v>
      </c>
      <c r="F1858" s="412">
        <f>C1858*0.9</f>
        <v>56.295000000000002</v>
      </c>
      <c r="G1858" s="412">
        <f>C1858+D1858+E1858+F1858</f>
        <v>132.786</v>
      </c>
      <c r="H1858" s="412">
        <f>G1858*0.35</f>
        <v>46.475099999999998</v>
      </c>
      <c r="I1858" s="413">
        <f>+G1858+H1858</f>
        <v>179.2611</v>
      </c>
      <c r="J1858" s="349">
        <f>I1858+I1862+I1861</f>
        <v>210.17070000000001</v>
      </c>
    </row>
    <row r="1859" spans="1:10">
      <c r="A1859" s="423" t="s">
        <v>258</v>
      </c>
      <c r="B1859" s="386">
        <v>45</v>
      </c>
      <c r="C1859" s="386">
        <v>35.549999999999997</v>
      </c>
      <c r="D1859" s="392"/>
      <c r="E1859" s="386"/>
      <c r="F1859" s="392"/>
      <c r="G1859" s="392"/>
      <c r="H1859" s="392"/>
      <c r="I1859" s="425"/>
      <c r="J1859" s="380"/>
    </row>
    <row r="1860" spans="1:10">
      <c r="A1860" s="350" t="s">
        <v>337</v>
      </c>
      <c r="B1860" s="386">
        <v>45</v>
      </c>
      <c r="C1860" s="386">
        <v>27</v>
      </c>
      <c r="D1860" s="392"/>
      <c r="E1860" s="386"/>
      <c r="F1860" s="392"/>
      <c r="G1860" s="392"/>
      <c r="H1860" s="392"/>
      <c r="I1860" s="446"/>
      <c r="J1860" s="353"/>
    </row>
    <row r="1861" spans="1:10">
      <c r="A1861" s="350" t="s">
        <v>385</v>
      </c>
      <c r="B1861" s="351">
        <v>20</v>
      </c>
      <c r="C1861" s="391">
        <v>10.8</v>
      </c>
      <c r="D1861" s="392">
        <f>C1861*0.22</f>
        <v>2.3760000000000003</v>
      </c>
      <c r="E1861" s="355"/>
      <c r="F1861" s="392">
        <f>C1861*0.9</f>
        <v>9.7200000000000006</v>
      </c>
      <c r="G1861" s="392">
        <f>C1861+D1861+E1861+F1861</f>
        <v>22.896000000000001</v>
      </c>
      <c r="H1861" s="392">
        <f>G1861*0.35</f>
        <v>8.0136000000000003</v>
      </c>
      <c r="I1861" s="393">
        <f>G1861+H1861</f>
        <v>30.909600000000001</v>
      </c>
      <c r="J1861" s="353"/>
    </row>
    <row r="1862" spans="1:10">
      <c r="A1862" s="350"/>
      <c r="B1862" s="351"/>
      <c r="C1862" s="391"/>
      <c r="D1862" s="392"/>
      <c r="E1862" s="355"/>
      <c r="F1862" s="392"/>
      <c r="G1862" s="392"/>
      <c r="H1862" s="392"/>
      <c r="I1862" s="393"/>
      <c r="J1862" s="353"/>
    </row>
    <row r="1863" spans="1:10">
      <c r="A1863" s="345" t="s">
        <v>1497</v>
      </c>
      <c r="B1863" s="346"/>
      <c r="C1863" s="412">
        <f>C1864+C1865</f>
        <v>55.6</v>
      </c>
      <c r="D1863" s="412">
        <f>C1863*0.22</f>
        <v>12.232000000000001</v>
      </c>
      <c r="E1863" s="412">
        <v>0.18</v>
      </c>
      <c r="F1863" s="412">
        <f>C1863*0.9</f>
        <v>50.04</v>
      </c>
      <c r="G1863" s="412">
        <f>C1863+D1863+E1863+F1863</f>
        <v>118.05200000000002</v>
      </c>
      <c r="H1863" s="412">
        <f>G1863*0.35</f>
        <v>41.318200000000004</v>
      </c>
      <c r="I1863" s="413">
        <f>+G1863+H1863</f>
        <v>159.37020000000001</v>
      </c>
      <c r="J1863" s="349">
        <f>I1863+I1866+I1867</f>
        <v>190.27980000000002</v>
      </c>
    </row>
    <row r="1864" spans="1:10">
      <c r="A1864" s="350" t="s">
        <v>258</v>
      </c>
      <c r="B1864" s="350">
        <v>40</v>
      </c>
      <c r="C1864" s="391">
        <v>31.6</v>
      </c>
      <c r="D1864" s="392"/>
      <c r="E1864" s="392"/>
      <c r="F1864" s="392"/>
      <c r="G1864" s="392"/>
      <c r="H1864" s="392"/>
      <c r="I1864" s="446"/>
      <c r="J1864" s="353"/>
    </row>
    <row r="1865" spans="1:10">
      <c r="A1865" s="350" t="s">
        <v>337</v>
      </c>
      <c r="B1865" s="350">
        <v>40</v>
      </c>
      <c r="C1865" s="391">
        <v>24</v>
      </c>
      <c r="D1865" s="392"/>
      <c r="E1865" s="392"/>
      <c r="F1865" s="392"/>
      <c r="G1865" s="392"/>
      <c r="H1865" s="392"/>
      <c r="I1865" s="446"/>
      <c r="J1865" s="353"/>
    </row>
    <row r="1866" spans="1:10">
      <c r="A1866" s="350" t="s">
        <v>385</v>
      </c>
      <c r="B1866" s="351">
        <v>20</v>
      </c>
      <c r="C1866" s="391">
        <v>10.8</v>
      </c>
      <c r="D1866" s="392">
        <f>C1866*0.22</f>
        <v>2.3760000000000003</v>
      </c>
      <c r="E1866" s="355"/>
      <c r="F1866" s="392">
        <f>C1866*0.9</f>
        <v>9.7200000000000006</v>
      </c>
      <c r="G1866" s="392">
        <f>C1866+D1866+E1866+F1866</f>
        <v>22.896000000000001</v>
      </c>
      <c r="H1866" s="392">
        <f>G1866*0.35</f>
        <v>8.0136000000000003</v>
      </c>
      <c r="I1866" s="393">
        <f>G1866+H1866</f>
        <v>30.909600000000001</v>
      </c>
      <c r="J1866" s="353"/>
    </row>
    <row r="1867" spans="1:10">
      <c r="A1867" s="350"/>
      <c r="B1867" s="351"/>
      <c r="C1867" s="391"/>
      <c r="D1867" s="392"/>
      <c r="E1867" s="355"/>
      <c r="F1867" s="392"/>
      <c r="G1867" s="392"/>
      <c r="H1867" s="392"/>
      <c r="I1867" s="393"/>
      <c r="J1867" s="353"/>
    </row>
    <row r="1868" spans="1:10" ht="21.75">
      <c r="A1868" s="383" t="s">
        <v>1498</v>
      </c>
      <c r="B1868" s="384"/>
      <c r="C1868" s="412">
        <f>C1869+C1870</f>
        <v>83.4</v>
      </c>
      <c r="D1868" s="412">
        <f>C1868*0.22</f>
        <v>18.348000000000003</v>
      </c>
      <c r="E1868" s="384">
        <v>0.18</v>
      </c>
      <c r="F1868" s="412">
        <f>C1868*0.9</f>
        <v>75.06</v>
      </c>
      <c r="G1868" s="412">
        <f>C1868+D1868+E1868+F1868</f>
        <v>176.988</v>
      </c>
      <c r="H1868" s="412">
        <f>G1868*0.35</f>
        <v>61.945799999999998</v>
      </c>
      <c r="I1868" s="413">
        <f>+G1868+H1868</f>
        <v>238.93379999999999</v>
      </c>
      <c r="J1868" s="349">
        <f>I1868+I1872+I1871</f>
        <v>285.29820000000001</v>
      </c>
    </row>
    <row r="1869" spans="1:10">
      <c r="A1869" s="423" t="s">
        <v>258</v>
      </c>
      <c r="B1869" s="386">
        <v>60</v>
      </c>
      <c r="C1869" s="386">
        <v>47.4</v>
      </c>
      <c r="D1869" s="392"/>
      <c r="E1869" s="386"/>
      <c r="F1869" s="392"/>
      <c r="G1869" s="392"/>
      <c r="H1869" s="392"/>
      <c r="I1869" s="425"/>
      <c r="J1869" s="379"/>
    </row>
    <row r="1870" spans="1:10">
      <c r="A1870" s="350" t="s">
        <v>337</v>
      </c>
      <c r="B1870" s="386">
        <v>60</v>
      </c>
      <c r="C1870" s="386">
        <v>36</v>
      </c>
      <c r="D1870" s="392"/>
      <c r="E1870" s="386"/>
      <c r="F1870" s="392"/>
      <c r="G1870" s="392"/>
      <c r="H1870" s="392"/>
      <c r="I1870" s="446"/>
      <c r="J1870" s="355"/>
    </row>
    <row r="1871" spans="1:10">
      <c r="A1871" s="350" t="s">
        <v>385</v>
      </c>
      <c r="B1871" s="351">
        <v>30</v>
      </c>
      <c r="C1871" s="391">
        <v>16.2</v>
      </c>
      <c r="D1871" s="392">
        <f>C1871*0.22</f>
        <v>3.5640000000000001</v>
      </c>
      <c r="E1871" s="355"/>
      <c r="F1871" s="392">
        <f>C1871*0.9</f>
        <v>14.58</v>
      </c>
      <c r="G1871" s="392">
        <f>C1871+D1871+E1871+F1871</f>
        <v>34.344000000000001</v>
      </c>
      <c r="H1871" s="392">
        <f>G1871*0.35</f>
        <v>12.0204</v>
      </c>
      <c r="I1871" s="393">
        <f>G1871+H1871</f>
        <v>46.364400000000003</v>
      </c>
      <c r="J1871" s="355"/>
    </row>
    <row r="1872" spans="1:10">
      <c r="A1872" s="350"/>
      <c r="B1872" s="351"/>
      <c r="C1872" s="391"/>
      <c r="D1872" s="392"/>
      <c r="E1872" s="355"/>
      <c r="F1872" s="392"/>
      <c r="G1872" s="392"/>
      <c r="H1872" s="392"/>
      <c r="I1872" s="393"/>
      <c r="J1872" s="355"/>
    </row>
    <row r="1873" spans="1:10">
      <c r="A1873" s="445" t="s">
        <v>1499</v>
      </c>
      <c r="B1873" s="384"/>
      <c r="C1873" s="412">
        <f>C1874+C1875</f>
        <v>27.8</v>
      </c>
      <c r="D1873" s="412">
        <f>C1873*0.22</f>
        <v>6.1160000000000005</v>
      </c>
      <c r="E1873" s="384">
        <v>0.18</v>
      </c>
      <c r="F1873" s="412">
        <f>C1873*0.9</f>
        <v>25.02</v>
      </c>
      <c r="G1873" s="412">
        <f>C1873+D1873+E1873+F1873</f>
        <v>59.116</v>
      </c>
      <c r="H1873" s="412">
        <f>G1873*0.35</f>
        <v>20.6906</v>
      </c>
      <c r="I1873" s="413">
        <f>+G1873+H1873</f>
        <v>79.806600000000003</v>
      </c>
      <c r="J1873" s="349">
        <f>I1873+I1877+I1876</f>
        <v>95.261400000000009</v>
      </c>
    </row>
    <row r="1874" spans="1:10">
      <c r="A1874" s="386" t="s">
        <v>258</v>
      </c>
      <c r="B1874" s="386">
        <v>20</v>
      </c>
      <c r="C1874" s="386">
        <v>15.8</v>
      </c>
      <c r="D1874" s="392"/>
      <c r="E1874" s="386"/>
      <c r="F1874" s="392"/>
      <c r="G1874" s="392"/>
      <c r="H1874" s="392"/>
      <c r="I1874" s="446"/>
      <c r="J1874" s="380"/>
    </row>
    <row r="1875" spans="1:10">
      <c r="A1875" s="350" t="s">
        <v>337</v>
      </c>
      <c r="B1875" s="386">
        <v>20</v>
      </c>
      <c r="C1875" s="386">
        <v>12</v>
      </c>
      <c r="D1875" s="392"/>
      <c r="E1875" s="386"/>
      <c r="F1875" s="392"/>
      <c r="G1875" s="392"/>
      <c r="H1875" s="392"/>
      <c r="I1875" s="446"/>
      <c r="J1875" s="353"/>
    </row>
    <row r="1876" spans="1:10">
      <c r="A1876" s="350" t="s">
        <v>385</v>
      </c>
      <c r="B1876" s="351">
        <v>10</v>
      </c>
      <c r="C1876" s="391">
        <v>5.4</v>
      </c>
      <c r="D1876" s="392">
        <f>C1876*0.22</f>
        <v>1.1880000000000002</v>
      </c>
      <c r="E1876" s="355"/>
      <c r="F1876" s="392">
        <f>C1876*0.9</f>
        <v>4.8600000000000003</v>
      </c>
      <c r="G1876" s="392">
        <f>C1876+D1876+E1876+F1876</f>
        <v>11.448</v>
      </c>
      <c r="H1876" s="392">
        <f>G1876*0.35</f>
        <v>4.0068000000000001</v>
      </c>
      <c r="I1876" s="393">
        <f>G1876+H1876</f>
        <v>15.454800000000001</v>
      </c>
      <c r="J1876" s="353"/>
    </row>
    <row r="1877" spans="1:10">
      <c r="A1877" s="350"/>
      <c r="B1877" s="351"/>
      <c r="C1877" s="391"/>
      <c r="D1877" s="392"/>
      <c r="E1877" s="355"/>
      <c r="F1877" s="392"/>
      <c r="G1877" s="392"/>
      <c r="H1877" s="392"/>
      <c r="I1877" s="393"/>
      <c r="J1877" s="353"/>
    </row>
    <row r="1878" spans="1:10">
      <c r="A1878" s="445" t="s">
        <v>1500</v>
      </c>
      <c r="B1878" s="384"/>
      <c r="C1878" s="412">
        <f>C1879+C1880</f>
        <v>27.8</v>
      </c>
      <c r="D1878" s="412">
        <f>C1878*0.22</f>
        <v>6.1160000000000005</v>
      </c>
      <c r="E1878" s="384">
        <v>0.18</v>
      </c>
      <c r="F1878" s="412">
        <f>C1878*0.9</f>
        <v>25.02</v>
      </c>
      <c r="G1878" s="412">
        <f>C1878+D1878+E1878+F1878</f>
        <v>59.116</v>
      </c>
      <c r="H1878" s="412">
        <f>G1878*0.35</f>
        <v>20.6906</v>
      </c>
      <c r="I1878" s="413">
        <f>+G1878+H1878</f>
        <v>79.806600000000003</v>
      </c>
      <c r="J1878" s="349">
        <f>I1878+I1882+I1881</f>
        <v>95.261400000000009</v>
      </c>
    </row>
    <row r="1879" spans="1:10">
      <c r="A1879" s="386" t="s">
        <v>258</v>
      </c>
      <c r="B1879" s="386">
        <v>20</v>
      </c>
      <c r="C1879" s="386">
        <v>15.8</v>
      </c>
      <c r="D1879" s="392"/>
      <c r="E1879" s="386"/>
      <c r="F1879" s="392"/>
      <c r="G1879" s="392"/>
      <c r="H1879" s="392"/>
      <c r="I1879" s="446"/>
      <c r="J1879" s="380"/>
    </row>
    <row r="1880" spans="1:10">
      <c r="A1880" s="350" t="s">
        <v>337</v>
      </c>
      <c r="B1880" s="386">
        <v>20</v>
      </c>
      <c r="C1880" s="386">
        <v>12</v>
      </c>
      <c r="D1880" s="392"/>
      <c r="E1880" s="386"/>
      <c r="F1880" s="392"/>
      <c r="G1880" s="392"/>
      <c r="H1880" s="392"/>
      <c r="I1880" s="446"/>
      <c r="J1880" s="353"/>
    </row>
    <row r="1881" spans="1:10">
      <c r="A1881" s="350" t="s">
        <v>385</v>
      </c>
      <c r="B1881" s="351">
        <v>10</v>
      </c>
      <c r="C1881" s="391">
        <v>5.4</v>
      </c>
      <c r="D1881" s="392">
        <f>C1881*0.22</f>
        <v>1.1880000000000002</v>
      </c>
      <c r="E1881" s="355"/>
      <c r="F1881" s="392">
        <f>C1881*0.9</f>
        <v>4.8600000000000003</v>
      </c>
      <c r="G1881" s="392">
        <f>C1881+D1881+E1881+F1881</f>
        <v>11.448</v>
      </c>
      <c r="H1881" s="392">
        <f>G1881*0.35</f>
        <v>4.0068000000000001</v>
      </c>
      <c r="I1881" s="393">
        <f>G1881+H1881</f>
        <v>15.454800000000001</v>
      </c>
      <c r="J1881" s="353"/>
    </row>
    <row r="1882" spans="1:10">
      <c r="A1882" s="350"/>
      <c r="B1882" s="351"/>
      <c r="C1882" s="391"/>
      <c r="D1882" s="392"/>
      <c r="E1882" s="355"/>
      <c r="F1882" s="392"/>
      <c r="G1882" s="392"/>
      <c r="H1882" s="392"/>
      <c r="I1882" s="393"/>
      <c r="J1882" s="353"/>
    </row>
    <row r="1883" spans="1:10">
      <c r="A1883" s="445" t="s">
        <v>1501</v>
      </c>
      <c r="B1883" s="384"/>
      <c r="C1883" s="412">
        <f>C1884+C1885</f>
        <v>41.7</v>
      </c>
      <c r="D1883" s="412">
        <f>C1883*0.22</f>
        <v>9.1740000000000013</v>
      </c>
      <c r="E1883" s="384">
        <v>0.18</v>
      </c>
      <c r="F1883" s="412">
        <f>C1883*0.9</f>
        <v>37.53</v>
      </c>
      <c r="G1883" s="412">
        <f>C1883+D1883+E1883+F1883</f>
        <v>88.584000000000003</v>
      </c>
      <c r="H1883" s="412">
        <f>G1883*0.35</f>
        <v>31.0044</v>
      </c>
      <c r="I1883" s="413">
        <f>+G1883+H1883</f>
        <v>119.58840000000001</v>
      </c>
      <c r="J1883" s="349">
        <f>I1883+I1887+I1886</f>
        <v>142.7706</v>
      </c>
    </row>
    <row r="1884" spans="1:10">
      <c r="A1884" s="386" t="s">
        <v>258</v>
      </c>
      <c r="B1884" s="386">
        <v>30</v>
      </c>
      <c r="C1884" s="386">
        <v>23.7</v>
      </c>
      <c r="D1884" s="392"/>
      <c r="E1884" s="386"/>
      <c r="F1884" s="392"/>
      <c r="G1884" s="392"/>
      <c r="H1884" s="392"/>
      <c r="I1884" s="446"/>
      <c r="J1884" s="380"/>
    </row>
    <row r="1885" spans="1:10">
      <c r="A1885" s="350" t="s">
        <v>337</v>
      </c>
      <c r="B1885" s="386">
        <v>30</v>
      </c>
      <c r="C1885" s="386">
        <v>18</v>
      </c>
      <c r="D1885" s="392"/>
      <c r="E1885" s="386"/>
      <c r="F1885" s="392"/>
      <c r="G1885" s="392"/>
      <c r="H1885" s="392"/>
      <c r="I1885" s="446"/>
      <c r="J1885" s="353"/>
    </row>
    <row r="1886" spans="1:10">
      <c r="A1886" s="350" t="s">
        <v>385</v>
      </c>
      <c r="B1886" s="351">
        <v>15</v>
      </c>
      <c r="C1886" s="391">
        <v>8.1</v>
      </c>
      <c r="D1886" s="392">
        <f>C1886*0.22</f>
        <v>1.782</v>
      </c>
      <c r="E1886" s="355"/>
      <c r="F1886" s="392">
        <f>C1886*0.9</f>
        <v>7.29</v>
      </c>
      <c r="G1886" s="392">
        <f>C1886+D1886+E1886+F1886</f>
        <v>17.172000000000001</v>
      </c>
      <c r="H1886" s="392">
        <f>G1886*0.35</f>
        <v>6.0102000000000002</v>
      </c>
      <c r="I1886" s="393">
        <f>G1886+H1886</f>
        <v>23.182200000000002</v>
      </c>
      <c r="J1886" s="353"/>
    </row>
    <row r="1887" spans="1:10">
      <c r="A1887" s="350"/>
      <c r="B1887" s="351"/>
      <c r="C1887" s="391"/>
      <c r="D1887" s="392"/>
      <c r="E1887" s="355"/>
      <c r="F1887" s="392"/>
      <c r="G1887" s="392"/>
      <c r="H1887" s="392"/>
      <c r="I1887" s="393"/>
      <c r="J1887" s="353"/>
    </row>
    <row r="1888" spans="1:10">
      <c r="A1888" s="445" t="s">
        <v>1502</v>
      </c>
      <c r="B1888" s="384"/>
      <c r="C1888" s="412">
        <f>C1889+C1890</f>
        <v>62.55</v>
      </c>
      <c r="D1888" s="412">
        <f>C1888*0.22</f>
        <v>13.760999999999999</v>
      </c>
      <c r="E1888" s="384">
        <v>0.18</v>
      </c>
      <c r="F1888" s="412">
        <f>C1888*0.9</f>
        <v>56.295000000000002</v>
      </c>
      <c r="G1888" s="412">
        <f>C1888+D1888+E1888+F1888</f>
        <v>132.786</v>
      </c>
      <c r="H1888" s="412">
        <f>G1888*0.35</f>
        <v>46.475099999999998</v>
      </c>
      <c r="I1888" s="413">
        <f>+G1888+H1888</f>
        <v>179.2611</v>
      </c>
      <c r="J1888" s="349">
        <f>I1888+I1892+I1891</f>
        <v>210.17070000000001</v>
      </c>
    </row>
    <row r="1889" spans="1:10">
      <c r="A1889" s="386" t="s">
        <v>258</v>
      </c>
      <c r="B1889" s="386">
        <v>45</v>
      </c>
      <c r="C1889" s="386">
        <v>35.549999999999997</v>
      </c>
      <c r="D1889" s="392"/>
      <c r="E1889" s="386"/>
      <c r="F1889" s="392"/>
      <c r="G1889" s="392"/>
      <c r="H1889" s="392"/>
      <c r="I1889" s="446"/>
      <c r="J1889" s="380"/>
    </row>
    <row r="1890" spans="1:10">
      <c r="A1890" s="350" t="s">
        <v>337</v>
      </c>
      <c r="B1890" s="386">
        <v>45</v>
      </c>
      <c r="C1890" s="386">
        <v>27</v>
      </c>
      <c r="D1890" s="392"/>
      <c r="E1890" s="386"/>
      <c r="F1890" s="392"/>
      <c r="G1890" s="392"/>
      <c r="H1890" s="392"/>
      <c r="I1890" s="446"/>
      <c r="J1890" s="353"/>
    </row>
    <row r="1891" spans="1:10">
      <c r="A1891" s="350" t="s">
        <v>385</v>
      </c>
      <c r="B1891" s="351">
        <v>20</v>
      </c>
      <c r="C1891" s="391">
        <v>10.8</v>
      </c>
      <c r="D1891" s="392">
        <f>C1891*0.22</f>
        <v>2.3760000000000003</v>
      </c>
      <c r="E1891" s="355"/>
      <c r="F1891" s="392">
        <f>C1891*0.9</f>
        <v>9.7200000000000006</v>
      </c>
      <c r="G1891" s="392">
        <f>C1891+D1891+E1891+F1891</f>
        <v>22.896000000000001</v>
      </c>
      <c r="H1891" s="392">
        <f>G1891*0.35</f>
        <v>8.0136000000000003</v>
      </c>
      <c r="I1891" s="393">
        <f>G1891+H1891</f>
        <v>30.909600000000001</v>
      </c>
      <c r="J1891" s="353"/>
    </row>
    <row r="1892" spans="1:10">
      <c r="A1892" s="350"/>
      <c r="B1892" s="351"/>
      <c r="C1892" s="391"/>
      <c r="D1892" s="392"/>
      <c r="E1892" s="355"/>
      <c r="F1892" s="392"/>
      <c r="G1892" s="392"/>
      <c r="H1892" s="392"/>
      <c r="I1892" s="393"/>
      <c r="J1892" s="353"/>
    </row>
    <row r="1893" spans="1:10">
      <c r="A1893" s="345" t="s">
        <v>1503</v>
      </c>
      <c r="B1893" s="346"/>
      <c r="C1893" s="412">
        <f>C1894+C1895</f>
        <v>27.8</v>
      </c>
      <c r="D1893" s="412">
        <f>C1893*0.22</f>
        <v>6.1160000000000005</v>
      </c>
      <c r="E1893" s="412">
        <v>0.18</v>
      </c>
      <c r="F1893" s="412">
        <f>C1893*0.9</f>
        <v>25.02</v>
      </c>
      <c r="G1893" s="412">
        <f>C1893+D1893+E1893+F1893</f>
        <v>59.116</v>
      </c>
      <c r="H1893" s="412">
        <f>G1893*0.35</f>
        <v>20.6906</v>
      </c>
      <c r="I1893" s="413">
        <f>+G1893+H1893</f>
        <v>79.806600000000003</v>
      </c>
      <c r="J1893" s="349">
        <f>I1893+I1896+I1897</f>
        <v>95.261400000000009</v>
      </c>
    </row>
    <row r="1894" spans="1:10" s="371" customFormat="1">
      <c r="A1894" s="350" t="s">
        <v>258</v>
      </c>
      <c r="B1894" s="350">
        <v>20</v>
      </c>
      <c r="C1894" s="391">
        <v>15.8</v>
      </c>
      <c r="D1894" s="392"/>
      <c r="E1894" s="392"/>
      <c r="F1894" s="392"/>
      <c r="G1894" s="392"/>
      <c r="H1894" s="392"/>
      <c r="I1894" s="446"/>
      <c r="J1894" s="353"/>
    </row>
    <row r="1895" spans="1:10" s="371" customFormat="1">
      <c r="A1895" s="350" t="s">
        <v>337</v>
      </c>
      <c r="B1895" s="350">
        <v>20</v>
      </c>
      <c r="C1895" s="391">
        <v>12</v>
      </c>
      <c r="D1895" s="392"/>
      <c r="E1895" s="392"/>
      <c r="F1895" s="392"/>
      <c r="G1895" s="392"/>
      <c r="H1895" s="392"/>
      <c r="I1895" s="446"/>
      <c r="J1895" s="353"/>
    </row>
    <row r="1896" spans="1:10">
      <c r="A1896" s="350" t="s">
        <v>385</v>
      </c>
      <c r="B1896" s="351">
        <v>10</v>
      </c>
      <c r="C1896" s="391">
        <v>5.4</v>
      </c>
      <c r="D1896" s="392">
        <f>C1896*0.22</f>
        <v>1.1880000000000002</v>
      </c>
      <c r="E1896" s="355"/>
      <c r="F1896" s="392">
        <f>C1896*0.9</f>
        <v>4.8600000000000003</v>
      </c>
      <c r="G1896" s="392">
        <f>C1896+D1896+E1896+F1896</f>
        <v>11.448</v>
      </c>
      <c r="H1896" s="392">
        <f>G1896*0.35</f>
        <v>4.0068000000000001</v>
      </c>
      <c r="I1896" s="393">
        <f>G1896+H1896</f>
        <v>15.454800000000001</v>
      </c>
      <c r="J1896" s="353"/>
    </row>
    <row r="1897" spans="1:10">
      <c r="A1897" s="350"/>
      <c r="B1897" s="351"/>
      <c r="C1897" s="391"/>
      <c r="D1897" s="392"/>
      <c r="E1897" s="355"/>
      <c r="F1897" s="392"/>
      <c r="G1897" s="392"/>
      <c r="H1897" s="392"/>
      <c r="I1897" s="393"/>
      <c r="J1897" s="353"/>
    </row>
    <row r="1898" spans="1:10">
      <c r="A1898" s="345" t="s">
        <v>1504</v>
      </c>
      <c r="B1898" s="346"/>
      <c r="C1898" s="412">
        <f>C1899+C1900</f>
        <v>62.55</v>
      </c>
      <c r="D1898" s="412">
        <f>C1898*0.22</f>
        <v>13.760999999999999</v>
      </c>
      <c r="E1898" s="412">
        <v>0.18</v>
      </c>
      <c r="F1898" s="412">
        <f>C1898*0.9</f>
        <v>56.295000000000002</v>
      </c>
      <c r="G1898" s="412">
        <f>C1898+D1898+E1898+F1898</f>
        <v>132.786</v>
      </c>
      <c r="H1898" s="412">
        <f>G1898*0.35</f>
        <v>46.475099999999998</v>
      </c>
      <c r="I1898" s="413">
        <f>+G1898+H1898</f>
        <v>179.2611</v>
      </c>
      <c r="J1898" s="349">
        <f>I1898+I1901+I1902</f>
        <v>213.26166000000001</v>
      </c>
    </row>
    <row r="1899" spans="1:10">
      <c r="A1899" s="350" t="s">
        <v>258</v>
      </c>
      <c r="B1899" s="350">
        <v>45</v>
      </c>
      <c r="C1899" s="391">
        <v>35.549999999999997</v>
      </c>
      <c r="D1899" s="392"/>
      <c r="E1899" s="392"/>
      <c r="F1899" s="392"/>
      <c r="G1899" s="392"/>
      <c r="H1899" s="392"/>
      <c r="I1899" s="446"/>
      <c r="J1899" s="355"/>
    </row>
    <row r="1900" spans="1:10">
      <c r="A1900" s="350" t="s">
        <v>337</v>
      </c>
      <c r="B1900" s="350">
        <v>45</v>
      </c>
      <c r="C1900" s="391">
        <v>27</v>
      </c>
      <c r="D1900" s="392"/>
      <c r="E1900" s="392"/>
      <c r="F1900" s="392"/>
      <c r="G1900" s="392"/>
      <c r="H1900" s="392"/>
      <c r="I1900" s="446"/>
      <c r="J1900" s="355"/>
    </row>
    <row r="1901" spans="1:10">
      <c r="A1901" s="350" t="s">
        <v>385</v>
      </c>
      <c r="B1901" s="351">
        <v>22</v>
      </c>
      <c r="C1901" s="391">
        <v>11.88</v>
      </c>
      <c r="D1901" s="392">
        <f>C1901*0.22</f>
        <v>2.6136000000000004</v>
      </c>
      <c r="E1901" s="355"/>
      <c r="F1901" s="392">
        <f>C1901*0.9</f>
        <v>10.692</v>
      </c>
      <c r="G1901" s="392">
        <f>C1901+D1901+E1901+F1901</f>
        <v>25.185600000000001</v>
      </c>
      <c r="H1901" s="392">
        <f>G1901*0.35</f>
        <v>8.8149599999999992</v>
      </c>
      <c r="I1901" s="393">
        <f>G1901+H1901</f>
        <v>34.00056</v>
      </c>
      <c r="J1901" s="355"/>
    </row>
    <row r="1902" spans="1:10">
      <c r="A1902" s="350"/>
      <c r="B1902" s="351"/>
      <c r="C1902" s="391"/>
      <c r="D1902" s="392"/>
      <c r="E1902" s="355"/>
      <c r="F1902" s="392"/>
      <c r="G1902" s="392"/>
      <c r="H1902" s="392"/>
      <c r="I1902" s="393"/>
      <c r="J1902" s="355"/>
    </row>
    <row r="1903" spans="1:10">
      <c r="A1903" s="345" t="s">
        <v>1505</v>
      </c>
      <c r="B1903" s="346"/>
      <c r="C1903" s="412">
        <f>C1904+C1905</f>
        <v>62.55</v>
      </c>
      <c r="D1903" s="412">
        <f>C1903*0.22</f>
        <v>13.760999999999999</v>
      </c>
      <c r="E1903" s="412">
        <v>0.18</v>
      </c>
      <c r="F1903" s="412">
        <f>C1903*0.9</f>
        <v>56.295000000000002</v>
      </c>
      <c r="G1903" s="412">
        <f>C1903+D1903+E1903+F1903</f>
        <v>132.786</v>
      </c>
      <c r="H1903" s="412">
        <f>G1903*0.35</f>
        <v>46.475099999999998</v>
      </c>
      <c r="I1903" s="413">
        <f>+G1903+H1903</f>
        <v>179.2611</v>
      </c>
      <c r="J1903" s="349">
        <f>I1903+I1906</f>
        <v>213.26166000000001</v>
      </c>
    </row>
    <row r="1904" spans="1:10">
      <c r="A1904" s="350" t="s">
        <v>258</v>
      </c>
      <c r="B1904" s="350">
        <v>45</v>
      </c>
      <c r="C1904" s="391">
        <v>35.549999999999997</v>
      </c>
      <c r="D1904" s="392"/>
      <c r="E1904" s="392"/>
      <c r="F1904" s="392"/>
      <c r="G1904" s="392"/>
      <c r="H1904" s="392"/>
      <c r="I1904" s="446"/>
      <c r="J1904" s="353"/>
    </row>
    <row r="1905" spans="1:10">
      <c r="A1905" s="350" t="s">
        <v>337</v>
      </c>
      <c r="B1905" s="350">
        <v>45</v>
      </c>
      <c r="C1905" s="391">
        <v>27</v>
      </c>
      <c r="D1905" s="392"/>
      <c r="E1905" s="392"/>
      <c r="F1905" s="392"/>
      <c r="G1905" s="392"/>
      <c r="H1905" s="392"/>
      <c r="I1905" s="446"/>
      <c r="J1905" s="353"/>
    </row>
    <row r="1906" spans="1:10">
      <c r="A1906" s="350" t="s">
        <v>385</v>
      </c>
      <c r="B1906" s="351">
        <v>22</v>
      </c>
      <c r="C1906" s="391">
        <v>11.88</v>
      </c>
      <c r="D1906" s="392">
        <f>C1906*0.22</f>
        <v>2.6136000000000004</v>
      </c>
      <c r="E1906" s="355"/>
      <c r="F1906" s="392">
        <f>C1906*0.9</f>
        <v>10.692</v>
      </c>
      <c r="G1906" s="392">
        <f>C1906+D1906+E1906+F1906</f>
        <v>25.185600000000001</v>
      </c>
      <c r="H1906" s="392">
        <f>G1906*0.35</f>
        <v>8.8149599999999992</v>
      </c>
      <c r="I1906" s="393">
        <f>G1906+H1906</f>
        <v>34.00056</v>
      </c>
      <c r="J1906" s="353"/>
    </row>
    <row r="1907" spans="1:10" ht="21">
      <c r="A1907" s="345" t="s">
        <v>1506</v>
      </c>
      <c r="B1907" s="359"/>
      <c r="C1907" s="412">
        <f>C1908+C1909</f>
        <v>19.8</v>
      </c>
      <c r="D1907" s="412">
        <f t="shared" ref="D1907:D1910" si="361">C1907*0.22</f>
        <v>4.3559999999999999</v>
      </c>
      <c r="E1907" s="412">
        <v>0.21</v>
      </c>
      <c r="F1907" s="412">
        <f t="shared" ref="F1907:F1910" si="362">C1907*0.9</f>
        <v>17.82</v>
      </c>
      <c r="G1907" s="412">
        <f>C1907+D1907+E1907+F1907</f>
        <v>42.186</v>
      </c>
      <c r="H1907" s="412">
        <f>G1907*0.35</f>
        <v>14.765099999999999</v>
      </c>
      <c r="I1907" s="413">
        <f>G1907+H1907</f>
        <v>56.951099999999997</v>
      </c>
      <c r="J1907" s="349">
        <f>I1907+I1910+I1911</f>
        <v>68.542199999999994</v>
      </c>
    </row>
    <row r="1908" spans="1:10">
      <c r="A1908" s="350" t="s">
        <v>258</v>
      </c>
      <c r="B1908" s="360">
        <v>15</v>
      </c>
      <c r="C1908" s="391">
        <v>11.25</v>
      </c>
      <c r="D1908" s="392">
        <f t="shared" si="361"/>
        <v>2.4750000000000001</v>
      </c>
      <c r="E1908" s="392"/>
      <c r="F1908" s="392">
        <f t="shared" si="362"/>
        <v>10.125</v>
      </c>
      <c r="G1908" s="392"/>
      <c r="H1908" s="392"/>
      <c r="I1908" s="393"/>
      <c r="J1908" s="355"/>
    </row>
    <row r="1909" spans="1:10">
      <c r="A1909" s="350" t="s">
        <v>337</v>
      </c>
      <c r="B1909" s="360">
        <v>15</v>
      </c>
      <c r="C1909" s="391">
        <v>8.5500000000000007</v>
      </c>
      <c r="D1909" s="392">
        <f t="shared" si="361"/>
        <v>1.8810000000000002</v>
      </c>
      <c r="E1909" s="392"/>
      <c r="F1909" s="392">
        <f t="shared" si="362"/>
        <v>7.6950000000000012</v>
      </c>
      <c r="G1909" s="392"/>
      <c r="H1909" s="392"/>
      <c r="I1909" s="393"/>
      <c r="J1909" s="355"/>
    </row>
    <row r="1910" spans="1:10">
      <c r="A1910" s="350" t="s">
        <v>385</v>
      </c>
      <c r="B1910" s="351">
        <v>7.5</v>
      </c>
      <c r="C1910" s="391">
        <v>4.05</v>
      </c>
      <c r="D1910" s="392">
        <f t="shared" si="361"/>
        <v>0.89100000000000001</v>
      </c>
      <c r="E1910" s="355"/>
      <c r="F1910" s="392">
        <f t="shared" si="362"/>
        <v>3.645</v>
      </c>
      <c r="G1910" s="392">
        <f>C1910+D1910+E1910+F1910</f>
        <v>8.5860000000000003</v>
      </c>
      <c r="H1910" s="392">
        <f>G1910*0.35</f>
        <v>3.0051000000000001</v>
      </c>
      <c r="I1910" s="393">
        <f>G1910+H1910</f>
        <v>11.591100000000001</v>
      </c>
      <c r="J1910" s="355"/>
    </row>
    <row r="1911" spans="1:10">
      <c r="A1911" s="350"/>
      <c r="B1911" s="351"/>
      <c r="C1911" s="391"/>
      <c r="D1911" s="392"/>
      <c r="E1911" s="355"/>
      <c r="F1911" s="392"/>
      <c r="G1911" s="392"/>
      <c r="H1911" s="392"/>
      <c r="I1911" s="393"/>
      <c r="J1911" s="355"/>
    </row>
    <row r="1912" spans="1:10" ht="12.75">
      <c r="A1912" s="368" t="s">
        <v>1507</v>
      </c>
      <c r="B1912" s="369"/>
      <c r="C1912" s="369"/>
      <c r="D1912" s="369"/>
      <c r="E1912" s="369"/>
      <c r="F1912" s="369"/>
      <c r="G1912" s="369"/>
      <c r="H1912" s="369"/>
      <c r="I1912" s="369"/>
      <c r="J1912" s="370"/>
    </row>
    <row r="1913" spans="1:10">
      <c r="A1913" s="445" t="s">
        <v>1508</v>
      </c>
      <c r="B1913" s="384"/>
      <c r="C1913" s="384">
        <f>C1914+C1915</f>
        <v>42.6</v>
      </c>
      <c r="D1913" s="412">
        <f>C1913*0.22</f>
        <v>9.3719999999999999</v>
      </c>
      <c r="E1913" s="384">
        <v>20</v>
      </c>
      <c r="F1913" s="412">
        <f>C1913*0.9</f>
        <v>38.340000000000003</v>
      </c>
      <c r="G1913" s="412">
        <f>C1913+D1913+E1913+F1913</f>
        <v>110.31200000000001</v>
      </c>
      <c r="H1913" s="412">
        <f>G1913*0.35</f>
        <v>38.609200000000001</v>
      </c>
      <c r="I1913" s="413">
        <f>G1913+H1913</f>
        <v>148.9212</v>
      </c>
      <c r="J1913" s="349">
        <f>(I1913+I1916)*2</f>
        <v>344.20679999999999</v>
      </c>
    </row>
    <row r="1914" spans="1:10">
      <c r="A1914" s="386" t="s">
        <v>258</v>
      </c>
      <c r="B1914" s="386">
        <v>30</v>
      </c>
      <c r="C1914" s="386">
        <v>25.5</v>
      </c>
      <c r="D1914" s="392"/>
      <c r="E1914" s="386"/>
      <c r="F1914" s="392"/>
      <c r="G1914" s="392"/>
      <c r="H1914" s="392"/>
      <c r="I1914" s="446"/>
      <c r="J1914" s="380"/>
    </row>
    <row r="1915" spans="1:10">
      <c r="A1915" s="350" t="s">
        <v>337</v>
      </c>
      <c r="B1915" s="386">
        <v>30</v>
      </c>
      <c r="C1915" s="386">
        <v>17.100000000000001</v>
      </c>
      <c r="D1915" s="392"/>
      <c r="E1915" s="386"/>
      <c r="F1915" s="392"/>
      <c r="G1915" s="392"/>
      <c r="H1915" s="392"/>
      <c r="I1915" s="446"/>
      <c r="J1915" s="353"/>
    </row>
    <row r="1916" spans="1:10">
      <c r="A1916" s="350" t="s">
        <v>385</v>
      </c>
      <c r="B1916" s="351">
        <v>15</v>
      </c>
      <c r="C1916" s="391">
        <v>8.1</v>
      </c>
      <c r="D1916" s="392">
        <f>C1916*0.22</f>
        <v>1.782</v>
      </c>
      <c r="E1916" s="355"/>
      <c r="F1916" s="392">
        <f>C1916*0.9</f>
        <v>7.29</v>
      </c>
      <c r="G1916" s="392">
        <f>C1916+D1916+E1916+F1916</f>
        <v>17.172000000000001</v>
      </c>
      <c r="H1916" s="392">
        <f>G1916*0.35</f>
        <v>6.0102000000000002</v>
      </c>
      <c r="I1916" s="393">
        <f>G1916+H1916</f>
        <v>23.182200000000002</v>
      </c>
      <c r="J1916" s="353"/>
    </row>
    <row r="1917" spans="1:10">
      <c r="A1917" s="350"/>
      <c r="B1917" s="351"/>
      <c r="C1917" s="391"/>
      <c r="D1917" s="392"/>
      <c r="E1917" s="355"/>
      <c r="F1917" s="392"/>
      <c r="G1917" s="392"/>
      <c r="H1917" s="392"/>
      <c r="I1917" s="393"/>
      <c r="J1917" s="353"/>
    </row>
    <row r="1918" spans="1:10" ht="21">
      <c r="A1918" s="345" t="s">
        <v>1509</v>
      </c>
      <c r="B1918" s="346"/>
      <c r="C1918" s="384">
        <f>C1919+C1920</f>
        <v>13.9</v>
      </c>
      <c r="D1918" s="412">
        <f>C1918*0.22</f>
        <v>3.0580000000000003</v>
      </c>
      <c r="E1918" s="412">
        <v>25.68</v>
      </c>
      <c r="F1918" s="412">
        <f>C1918*0.9</f>
        <v>12.51</v>
      </c>
      <c r="G1918" s="412">
        <f>C1918+D1918+E1918+F1918</f>
        <v>55.148000000000003</v>
      </c>
      <c r="H1918" s="412">
        <f>G1918*0.35</f>
        <v>19.3018</v>
      </c>
      <c r="I1918" s="413">
        <f>+G1918+H1918</f>
        <v>74.44980000000001</v>
      </c>
      <c r="J1918" s="349">
        <f>I1918+I1921+I1922</f>
        <v>82.177200000000013</v>
      </c>
    </row>
    <row r="1919" spans="1:10">
      <c r="A1919" s="350" t="s">
        <v>258</v>
      </c>
      <c r="B1919" s="350">
        <v>10</v>
      </c>
      <c r="C1919" s="391">
        <v>7.4</v>
      </c>
      <c r="D1919" s="392"/>
      <c r="E1919" s="392"/>
      <c r="F1919" s="392"/>
      <c r="G1919" s="392"/>
      <c r="H1919" s="392"/>
      <c r="I1919" s="446"/>
      <c r="J1919" s="353"/>
    </row>
    <row r="1920" spans="1:10">
      <c r="A1920" s="350" t="s">
        <v>1139</v>
      </c>
      <c r="B1920" s="350">
        <v>10</v>
      </c>
      <c r="C1920" s="391">
        <v>6.5</v>
      </c>
      <c r="D1920" s="392"/>
      <c r="E1920" s="392"/>
      <c r="F1920" s="392"/>
      <c r="G1920" s="392"/>
      <c r="H1920" s="392"/>
      <c r="I1920" s="446"/>
      <c r="J1920" s="353"/>
    </row>
    <row r="1921" spans="1:29">
      <c r="A1921" s="350" t="s">
        <v>385</v>
      </c>
      <c r="B1921" s="351">
        <v>5</v>
      </c>
      <c r="C1921" s="391">
        <v>2.7</v>
      </c>
      <c r="D1921" s="392">
        <f>C1921*0.22</f>
        <v>0.59400000000000008</v>
      </c>
      <c r="E1921" s="355"/>
      <c r="F1921" s="392">
        <f>C1921*0.9</f>
        <v>2.4300000000000002</v>
      </c>
      <c r="G1921" s="392">
        <f>C1921+D1921+E1921+F1921</f>
        <v>5.7240000000000002</v>
      </c>
      <c r="H1921" s="392">
        <f>G1921*0.35</f>
        <v>2.0034000000000001</v>
      </c>
      <c r="I1921" s="393">
        <f>G1921+H1921</f>
        <v>7.7274000000000003</v>
      </c>
      <c r="J1921" s="353"/>
    </row>
    <row r="1922" spans="1:29">
      <c r="A1922" s="350"/>
      <c r="B1922" s="351"/>
      <c r="C1922" s="391"/>
      <c r="D1922" s="392"/>
      <c r="E1922" s="355"/>
      <c r="F1922" s="392"/>
      <c r="G1922" s="392"/>
      <c r="H1922" s="392"/>
      <c r="I1922" s="393"/>
      <c r="J1922" s="353"/>
    </row>
    <row r="1923" spans="1:29">
      <c r="A1923" s="345" t="s">
        <v>1510</v>
      </c>
      <c r="B1923" s="359"/>
      <c r="C1923" s="384">
        <f>C1924+C1925</f>
        <v>20.85</v>
      </c>
      <c r="D1923" s="412">
        <f>C1923*0.22</f>
        <v>4.5870000000000006</v>
      </c>
      <c r="E1923" s="412">
        <v>25.68</v>
      </c>
      <c r="F1923" s="412">
        <f>C1923*0.9</f>
        <v>18.765000000000001</v>
      </c>
      <c r="G1923" s="412">
        <f>C1923+D1923+E1923+F1923</f>
        <v>69.882000000000005</v>
      </c>
      <c r="H1923" s="412">
        <f>G1923*0.35</f>
        <v>24.4587</v>
      </c>
      <c r="I1923" s="413">
        <f>+G1923+H1923</f>
        <v>94.340699999999998</v>
      </c>
      <c r="J1923" s="349">
        <f>I1923+I1926+I1927</f>
        <v>105.15906</v>
      </c>
    </row>
    <row r="1924" spans="1:29">
      <c r="A1924" s="350" t="s">
        <v>258</v>
      </c>
      <c r="B1924" s="355">
        <v>15</v>
      </c>
      <c r="C1924" s="392">
        <v>11.1</v>
      </c>
      <c r="D1924" s="392"/>
      <c r="E1924" s="355"/>
      <c r="F1924" s="392"/>
      <c r="G1924" s="392"/>
      <c r="H1924" s="392"/>
      <c r="I1924" s="446"/>
      <c r="J1924" s="353"/>
    </row>
    <row r="1925" spans="1:29">
      <c r="A1925" s="350" t="s">
        <v>1139</v>
      </c>
      <c r="B1925" s="355">
        <v>15</v>
      </c>
      <c r="C1925" s="392">
        <v>9.75</v>
      </c>
      <c r="D1925" s="392"/>
      <c r="E1925" s="355"/>
      <c r="F1925" s="392"/>
      <c r="G1925" s="392"/>
      <c r="H1925" s="392"/>
      <c r="I1925" s="446"/>
      <c r="J1925" s="353"/>
    </row>
    <row r="1926" spans="1:29">
      <c r="A1926" s="350" t="s">
        <v>385</v>
      </c>
      <c r="B1926" s="351">
        <v>7</v>
      </c>
      <c r="C1926" s="391">
        <v>3.78</v>
      </c>
      <c r="D1926" s="392">
        <f>C1926*0.22</f>
        <v>0.83160000000000001</v>
      </c>
      <c r="E1926" s="355"/>
      <c r="F1926" s="392">
        <f>C1926*0.9</f>
        <v>3.4019999999999997</v>
      </c>
      <c r="G1926" s="392">
        <f>C1926+D1926+E1926+F1926</f>
        <v>8.0136000000000003</v>
      </c>
      <c r="H1926" s="392">
        <f>G1926*0.35</f>
        <v>2.8047599999999999</v>
      </c>
      <c r="I1926" s="393">
        <f>G1926+H1926</f>
        <v>10.81836</v>
      </c>
      <c r="J1926" s="353"/>
    </row>
    <row r="1927" spans="1:29">
      <c r="A1927" s="350"/>
      <c r="B1927" s="351"/>
      <c r="C1927" s="391"/>
      <c r="D1927" s="392"/>
      <c r="E1927" s="355"/>
      <c r="F1927" s="392"/>
      <c r="G1927" s="392"/>
      <c r="H1927" s="392"/>
      <c r="I1927" s="393"/>
      <c r="J1927" s="353"/>
    </row>
    <row r="1928" spans="1:29">
      <c r="A1928" s="345" t="s">
        <v>1511</v>
      </c>
      <c r="B1928" s="359"/>
      <c r="C1928" s="384">
        <f>C1929+C1930</f>
        <v>20.85</v>
      </c>
      <c r="D1928" s="412">
        <f>C1928*0.22</f>
        <v>4.5870000000000006</v>
      </c>
      <c r="E1928" s="412">
        <v>25.68</v>
      </c>
      <c r="F1928" s="412">
        <f>C1928*0.9</f>
        <v>18.765000000000001</v>
      </c>
      <c r="G1928" s="412">
        <f>C1928+D1928+E1928+F1928</f>
        <v>69.882000000000005</v>
      </c>
      <c r="H1928" s="412">
        <f>G1928*0.35</f>
        <v>24.4587</v>
      </c>
      <c r="I1928" s="413">
        <f>+G1928+H1928</f>
        <v>94.340699999999998</v>
      </c>
      <c r="J1928" s="349">
        <f>I1928+I1931+I1932</f>
        <v>105.15906</v>
      </c>
    </row>
    <row r="1929" spans="1:29">
      <c r="A1929" s="350" t="s">
        <v>258</v>
      </c>
      <c r="B1929" s="355">
        <v>15</v>
      </c>
      <c r="C1929" s="392">
        <v>11.1</v>
      </c>
      <c r="D1929" s="392"/>
      <c r="E1929" s="355"/>
      <c r="F1929" s="392"/>
      <c r="G1929" s="392"/>
      <c r="H1929" s="392"/>
      <c r="I1929" s="446"/>
      <c r="J1929" s="353"/>
    </row>
    <row r="1930" spans="1:29">
      <c r="A1930" s="350" t="s">
        <v>1139</v>
      </c>
      <c r="B1930" s="355">
        <v>15</v>
      </c>
      <c r="C1930" s="392">
        <v>9.75</v>
      </c>
      <c r="D1930" s="392"/>
      <c r="E1930" s="355"/>
      <c r="F1930" s="392"/>
      <c r="G1930" s="392"/>
      <c r="H1930" s="392"/>
      <c r="I1930" s="446"/>
      <c r="J1930" s="353"/>
    </row>
    <row r="1931" spans="1:29">
      <c r="A1931" s="350" t="s">
        <v>385</v>
      </c>
      <c r="B1931" s="351">
        <v>7</v>
      </c>
      <c r="C1931" s="391">
        <v>3.78</v>
      </c>
      <c r="D1931" s="392">
        <f>C1931*0.22</f>
        <v>0.83160000000000001</v>
      </c>
      <c r="E1931" s="355"/>
      <c r="F1931" s="392">
        <f>C1931*0.9</f>
        <v>3.4019999999999997</v>
      </c>
      <c r="G1931" s="392">
        <f>C1931+D1931+E1931+F1931</f>
        <v>8.0136000000000003</v>
      </c>
      <c r="H1931" s="392">
        <f>G1931*0.35</f>
        <v>2.8047599999999999</v>
      </c>
      <c r="I1931" s="393">
        <f>G1931+H1931</f>
        <v>10.81836</v>
      </c>
      <c r="J1931" s="353"/>
    </row>
    <row r="1932" spans="1:29">
      <c r="A1932" s="350"/>
      <c r="B1932" s="351"/>
      <c r="C1932" s="391"/>
      <c r="D1932" s="392"/>
      <c r="E1932" s="355"/>
      <c r="F1932" s="392"/>
      <c r="G1932" s="392"/>
      <c r="H1932" s="392"/>
      <c r="I1932" s="393"/>
      <c r="J1932" s="353"/>
    </row>
    <row r="1933" spans="1:29">
      <c r="A1933" s="345" t="s">
        <v>1512</v>
      </c>
      <c r="B1933" s="346"/>
      <c r="C1933" s="384">
        <f>C1934+C1935</f>
        <v>6.3000000000000007</v>
      </c>
      <c r="D1933" s="412">
        <f>C1933*0.22</f>
        <v>1.3860000000000001</v>
      </c>
      <c r="E1933" s="412">
        <v>25.68</v>
      </c>
      <c r="F1933" s="412">
        <f>C1933*0.9</f>
        <v>5.6700000000000008</v>
      </c>
      <c r="G1933" s="412">
        <f>C1933+D1933+E1933+F1933</f>
        <v>39.036000000000001</v>
      </c>
      <c r="H1933" s="412">
        <f>G1933*0.35</f>
        <v>13.662599999999999</v>
      </c>
      <c r="I1933" s="413">
        <f>+G1933+H1933</f>
        <v>52.698599999999999</v>
      </c>
      <c r="J1933" s="349">
        <f>I1933+I1936+I1937</f>
        <v>58.880519999999997</v>
      </c>
    </row>
    <row r="1934" spans="1:29">
      <c r="A1934" s="350" t="s">
        <v>258</v>
      </c>
      <c r="B1934" s="350">
        <v>5</v>
      </c>
      <c r="C1934" s="391">
        <v>3.7</v>
      </c>
      <c r="D1934" s="392"/>
      <c r="E1934" s="392"/>
      <c r="F1934" s="392"/>
      <c r="G1934" s="392"/>
      <c r="H1934" s="392"/>
      <c r="I1934" s="446"/>
      <c r="J1934" s="353"/>
      <c r="K1934" s="371"/>
      <c r="L1934" s="371"/>
      <c r="M1934" s="371"/>
      <c r="N1934" s="371"/>
      <c r="O1934" s="371"/>
      <c r="P1934" s="371"/>
      <c r="Q1934" s="371"/>
      <c r="R1934" s="371"/>
      <c r="S1934" s="371"/>
      <c r="T1934" s="371"/>
      <c r="U1934" s="371"/>
      <c r="V1934" s="371"/>
      <c r="W1934" s="371"/>
      <c r="X1934" s="371"/>
      <c r="Y1934" s="371"/>
      <c r="Z1934" s="371"/>
      <c r="AA1934" s="371"/>
      <c r="AB1934" s="371"/>
      <c r="AC1934" s="371"/>
    </row>
    <row r="1935" spans="1:29">
      <c r="A1935" s="350" t="s">
        <v>1139</v>
      </c>
      <c r="B1935" s="350">
        <v>4</v>
      </c>
      <c r="C1935" s="391">
        <v>2.6</v>
      </c>
      <c r="D1935" s="392"/>
      <c r="E1935" s="392"/>
      <c r="F1935" s="392"/>
      <c r="G1935" s="392"/>
      <c r="H1935" s="392"/>
      <c r="I1935" s="446"/>
      <c r="J1935" s="353"/>
    </row>
    <row r="1936" spans="1:29">
      <c r="A1936" s="350" t="s">
        <v>385</v>
      </c>
      <c r="B1936" s="351">
        <v>4</v>
      </c>
      <c r="C1936" s="391">
        <v>2.16</v>
      </c>
      <c r="D1936" s="392">
        <f>C1936*0.22</f>
        <v>0.47520000000000001</v>
      </c>
      <c r="E1936" s="355"/>
      <c r="F1936" s="392">
        <f>C1936*0.9</f>
        <v>1.9440000000000002</v>
      </c>
      <c r="G1936" s="392">
        <f>C1936+D1936+E1936+F1936</f>
        <v>4.5792000000000002</v>
      </c>
      <c r="H1936" s="392">
        <f>G1936*0.35</f>
        <v>1.6027199999999999</v>
      </c>
      <c r="I1936" s="393">
        <f>G1936+H1936</f>
        <v>6.1819199999999999</v>
      </c>
      <c r="J1936" s="353"/>
    </row>
    <row r="1937" spans="1:10">
      <c r="A1937" s="350"/>
      <c r="B1937" s="351"/>
      <c r="C1937" s="391"/>
      <c r="D1937" s="392"/>
      <c r="E1937" s="355"/>
      <c r="F1937" s="392"/>
      <c r="G1937" s="392"/>
      <c r="H1937" s="392"/>
      <c r="I1937" s="393"/>
      <c r="J1937" s="353"/>
    </row>
    <row r="1938" spans="1:10">
      <c r="A1938" s="358" t="s">
        <v>1513</v>
      </c>
      <c r="B1938" s="359"/>
      <c r="C1938" s="384">
        <f>C1939+C1940</f>
        <v>20.85</v>
      </c>
      <c r="D1938" s="412">
        <f>C1938*0.22</f>
        <v>4.5870000000000006</v>
      </c>
      <c r="E1938" s="412">
        <v>25.68</v>
      </c>
      <c r="F1938" s="412">
        <f>C1938*0.9</f>
        <v>18.765000000000001</v>
      </c>
      <c r="G1938" s="412">
        <f>C1938+D1938+E1938+F1938</f>
        <v>69.882000000000005</v>
      </c>
      <c r="H1938" s="412">
        <f>G1938*0.35</f>
        <v>24.4587</v>
      </c>
      <c r="I1938" s="413">
        <f>+G1938+H1938</f>
        <v>94.340699999999998</v>
      </c>
      <c r="J1938" s="349">
        <f>I1938+I1941+I1942</f>
        <v>105.15906</v>
      </c>
    </row>
    <row r="1939" spans="1:10">
      <c r="A1939" s="355" t="s">
        <v>258</v>
      </c>
      <c r="B1939" s="355">
        <v>15</v>
      </c>
      <c r="C1939" s="392">
        <v>11.1</v>
      </c>
      <c r="D1939" s="392"/>
      <c r="E1939" s="392"/>
      <c r="F1939" s="392"/>
      <c r="G1939" s="392"/>
      <c r="H1939" s="392"/>
      <c r="I1939" s="446"/>
      <c r="J1939" s="353"/>
    </row>
    <row r="1940" spans="1:10">
      <c r="A1940" s="355" t="s">
        <v>1139</v>
      </c>
      <c r="B1940" s="355">
        <v>15</v>
      </c>
      <c r="C1940" s="392">
        <v>9.75</v>
      </c>
      <c r="D1940" s="392"/>
      <c r="E1940" s="392"/>
      <c r="F1940" s="392"/>
      <c r="G1940" s="392"/>
      <c r="H1940" s="392"/>
      <c r="I1940" s="446"/>
      <c r="J1940" s="353"/>
    </row>
    <row r="1941" spans="1:10">
      <c r="A1941" s="350" t="s">
        <v>385</v>
      </c>
      <c r="B1941" s="351">
        <v>7</v>
      </c>
      <c r="C1941" s="391">
        <v>3.78</v>
      </c>
      <c r="D1941" s="392">
        <f>C1941*0.22</f>
        <v>0.83160000000000001</v>
      </c>
      <c r="E1941" s="355"/>
      <c r="F1941" s="392">
        <f>C1941*0.9</f>
        <v>3.4019999999999997</v>
      </c>
      <c r="G1941" s="392">
        <f>C1941+D1941+E1941+F1941</f>
        <v>8.0136000000000003</v>
      </c>
      <c r="H1941" s="392">
        <f>G1941*0.35</f>
        <v>2.8047599999999999</v>
      </c>
      <c r="I1941" s="393">
        <f>G1941+H1941</f>
        <v>10.81836</v>
      </c>
      <c r="J1941" s="353"/>
    </row>
    <row r="1942" spans="1:10">
      <c r="A1942" s="350"/>
      <c r="B1942" s="351"/>
      <c r="C1942" s="391"/>
      <c r="D1942" s="392"/>
      <c r="E1942" s="355"/>
      <c r="F1942" s="392"/>
      <c r="G1942" s="392"/>
      <c r="H1942" s="392"/>
      <c r="I1942" s="393"/>
      <c r="J1942" s="353"/>
    </row>
    <row r="1943" spans="1:10">
      <c r="A1943" s="373" t="s">
        <v>1514</v>
      </c>
      <c r="B1943" s="359"/>
      <c r="C1943" s="384">
        <f>C1944+C1945</f>
        <v>20.85</v>
      </c>
      <c r="D1943" s="412">
        <f>C1943*0.22</f>
        <v>4.5870000000000006</v>
      </c>
      <c r="E1943" s="412">
        <v>25.68</v>
      </c>
      <c r="F1943" s="412">
        <f>C1943*0.9</f>
        <v>18.765000000000001</v>
      </c>
      <c r="G1943" s="412">
        <f>C1943+D1943+E1943+F1943</f>
        <v>69.882000000000005</v>
      </c>
      <c r="H1943" s="412">
        <f>G1943*0.35</f>
        <v>24.4587</v>
      </c>
      <c r="I1943" s="413">
        <f>+G1943+H1943</f>
        <v>94.340699999999998</v>
      </c>
      <c r="J1943" s="349">
        <f>I1943+I1946+I1947</f>
        <v>105.15906</v>
      </c>
    </row>
    <row r="1944" spans="1:10">
      <c r="A1944" s="355" t="s">
        <v>258</v>
      </c>
      <c r="B1944" s="355">
        <v>15</v>
      </c>
      <c r="C1944" s="392">
        <v>11.1</v>
      </c>
      <c r="D1944" s="392"/>
      <c r="E1944" s="355"/>
      <c r="F1944" s="392"/>
      <c r="G1944" s="392"/>
      <c r="H1944" s="392"/>
      <c r="I1944" s="446"/>
      <c r="J1944" s="353"/>
    </row>
    <row r="1945" spans="1:10">
      <c r="A1945" s="355" t="s">
        <v>1139</v>
      </c>
      <c r="B1945" s="355">
        <v>15</v>
      </c>
      <c r="C1945" s="392">
        <v>9.75</v>
      </c>
      <c r="D1945" s="392"/>
      <c r="E1945" s="355"/>
      <c r="F1945" s="392"/>
      <c r="G1945" s="392"/>
      <c r="H1945" s="392"/>
      <c r="I1945" s="446"/>
      <c r="J1945" s="353"/>
    </row>
    <row r="1946" spans="1:10">
      <c r="A1946" s="350" t="s">
        <v>385</v>
      </c>
      <c r="B1946" s="351">
        <v>7</v>
      </c>
      <c r="C1946" s="391">
        <v>3.78</v>
      </c>
      <c r="D1946" s="392">
        <f>C1946*0.22</f>
        <v>0.83160000000000001</v>
      </c>
      <c r="E1946" s="355"/>
      <c r="F1946" s="392">
        <f>C1946*0.9</f>
        <v>3.4019999999999997</v>
      </c>
      <c r="G1946" s="392">
        <f>C1946+D1946+E1946+F1946</f>
        <v>8.0136000000000003</v>
      </c>
      <c r="H1946" s="392">
        <f>G1946*0.35</f>
        <v>2.8047599999999999</v>
      </c>
      <c r="I1946" s="393">
        <f>G1946+H1946</f>
        <v>10.81836</v>
      </c>
      <c r="J1946" s="353"/>
    </row>
    <row r="1947" spans="1:10">
      <c r="A1947" s="350"/>
      <c r="B1947" s="351"/>
      <c r="C1947" s="391"/>
      <c r="D1947" s="392"/>
      <c r="E1947" s="355"/>
      <c r="F1947" s="392"/>
      <c r="G1947" s="392"/>
      <c r="H1947" s="392"/>
      <c r="I1947" s="393"/>
      <c r="J1947" s="353"/>
    </row>
    <row r="1948" spans="1:10" ht="21.75">
      <c r="A1948" s="373" t="s">
        <v>1515</v>
      </c>
      <c r="B1948" s="359"/>
      <c r="C1948" s="384">
        <f>C1949+C1950</f>
        <v>20.85</v>
      </c>
      <c r="D1948" s="412">
        <f>C1948*0.22</f>
        <v>4.5870000000000006</v>
      </c>
      <c r="E1948" s="412">
        <v>25.68</v>
      </c>
      <c r="F1948" s="412">
        <f>C1948*0.9</f>
        <v>18.765000000000001</v>
      </c>
      <c r="G1948" s="412">
        <f>C1948+D1948+E1948+F1948</f>
        <v>69.882000000000005</v>
      </c>
      <c r="H1948" s="412">
        <f>G1948*0.35</f>
        <v>24.4587</v>
      </c>
      <c r="I1948" s="413">
        <f>+G1948+H1948</f>
        <v>94.340699999999998</v>
      </c>
      <c r="J1948" s="349">
        <f>I1948+I1951+I1952</f>
        <v>105.15906</v>
      </c>
    </row>
    <row r="1949" spans="1:10">
      <c r="A1949" s="355" t="s">
        <v>258</v>
      </c>
      <c r="B1949" s="355">
        <v>15</v>
      </c>
      <c r="C1949" s="392">
        <v>11.1</v>
      </c>
      <c r="D1949" s="392"/>
      <c r="E1949" s="392"/>
      <c r="F1949" s="392"/>
      <c r="G1949" s="392"/>
      <c r="H1949" s="392"/>
      <c r="I1949" s="446"/>
      <c r="J1949" s="353"/>
    </row>
    <row r="1950" spans="1:10">
      <c r="A1950" s="355" t="s">
        <v>1139</v>
      </c>
      <c r="B1950" s="355">
        <v>15</v>
      </c>
      <c r="C1950" s="392">
        <v>9.75</v>
      </c>
      <c r="D1950" s="392"/>
      <c r="E1950" s="392"/>
      <c r="F1950" s="392"/>
      <c r="G1950" s="392"/>
      <c r="H1950" s="392"/>
      <c r="I1950" s="446"/>
      <c r="J1950" s="353"/>
    </row>
    <row r="1951" spans="1:10">
      <c r="A1951" s="350" t="s">
        <v>385</v>
      </c>
      <c r="B1951" s="351">
        <v>7</v>
      </c>
      <c r="C1951" s="391">
        <v>3.78</v>
      </c>
      <c r="D1951" s="392">
        <f>C1951*0.22</f>
        <v>0.83160000000000001</v>
      </c>
      <c r="E1951" s="355"/>
      <c r="F1951" s="392">
        <f>C1951*0.9</f>
        <v>3.4019999999999997</v>
      </c>
      <c r="G1951" s="392">
        <f>C1951+D1951+E1951+F1951</f>
        <v>8.0136000000000003</v>
      </c>
      <c r="H1951" s="392">
        <f>G1951*0.35</f>
        <v>2.8047599999999999</v>
      </c>
      <c r="I1951" s="393">
        <f>G1951+H1951</f>
        <v>10.81836</v>
      </c>
      <c r="J1951" s="353"/>
    </row>
    <row r="1952" spans="1:10">
      <c r="A1952" s="350"/>
      <c r="B1952" s="351"/>
      <c r="C1952" s="391"/>
      <c r="D1952" s="392"/>
      <c r="E1952" s="424"/>
      <c r="F1952" s="392"/>
      <c r="G1952" s="392"/>
      <c r="H1952" s="392"/>
      <c r="I1952" s="393"/>
      <c r="J1952" s="353"/>
    </row>
    <row r="1953" spans="1:10" ht="21">
      <c r="A1953" s="345" t="s">
        <v>1516</v>
      </c>
      <c r="B1953" s="346"/>
      <c r="C1953" s="384">
        <f>C1954+C1955</f>
        <v>27.8</v>
      </c>
      <c r="D1953" s="412">
        <f>C1953*0.22</f>
        <v>6.1160000000000005</v>
      </c>
      <c r="E1953" s="412">
        <v>25.68</v>
      </c>
      <c r="F1953" s="412">
        <f>C1953*0.9</f>
        <v>25.02</v>
      </c>
      <c r="G1953" s="412">
        <f>C1953+D1953+E1953+F1953</f>
        <v>84.616</v>
      </c>
      <c r="H1953" s="412">
        <f>G1953*0.35</f>
        <v>29.615599999999997</v>
      </c>
      <c r="I1953" s="413">
        <f>+G1953+H1953</f>
        <v>114.2316</v>
      </c>
      <c r="J1953" s="349">
        <f>I1953+I1956+I1957</f>
        <v>129.68639999999999</v>
      </c>
    </row>
    <row r="1954" spans="1:10">
      <c r="A1954" s="350" t="s">
        <v>258</v>
      </c>
      <c r="B1954" s="350">
        <v>20</v>
      </c>
      <c r="C1954" s="391">
        <v>14.8</v>
      </c>
      <c r="D1954" s="392"/>
      <c r="E1954" s="392"/>
      <c r="F1954" s="392"/>
      <c r="G1954" s="392"/>
      <c r="H1954" s="392"/>
      <c r="I1954" s="446"/>
      <c r="J1954" s="353"/>
    </row>
    <row r="1955" spans="1:10">
      <c r="A1955" s="350" t="s">
        <v>1139</v>
      </c>
      <c r="B1955" s="350">
        <v>20</v>
      </c>
      <c r="C1955" s="391">
        <v>13</v>
      </c>
      <c r="D1955" s="392"/>
      <c r="E1955" s="392"/>
      <c r="F1955" s="392"/>
      <c r="G1955" s="392"/>
      <c r="H1955" s="392"/>
      <c r="I1955" s="446"/>
      <c r="J1955" s="353"/>
    </row>
    <row r="1956" spans="1:10">
      <c r="A1956" s="350" t="s">
        <v>385</v>
      </c>
      <c r="B1956" s="351">
        <v>10</v>
      </c>
      <c r="C1956" s="391">
        <v>5.4</v>
      </c>
      <c r="D1956" s="392">
        <f>C1956*0.22</f>
        <v>1.1880000000000002</v>
      </c>
      <c r="E1956" s="355"/>
      <c r="F1956" s="392">
        <f>C1956*0.9</f>
        <v>4.8600000000000003</v>
      </c>
      <c r="G1956" s="392">
        <f>C1956+D1956+E1956+F1956</f>
        <v>11.448</v>
      </c>
      <c r="H1956" s="392">
        <f>G1956*0.35</f>
        <v>4.0068000000000001</v>
      </c>
      <c r="I1956" s="393">
        <f>G1956+H1956</f>
        <v>15.454800000000001</v>
      </c>
      <c r="J1956" s="353"/>
    </row>
    <row r="1957" spans="1:10">
      <c r="A1957" s="350"/>
      <c r="B1957" s="351"/>
      <c r="C1957" s="391"/>
      <c r="D1957" s="392"/>
      <c r="E1957" s="355"/>
      <c r="F1957" s="392"/>
      <c r="G1957" s="392"/>
      <c r="H1957" s="392"/>
      <c r="I1957" s="393"/>
      <c r="J1957" s="353"/>
    </row>
    <row r="1958" spans="1:10">
      <c r="A1958" s="345" t="s">
        <v>1517</v>
      </c>
      <c r="B1958" s="346"/>
      <c r="C1958" s="384">
        <f>C1959+C1960</f>
        <v>27.8</v>
      </c>
      <c r="D1958" s="412">
        <f>C1958*0.22</f>
        <v>6.1160000000000005</v>
      </c>
      <c r="E1958" s="412">
        <v>25.68</v>
      </c>
      <c r="F1958" s="412">
        <f>C1958*0.9</f>
        <v>25.02</v>
      </c>
      <c r="G1958" s="412">
        <f>C1958+D1958+E1958+F1958</f>
        <v>84.616</v>
      </c>
      <c r="H1958" s="412">
        <f>G1958*0.35</f>
        <v>29.615599999999997</v>
      </c>
      <c r="I1958" s="413">
        <f>+G1958+H1958</f>
        <v>114.2316</v>
      </c>
      <c r="J1958" s="349">
        <f>I1958+I1961+I1962</f>
        <v>129.68639999999999</v>
      </c>
    </row>
    <row r="1959" spans="1:10">
      <c r="A1959" s="350" t="s">
        <v>258</v>
      </c>
      <c r="B1959" s="350">
        <v>20</v>
      </c>
      <c r="C1959" s="391">
        <v>14.8</v>
      </c>
      <c r="D1959" s="392"/>
      <c r="E1959" s="392"/>
      <c r="F1959" s="392"/>
      <c r="G1959" s="392"/>
      <c r="H1959" s="392"/>
      <c r="I1959" s="393"/>
      <c r="J1959" s="353"/>
    </row>
    <row r="1960" spans="1:10">
      <c r="A1960" s="350" t="s">
        <v>1139</v>
      </c>
      <c r="B1960" s="350">
        <v>20</v>
      </c>
      <c r="C1960" s="391">
        <v>13</v>
      </c>
      <c r="D1960" s="392"/>
      <c r="E1960" s="392"/>
      <c r="F1960" s="392"/>
      <c r="G1960" s="392"/>
      <c r="H1960" s="392"/>
      <c r="I1960" s="393"/>
      <c r="J1960" s="353"/>
    </row>
    <row r="1961" spans="1:10">
      <c r="A1961" s="350" t="s">
        <v>385</v>
      </c>
      <c r="B1961" s="351">
        <v>10</v>
      </c>
      <c r="C1961" s="391">
        <v>5.4</v>
      </c>
      <c r="D1961" s="392">
        <f>C1961*0.22</f>
        <v>1.1880000000000002</v>
      </c>
      <c r="E1961" s="355"/>
      <c r="F1961" s="392">
        <f>C1961*0.9</f>
        <v>4.8600000000000003</v>
      </c>
      <c r="G1961" s="392">
        <f>C1961+D1961+E1961+F1961</f>
        <v>11.448</v>
      </c>
      <c r="H1961" s="392">
        <f>G1961*0.35</f>
        <v>4.0068000000000001</v>
      </c>
      <c r="I1961" s="393">
        <f>G1961+H1961</f>
        <v>15.454800000000001</v>
      </c>
      <c r="J1961" s="353"/>
    </row>
    <row r="1962" spans="1:10">
      <c r="A1962" s="350"/>
      <c r="B1962" s="351"/>
      <c r="C1962" s="391"/>
      <c r="D1962" s="392"/>
      <c r="E1962" s="355"/>
      <c r="F1962" s="392"/>
      <c r="G1962" s="392"/>
      <c r="H1962" s="392"/>
      <c r="I1962" s="393"/>
      <c r="J1962" s="353"/>
    </row>
    <row r="1963" spans="1:10">
      <c r="A1963" s="345" t="s">
        <v>1518</v>
      </c>
      <c r="B1963" s="346"/>
      <c r="C1963" s="384">
        <f>C1964+C1965</f>
        <v>35.22</v>
      </c>
      <c r="D1963" s="412">
        <f>C1963*0.22</f>
        <v>7.7484000000000002</v>
      </c>
      <c r="E1963" s="412">
        <v>25.68</v>
      </c>
      <c r="F1963" s="412">
        <f>C1963*0.9</f>
        <v>31.698</v>
      </c>
      <c r="G1963" s="412">
        <f>C1963+D1963+E1963+F1963</f>
        <v>100.34640000000002</v>
      </c>
      <c r="H1963" s="412">
        <f>G1963*0.35</f>
        <v>35.12124</v>
      </c>
      <c r="I1963" s="413">
        <f>G1963+H1963</f>
        <v>135.46764000000002</v>
      </c>
      <c r="J1963" s="349">
        <f>I1963+I1966+I1967</f>
        <v>158.64984000000001</v>
      </c>
    </row>
    <row r="1964" spans="1:10">
      <c r="A1964" s="350" t="s">
        <v>258</v>
      </c>
      <c r="B1964" s="350">
        <v>30</v>
      </c>
      <c r="C1964" s="391">
        <v>22.22</v>
      </c>
      <c r="D1964" s="392"/>
      <c r="E1964" s="392"/>
      <c r="F1964" s="392"/>
      <c r="G1964" s="392"/>
      <c r="H1964" s="392"/>
      <c r="I1964" s="393"/>
      <c r="J1964" s="353"/>
    </row>
    <row r="1965" spans="1:10">
      <c r="A1965" s="350" t="s">
        <v>1139</v>
      </c>
      <c r="B1965" s="350">
        <v>20</v>
      </c>
      <c r="C1965" s="391">
        <v>13</v>
      </c>
      <c r="D1965" s="392"/>
      <c r="E1965" s="392"/>
      <c r="F1965" s="392"/>
      <c r="G1965" s="392"/>
      <c r="H1965" s="392"/>
      <c r="I1965" s="393"/>
      <c r="J1965" s="353"/>
    </row>
    <row r="1966" spans="1:10">
      <c r="A1966" s="350" t="s">
        <v>385</v>
      </c>
      <c r="B1966" s="351">
        <v>15</v>
      </c>
      <c r="C1966" s="391">
        <v>8.1</v>
      </c>
      <c r="D1966" s="392">
        <f>C1966*0.22</f>
        <v>1.782</v>
      </c>
      <c r="E1966" s="355"/>
      <c r="F1966" s="392">
        <f>C1966*0.9</f>
        <v>7.29</v>
      </c>
      <c r="G1966" s="392">
        <f>C1966+D1966+E1966+F1966</f>
        <v>17.172000000000001</v>
      </c>
      <c r="H1966" s="392">
        <f>G1966*0.35</f>
        <v>6.0102000000000002</v>
      </c>
      <c r="I1966" s="393">
        <f>G1966+H1966</f>
        <v>23.182200000000002</v>
      </c>
      <c r="J1966" s="353"/>
    </row>
    <row r="1967" spans="1:10">
      <c r="A1967" s="350"/>
      <c r="B1967" s="351"/>
      <c r="C1967" s="391"/>
      <c r="D1967" s="392"/>
      <c r="E1967" s="355"/>
      <c r="F1967" s="392"/>
      <c r="G1967" s="392"/>
      <c r="H1967" s="392"/>
      <c r="I1967" s="393"/>
      <c r="J1967" s="353"/>
    </row>
    <row r="1968" spans="1:10">
      <c r="A1968" s="383" t="s">
        <v>1519</v>
      </c>
      <c r="B1968" s="384"/>
      <c r="C1968" s="384">
        <f>C1969+C1970</f>
        <v>20.85</v>
      </c>
      <c r="D1968" s="384">
        <v>3.45</v>
      </c>
      <c r="E1968" s="412">
        <v>25.68</v>
      </c>
      <c r="F1968" s="412">
        <f>C1968*0.9</f>
        <v>18.765000000000001</v>
      </c>
      <c r="G1968" s="412">
        <f>F1968+E1968+D1968+C1968</f>
        <v>68.745000000000005</v>
      </c>
      <c r="H1968" s="412">
        <f>G1968*0.35</f>
        <v>24.060749999999999</v>
      </c>
      <c r="I1968" s="413">
        <f>SUM(F1968:H1968)</f>
        <v>111.57075</v>
      </c>
      <c r="J1968" s="349">
        <f>I1968+I1971+I1972</f>
        <v>122.38911</v>
      </c>
    </row>
    <row r="1969" spans="1:17">
      <c r="A1969" s="385" t="s">
        <v>258</v>
      </c>
      <c r="B1969" s="423">
        <v>15</v>
      </c>
      <c r="C1969" s="423">
        <v>11.1</v>
      </c>
      <c r="D1969" s="423"/>
      <c r="E1969" s="423"/>
      <c r="F1969" s="424"/>
      <c r="G1969" s="424"/>
      <c r="H1969" s="424"/>
      <c r="I1969" s="425"/>
      <c r="J1969" s="380"/>
      <c r="K1969" s="371"/>
      <c r="L1969" s="371"/>
      <c r="M1969" s="371"/>
      <c r="N1969" s="371"/>
      <c r="O1969" s="371"/>
      <c r="P1969" s="371"/>
      <c r="Q1969" s="371"/>
    </row>
    <row r="1970" spans="1:17">
      <c r="A1970" s="350" t="s">
        <v>1139</v>
      </c>
      <c r="B1970" s="386">
        <v>15</v>
      </c>
      <c r="C1970" s="386">
        <v>9.75</v>
      </c>
      <c r="D1970" s="386"/>
      <c r="E1970" s="386"/>
      <c r="F1970" s="392"/>
      <c r="G1970" s="392"/>
      <c r="H1970" s="392"/>
      <c r="I1970" s="457"/>
      <c r="J1970" s="353"/>
      <c r="K1970" s="371"/>
      <c r="L1970" s="371"/>
      <c r="M1970" s="371"/>
      <c r="N1970" s="371"/>
      <c r="O1970" s="371"/>
      <c r="P1970" s="371"/>
      <c r="Q1970" s="371"/>
    </row>
    <row r="1971" spans="1:17">
      <c r="A1971" s="350" t="s">
        <v>385</v>
      </c>
      <c r="B1971" s="351">
        <v>7</v>
      </c>
      <c r="C1971" s="391">
        <v>3.78</v>
      </c>
      <c r="D1971" s="392">
        <f>C1971*0.22</f>
        <v>0.83160000000000001</v>
      </c>
      <c r="E1971" s="355"/>
      <c r="F1971" s="392">
        <f>C1971*0.9</f>
        <v>3.4019999999999997</v>
      </c>
      <c r="G1971" s="392">
        <f>C1971+D1971+E1971+F1971</f>
        <v>8.0136000000000003</v>
      </c>
      <c r="H1971" s="392">
        <f>G1971*0.35</f>
        <v>2.8047599999999999</v>
      </c>
      <c r="I1971" s="393">
        <f>G1971+H1971</f>
        <v>10.81836</v>
      </c>
      <c r="J1971" s="353"/>
    </row>
    <row r="1972" spans="1:17">
      <c r="A1972" s="350"/>
      <c r="B1972" s="351"/>
      <c r="C1972" s="391"/>
      <c r="D1972" s="392"/>
      <c r="E1972" s="355"/>
      <c r="F1972" s="392"/>
      <c r="G1972" s="392"/>
      <c r="H1972" s="392"/>
      <c r="I1972" s="393"/>
      <c r="J1972" s="353"/>
    </row>
    <row r="1973" spans="1:17">
      <c r="A1973" s="383" t="s">
        <v>1520</v>
      </c>
      <c r="B1973" s="384"/>
      <c r="C1973" s="384">
        <f>C1974+C1975</f>
        <v>27.8</v>
      </c>
      <c r="D1973" s="384">
        <v>5.0599999999999996</v>
      </c>
      <c r="E1973" s="412">
        <v>25.68</v>
      </c>
      <c r="F1973" s="412">
        <f>C1973*0.9</f>
        <v>25.02</v>
      </c>
      <c r="G1973" s="412">
        <f>F1973+E1973+D1973+C1973</f>
        <v>83.56</v>
      </c>
      <c r="H1973" s="412">
        <f>G1973*0.35</f>
        <v>29.245999999999999</v>
      </c>
      <c r="I1973" s="413">
        <f>SUM(F1973:H1973)</f>
        <v>137.82599999999999</v>
      </c>
      <c r="J1973" s="349">
        <f>I1973+I1976+I1977</f>
        <v>153.2808</v>
      </c>
    </row>
    <row r="1974" spans="1:17">
      <c r="A1974" s="385" t="s">
        <v>258</v>
      </c>
      <c r="B1974" s="423">
        <v>20</v>
      </c>
      <c r="C1974" s="423">
        <v>14.8</v>
      </c>
      <c r="D1974" s="423"/>
      <c r="E1974" s="423"/>
      <c r="F1974" s="424"/>
      <c r="G1974" s="424"/>
      <c r="H1974" s="424"/>
      <c r="I1974" s="425"/>
      <c r="J1974" s="380"/>
    </row>
    <row r="1975" spans="1:17">
      <c r="A1975" s="350" t="s">
        <v>1139</v>
      </c>
      <c r="B1975" s="386">
        <v>20</v>
      </c>
      <c r="C1975" s="386">
        <v>13</v>
      </c>
      <c r="D1975" s="386"/>
      <c r="E1975" s="386"/>
      <c r="F1975" s="392"/>
      <c r="G1975" s="392"/>
      <c r="H1975" s="392"/>
      <c r="I1975" s="446"/>
      <c r="J1975" s="353"/>
      <c r="K1975" s="371"/>
      <c r="L1975" s="371"/>
      <c r="M1975" s="371"/>
      <c r="N1975" s="371"/>
      <c r="O1975" s="371"/>
      <c r="P1975" s="371"/>
    </row>
    <row r="1976" spans="1:17">
      <c r="A1976" s="350" t="s">
        <v>385</v>
      </c>
      <c r="B1976" s="351">
        <v>10</v>
      </c>
      <c r="C1976" s="391">
        <v>5.4</v>
      </c>
      <c r="D1976" s="392">
        <f>C1976*0.22</f>
        <v>1.1880000000000002</v>
      </c>
      <c r="E1976" s="355"/>
      <c r="F1976" s="392">
        <f>C1976*0.9</f>
        <v>4.8600000000000003</v>
      </c>
      <c r="G1976" s="392">
        <f>C1976+D1976+E1976+F1976</f>
        <v>11.448</v>
      </c>
      <c r="H1976" s="392">
        <f>G1976*0.35</f>
        <v>4.0068000000000001</v>
      </c>
      <c r="I1976" s="393">
        <f>G1976+H1976</f>
        <v>15.454800000000001</v>
      </c>
      <c r="J1976" s="353"/>
      <c r="K1976" s="371"/>
      <c r="L1976" s="371"/>
      <c r="M1976" s="371"/>
      <c r="N1976" s="371"/>
      <c r="O1976" s="371"/>
      <c r="P1976" s="371"/>
    </row>
    <row r="1977" spans="1:17">
      <c r="A1977" s="350"/>
      <c r="B1977" s="351"/>
      <c r="C1977" s="391"/>
      <c r="D1977" s="392"/>
      <c r="E1977" s="355"/>
      <c r="F1977" s="392"/>
      <c r="G1977" s="392"/>
      <c r="H1977" s="392"/>
      <c r="I1977" s="393"/>
      <c r="J1977" s="353"/>
    </row>
    <row r="1978" spans="1:17" ht="21.75">
      <c r="A1978" s="383" t="s">
        <v>1521</v>
      </c>
      <c r="B1978" s="384"/>
      <c r="C1978" s="384">
        <f>C1979+C1980</f>
        <v>20.85</v>
      </c>
      <c r="D1978" s="384">
        <v>3.45</v>
      </c>
      <c r="E1978" s="412">
        <v>25.68</v>
      </c>
      <c r="F1978" s="412">
        <f>C1978*0.9</f>
        <v>18.765000000000001</v>
      </c>
      <c r="G1978" s="412">
        <f>F1978+E1978+D1978+C1978</f>
        <v>68.745000000000005</v>
      </c>
      <c r="H1978" s="412">
        <f>G1978*0.35</f>
        <v>24.060749999999999</v>
      </c>
      <c r="I1978" s="413">
        <f>SUM(F1978:H1978)</f>
        <v>111.57075</v>
      </c>
      <c r="J1978" s="349">
        <f>I1978+I1981+I1982</f>
        <v>122.38911</v>
      </c>
    </row>
    <row r="1979" spans="1:17">
      <c r="A1979" s="385" t="s">
        <v>258</v>
      </c>
      <c r="B1979" s="423">
        <v>15</v>
      </c>
      <c r="C1979" s="423">
        <v>11.1</v>
      </c>
      <c r="D1979" s="423"/>
      <c r="E1979" s="423"/>
      <c r="F1979" s="424"/>
      <c r="G1979" s="424"/>
      <c r="H1979" s="424"/>
      <c r="I1979" s="425"/>
      <c r="J1979" s="380"/>
    </row>
    <row r="1980" spans="1:17">
      <c r="A1980" s="350" t="s">
        <v>1139</v>
      </c>
      <c r="B1980" s="386">
        <v>15</v>
      </c>
      <c r="C1980" s="386">
        <v>9.75</v>
      </c>
      <c r="D1980" s="386"/>
      <c r="E1980" s="386"/>
      <c r="F1980" s="392"/>
      <c r="G1980" s="392"/>
      <c r="H1980" s="392"/>
      <c r="I1980" s="457"/>
      <c r="J1980" s="353"/>
    </row>
    <row r="1981" spans="1:17">
      <c r="A1981" s="350" t="s">
        <v>385</v>
      </c>
      <c r="B1981" s="351">
        <v>7</v>
      </c>
      <c r="C1981" s="391">
        <v>3.78</v>
      </c>
      <c r="D1981" s="392">
        <f>C1981*0.22</f>
        <v>0.83160000000000001</v>
      </c>
      <c r="E1981" s="355"/>
      <c r="F1981" s="392">
        <f>C1981*0.9</f>
        <v>3.4019999999999997</v>
      </c>
      <c r="G1981" s="392">
        <f>C1981+D1981+E1981+F1981</f>
        <v>8.0136000000000003</v>
      </c>
      <c r="H1981" s="392">
        <f>G1981*0.35</f>
        <v>2.8047599999999999</v>
      </c>
      <c r="I1981" s="393">
        <f>G1981+H1981</f>
        <v>10.81836</v>
      </c>
      <c r="J1981" s="353"/>
    </row>
    <row r="1982" spans="1:17">
      <c r="A1982" s="350"/>
      <c r="B1982" s="351"/>
      <c r="C1982" s="391"/>
      <c r="D1982" s="392"/>
      <c r="E1982" s="355"/>
      <c r="F1982" s="392"/>
      <c r="G1982" s="392"/>
      <c r="H1982" s="392"/>
      <c r="I1982" s="393"/>
      <c r="J1982" s="353"/>
    </row>
    <row r="1983" spans="1:17">
      <c r="A1983" s="383" t="s">
        <v>1522</v>
      </c>
      <c r="B1983" s="384"/>
      <c r="C1983" s="384">
        <f>C1984+C1985</f>
        <v>20.85</v>
      </c>
      <c r="D1983" s="384">
        <v>3.45</v>
      </c>
      <c r="E1983" s="412">
        <v>25.68</v>
      </c>
      <c r="F1983" s="412">
        <f>C1983*0.9</f>
        <v>18.765000000000001</v>
      </c>
      <c r="G1983" s="412">
        <f>F1983+E1983+D1983+C1983</f>
        <v>68.745000000000005</v>
      </c>
      <c r="H1983" s="412">
        <f>G1983*0.35</f>
        <v>24.060749999999999</v>
      </c>
      <c r="I1983" s="413">
        <f>SUM(F1983:H1983)</f>
        <v>111.57075</v>
      </c>
      <c r="J1983" s="349">
        <f>I1983+I1986+I1987</f>
        <v>122.38911</v>
      </c>
    </row>
    <row r="1984" spans="1:17">
      <c r="A1984" s="385" t="s">
        <v>258</v>
      </c>
      <c r="B1984" s="423">
        <v>15</v>
      </c>
      <c r="C1984" s="423">
        <v>11.1</v>
      </c>
      <c r="D1984" s="423"/>
      <c r="E1984" s="423"/>
      <c r="F1984" s="424"/>
      <c r="G1984" s="424"/>
      <c r="H1984" s="424"/>
      <c r="I1984" s="425"/>
      <c r="J1984" s="380"/>
    </row>
    <row r="1985" spans="1:10">
      <c r="A1985" s="350" t="s">
        <v>1139</v>
      </c>
      <c r="B1985" s="386">
        <v>15</v>
      </c>
      <c r="C1985" s="386">
        <v>9.75</v>
      </c>
      <c r="D1985" s="386"/>
      <c r="E1985" s="386"/>
      <c r="F1985" s="392"/>
      <c r="G1985" s="392"/>
      <c r="H1985" s="392"/>
      <c r="I1985" s="457"/>
      <c r="J1985" s="353"/>
    </row>
    <row r="1986" spans="1:10">
      <c r="A1986" s="350" t="s">
        <v>385</v>
      </c>
      <c r="B1986" s="351">
        <v>7</v>
      </c>
      <c r="C1986" s="391">
        <v>3.78</v>
      </c>
      <c r="D1986" s="392">
        <f>C1986*0.22</f>
        <v>0.83160000000000001</v>
      </c>
      <c r="E1986" s="355"/>
      <c r="F1986" s="392">
        <f>C1986*0.9</f>
        <v>3.4019999999999997</v>
      </c>
      <c r="G1986" s="392">
        <f>C1986+D1986+E1986+F1986</f>
        <v>8.0136000000000003</v>
      </c>
      <c r="H1986" s="392">
        <f>G1986*0.35</f>
        <v>2.8047599999999999</v>
      </c>
      <c r="I1986" s="393">
        <f>G1986+H1986</f>
        <v>10.81836</v>
      </c>
      <c r="J1986" s="353"/>
    </row>
    <row r="1987" spans="1:10">
      <c r="A1987" s="350"/>
      <c r="B1987" s="351"/>
      <c r="C1987" s="391"/>
      <c r="D1987" s="392"/>
      <c r="E1987" s="355"/>
      <c r="F1987" s="392"/>
      <c r="G1987" s="392"/>
      <c r="H1987" s="392"/>
      <c r="I1987" s="393"/>
      <c r="J1987" s="353"/>
    </row>
    <row r="1988" spans="1:10">
      <c r="A1988" s="383" t="s">
        <v>1523</v>
      </c>
      <c r="B1988" s="384"/>
      <c r="C1988" s="384">
        <f>C1989+C1990</f>
        <v>20.85</v>
      </c>
      <c r="D1988" s="384">
        <v>3.45</v>
      </c>
      <c r="E1988" s="412">
        <v>25.68</v>
      </c>
      <c r="F1988" s="412">
        <f>C1988*0.9</f>
        <v>18.765000000000001</v>
      </c>
      <c r="G1988" s="412">
        <f>F1988+E1988+D1988+C1988</f>
        <v>68.745000000000005</v>
      </c>
      <c r="H1988" s="412">
        <f>G1988*0.35</f>
        <v>24.060749999999999</v>
      </c>
      <c r="I1988" s="413">
        <f>SUM(F1988:H1988)</f>
        <v>111.57075</v>
      </c>
      <c r="J1988" s="349">
        <f>I1988+I1991+I1992</f>
        <v>122.38911</v>
      </c>
    </row>
    <row r="1989" spans="1:10">
      <c r="A1989" s="385" t="s">
        <v>258</v>
      </c>
      <c r="B1989" s="423">
        <v>15</v>
      </c>
      <c r="C1989" s="423">
        <v>11.1</v>
      </c>
      <c r="D1989" s="423"/>
      <c r="E1989" s="423"/>
      <c r="F1989" s="424"/>
      <c r="G1989" s="424"/>
      <c r="H1989" s="424"/>
      <c r="I1989" s="425"/>
      <c r="J1989" s="380"/>
    </row>
    <row r="1990" spans="1:10">
      <c r="A1990" s="350" t="s">
        <v>1139</v>
      </c>
      <c r="B1990" s="386">
        <v>15</v>
      </c>
      <c r="C1990" s="386">
        <v>9.75</v>
      </c>
      <c r="D1990" s="386"/>
      <c r="E1990" s="386"/>
      <c r="F1990" s="392"/>
      <c r="G1990" s="392"/>
      <c r="H1990" s="392"/>
      <c r="I1990" s="457"/>
      <c r="J1990" s="353"/>
    </row>
    <row r="1991" spans="1:10">
      <c r="A1991" s="350" t="s">
        <v>385</v>
      </c>
      <c r="B1991" s="351">
        <v>7</v>
      </c>
      <c r="C1991" s="391">
        <v>3.78</v>
      </c>
      <c r="D1991" s="392">
        <f>C1991*0.22</f>
        <v>0.83160000000000001</v>
      </c>
      <c r="E1991" s="355"/>
      <c r="F1991" s="392">
        <f>C1991*0.9</f>
        <v>3.4019999999999997</v>
      </c>
      <c r="G1991" s="392">
        <f>C1991+D1991+E1991+F1991</f>
        <v>8.0136000000000003</v>
      </c>
      <c r="H1991" s="392">
        <f>G1991*0.35</f>
        <v>2.8047599999999999</v>
      </c>
      <c r="I1991" s="393">
        <f>G1991+H1991</f>
        <v>10.81836</v>
      </c>
      <c r="J1991" s="353"/>
    </row>
    <row r="1992" spans="1:10">
      <c r="A1992" s="350"/>
      <c r="B1992" s="351"/>
      <c r="C1992" s="391"/>
      <c r="D1992" s="392"/>
      <c r="E1992" s="355"/>
      <c r="F1992" s="392"/>
      <c r="G1992" s="392"/>
      <c r="H1992" s="392"/>
      <c r="I1992" s="393"/>
      <c r="J1992" s="353"/>
    </row>
    <row r="1993" spans="1:10">
      <c r="A1993" s="383" t="s">
        <v>1524</v>
      </c>
      <c r="B1993" s="384"/>
      <c r="C1993" s="384">
        <f>C1994+C1995</f>
        <v>20.85</v>
      </c>
      <c r="D1993" s="384">
        <v>3.45</v>
      </c>
      <c r="E1993" s="412">
        <v>25.68</v>
      </c>
      <c r="F1993" s="412">
        <f>C1993*0.9</f>
        <v>18.765000000000001</v>
      </c>
      <c r="G1993" s="412">
        <f>F1993+E1993+D1993+C1993</f>
        <v>68.745000000000005</v>
      </c>
      <c r="H1993" s="412">
        <f>G1993*0.35</f>
        <v>24.060749999999999</v>
      </c>
      <c r="I1993" s="413">
        <f>SUM(F1993:H1993)</f>
        <v>111.57075</v>
      </c>
      <c r="J1993" s="349">
        <f>I1993+I1996+I1997</f>
        <v>122.38911</v>
      </c>
    </row>
    <row r="1994" spans="1:10">
      <c r="A1994" s="385" t="s">
        <v>258</v>
      </c>
      <c r="B1994" s="423">
        <v>15</v>
      </c>
      <c r="C1994" s="423">
        <v>11.1</v>
      </c>
      <c r="D1994" s="423"/>
      <c r="E1994" s="423"/>
      <c r="F1994" s="424"/>
      <c r="G1994" s="424"/>
      <c r="H1994" s="424"/>
      <c r="I1994" s="425"/>
      <c r="J1994" s="380"/>
    </row>
    <row r="1995" spans="1:10">
      <c r="A1995" s="350" t="s">
        <v>1139</v>
      </c>
      <c r="B1995" s="386">
        <v>15</v>
      </c>
      <c r="C1995" s="386">
        <v>9.75</v>
      </c>
      <c r="D1995" s="386"/>
      <c r="E1995" s="386"/>
      <c r="F1995" s="392"/>
      <c r="G1995" s="392"/>
      <c r="H1995" s="392"/>
      <c r="I1995" s="457"/>
      <c r="J1995" s="353"/>
    </row>
    <row r="1996" spans="1:10">
      <c r="A1996" s="350" t="s">
        <v>385</v>
      </c>
      <c r="B1996" s="351">
        <v>7</v>
      </c>
      <c r="C1996" s="391">
        <v>3.78</v>
      </c>
      <c r="D1996" s="392">
        <f>C1996*0.22</f>
        <v>0.83160000000000001</v>
      </c>
      <c r="E1996" s="355"/>
      <c r="F1996" s="392">
        <f>C1996*0.9</f>
        <v>3.4019999999999997</v>
      </c>
      <c r="G1996" s="392">
        <f>C1996+D1996+E1996+F1996</f>
        <v>8.0136000000000003</v>
      </c>
      <c r="H1996" s="392">
        <f>G1996*0.35</f>
        <v>2.8047599999999999</v>
      </c>
      <c r="I1996" s="393">
        <f>G1996+H1996</f>
        <v>10.81836</v>
      </c>
      <c r="J1996" s="353"/>
    </row>
    <row r="1997" spans="1:10">
      <c r="A1997" s="350"/>
      <c r="B1997" s="351"/>
      <c r="C1997" s="391"/>
      <c r="D1997" s="392"/>
      <c r="E1997" s="355"/>
      <c r="F1997" s="392"/>
      <c r="G1997" s="392"/>
      <c r="H1997" s="392"/>
      <c r="I1997" s="393"/>
      <c r="J1997" s="353"/>
    </row>
    <row r="1998" spans="1:10">
      <c r="A1998" s="383" t="s">
        <v>1525</v>
      </c>
      <c r="B1998" s="384"/>
      <c r="C1998" s="384">
        <f>C1999+C2000</f>
        <v>20.85</v>
      </c>
      <c r="D1998" s="384">
        <v>3.45</v>
      </c>
      <c r="E1998" s="412">
        <v>25.68</v>
      </c>
      <c r="F1998" s="412">
        <f>C1998*0.9</f>
        <v>18.765000000000001</v>
      </c>
      <c r="G1998" s="412">
        <f>F1998+E1998+D1998+C1998</f>
        <v>68.745000000000005</v>
      </c>
      <c r="H1998" s="412">
        <f>G1998*0.35</f>
        <v>24.060749999999999</v>
      </c>
      <c r="I1998" s="413">
        <f>SUM(F1998:H1998)</f>
        <v>111.57075</v>
      </c>
      <c r="J1998" s="349">
        <f>I1998+I2001+I2002</f>
        <v>122.38911</v>
      </c>
    </row>
    <row r="1999" spans="1:10">
      <c r="A1999" s="385" t="s">
        <v>258</v>
      </c>
      <c r="B1999" s="423">
        <v>15</v>
      </c>
      <c r="C1999" s="423">
        <v>11.1</v>
      </c>
      <c r="D1999" s="423"/>
      <c r="E1999" s="423"/>
      <c r="F1999" s="424"/>
      <c r="G1999" s="424"/>
      <c r="H1999" s="424"/>
      <c r="I1999" s="425"/>
      <c r="J1999" s="380"/>
    </row>
    <row r="2000" spans="1:10">
      <c r="A2000" s="350" t="s">
        <v>1139</v>
      </c>
      <c r="B2000" s="386">
        <v>15</v>
      </c>
      <c r="C2000" s="386">
        <v>9.75</v>
      </c>
      <c r="D2000" s="386"/>
      <c r="E2000" s="386"/>
      <c r="F2000" s="392"/>
      <c r="G2000" s="392"/>
      <c r="H2000" s="392"/>
      <c r="I2000" s="457"/>
      <c r="J2000" s="353"/>
    </row>
    <row r="2001" spans="1:10">
      <c r="A2001" s="350" t="s">
        <v>385</v>
      </c>
      <c r="B2001" s="351">
        <v>7</v>
      </c>
      <c r="C2001" s="391">
        <v>3.78</v>
      </c>
      <c r="D2001" s="392">
        <f>C2001*0.22</f>
        <v>0.83160000000000001</v>
      </c>
      <c r="E2001" s="355"/>
      <c r="F2001" s="392">
        <f>C2001*0.9</f>
        <v>3.4019999999999997</v>
      </c>
      <c r="G2001" s="392">
        <f>C2001+D2001+E2001+F2001</f>
        <v>8.0136000000000003</v>
      </c>
      <c r="H2001" s="392">
        <f>G2001*0.35</f>
        <v>2.8047599999999999</v>
      </c>
      <c r="I2001" s="393">
        <f>G2001+H2001</f>
        <v>10.81836</v>
      </c>
      <c r="J2001" s="353"/>
    </row>
    <row r="2002" spans="1:10">
      <c r="A2002" s="350"/>
      <c r="B2002" s="351"/>
      <c r="C2002" s="391"/>
      <c r="D2002" s="392"/>
      <c r="E2002" s="355"/>
      <c r="F2002" s="392"/>
      <c r="G2002" s="392"/>
      <c r="H2002" s="392"/>
      <c r="I2002" s="393"/>
      <c r="J2002" s="353"/>
    </row>
    <row r="2003" spans="1:10">
      <c r="A2003" s="383" t="s">
        <v>1526</v>
      </c>
      <c r="B2003" s="384"/>
      <c r="C2003" s="384">
        <f>C2004+C2005</f>
        <v>20.85</v>
      </c>
      <c r="D2003" s="384">
        <v>3.45</v>
      </c>
      <c r="E2003" s="412">
        <v>25.68</v>
      </c>
      <c r="F2003" s="412">
        <f>C2003*0.9</f>
        <v>18.765000000000001</v>
      </c>
      <c r="G2003" s="412">
        <f>F2003+E2003+D2003+C2003</f>
        <v>68.745000000000005</v>
      </c>
      <c r="H2003" s="412">
        <f>G2003*0.35</f>
        <v>24.060749999999999</v>
      </c>
      <c r="I2003" s="413">
        <f>SUM(F2003:H2003)</f>
        <v>111.57075</v>
      </c>
      <c r="J2003" s="349">
        <f>I2003+I2006+I2007</f>
        <v>122.38911</v>
      </c>
    </row>
    <row r="2004" spans="1:10">
      <c r="A2004" s="385" t="s">
        <v>258</v>
      </c>
      <c r="B2004" s="423">
        <v>15</v>
      </c>
      <c r="C2004" s="423">
        <v>11.1</v>
      </c>
      <c r="D2004" s="423"/>
      <c r="E2004" s="423"/>
      <c r="F2004" s="424"/>
      <c r="G2004" s="424"/>
      <c r="H2004" s="424"/>
      <c r="I2004" s="425"/>
      <c r="J2004" s="380"/>
    </row>
    <row r="2005" spans="1:10">
      <c r="A2005" s="350" t="s">
        <v>1139</v>
      </c>
      <c r="B2005" s="386">
        <v>15</v>
      </c>
      <c r="C2005" s="386">
        <v>9.75</v>
      </c>
      <c r="D2005" s="386"/>
      <c r="E2005" s="386"/>
      <c r="F2005" s="392"/>
      <c r="G2005" s="392"/>
      <c r="H2005" s="392"/>
      <c r="I2005" s="457"/>
      <c r="J2005" s="353"/>
    </row>
    <row r="2006" spans="1:10">
      <c r="A2006" s="350" t="s">
        <v>385</v>
      </c>
      <c r="B2006" s="351">
        <v>7</v>
      </c>
      <c r="C2006" s="391">
        <v>3.78</v>
      </c>
      <c r="D2006" s="392">
        <f>C2006*0.22</f>
        <v>0.83160000000000001</v>
      </c>
      <c r="E2006" s="355"/>
      <c r="F2006" s="392">
        <f>C2006*0.9</f>
        <v>3.4019999999999997</v>
      </c>
      <c r="G2006" s="392">
        <f>C2006+D2006+E2006+F2006</f>
        <v>8.0136000000000003</v>
      </c>
      <c r="H2006" s="392">
        <f>G2006*0.35</f>
        <v>2.8047599999999999</v>
      </c>
      <c r="I2006" s="393">
        <f>G2006+H2006</f>
        <v>10.81836</v>
      </c>
      <c r="J2006" s="353"/>
    </row>
    <row r="2007" spans="1:10">
      <c r="A2007" s="350"/>
      <c r="B2007" s="351"/>
      <c r="C2007" s="391"/>
      <c r="D2007" s="392"/>
      <c r="E2007" s="355"/>
      <c r="F2007" s="392"/>
      <c r="G2007" s="392"/>
      <c r="H2007" s="392"/>
      <c r="I2007" s="393"/>
      <c r="J2007" s="353"/>
    </row>
    <row r="2008" spans="1:10">
      <c r="A2008" s="383" t="s">
        <v>1527</v>
      </c>
      <c r="B2008" s="384"/>
      <c r="C2008" s="384">
        <f>C2009+C2010</f>
        <v>20.85</v>
      </c>
      <c r="D2008" s="384">
        <v>3.45</v>
      </c>
      <c r="E2008" s="412">
        <v>25.68</v>
      </c>
      <c r="F2008" s="412">
        <f>C2008*0.9</f>
        <v>18.765000000000001</v>
      </c>
      <c r="G2008" s="412">
        <f>F2008+E2008+D2008+C2008</f>
        <v>68.745000000000005</v>
      </c>
      <c r="H2008" s="412">
        <f>G2008*0.35</f>
        <v>24.060749999999999</v>
      </c>
      <c r="I2008" s="413">
        <f>SUM(F2008:H2008)</f>
        <v>111.57075</v>
      </c>
      <c r="J2008" s="349">
        <f>I2008+I2011+I2012</f>
        <v>122.38911</v>
      </c>
    </row>
    <row r="2009" spans="1:10">
      <c r="A2009" s="385" t="s">
        <v>258</v>
      </c>
      <c r="B2009" s="423">
        <v>15</v>
      </c>
      <c r="C2009" s="423">
        <v>11.1</v>
      </c>
      <c r="D2009" s="423"/>
      <c r="E2009" s="423"/>
      <c r="F2009" s="424"/>
      <c r="G2009" s="424"/>
      <c r="H2009" s="424"/>
      <c r="I2009" s="425"/>
      <c r="J2009" s="380"/>
    </row>
    <row r="2010" spans="1:10">
      <c r="A2010" s="350" t="s">
        <v>1139</v>
      </c>
      <c r="B2010" s="386">
        <v>15</v>
      </c>
      <c r="C2010" s="386">
        <v>9.75</v>
      </c>
      <c r="D2010" s="386"/>
      <c r="E2010" s="386"/>
      <c r="F2010" s="392"/>
      <c r="G2010" s="392"/>
      <c r="H2010" s="392"/>
      <c r="I2010" s="457"/>
      <c r="J2010" s="353"/>
    </row>
    <row r="2011" spans="1:10">
      <c r="A2011" s="350" t="s">
        <v>385</v>
      </c>
      <c r="B2011" s="351">
        <v>7</v>
      </c>
      <c r="C2011" s="391">
        <v>3.78</v>
      </c>
      <c r="D2011" s="392">
        <f>C2011*0.22</f>
        <v>0.83160000000000001</v>
      </c>
      <c r="E2011" s="355"/>
      <c r="F2011" s="392">
        <f>C2011*0.9</f>
        <v>3.4019999999999997</v>
      </c>
      <c r="G2011" s="392">
        <f>C2011+D2011+E2011+F2011</f>
        <v>8.0136000000000003</v>
      </c>
      <c r="H2011" s="392">
        <f>G2011*0.35</f>
        <v>2.8047599999999999</v>
      </c>
      <c r="I2011" s="393">
        <f>G2011+H2011</f>
        <v>10.81836</v>
      </c>
      <c r="J2011" s="353"/>
    </row>
    <row r="2012" spans="1:10">
      <c r="A2012" s="350"/>
      <c r="B2012" s="351"/>
      <c r="C2012" s="391"/>
      <c r="D2012" s="392"/>
      <c r="E2012" s="355"/>
      <c r="F2012" s="392"/>
      <c r="G2012" s="392"/>
      <c r="H2012" s="392"/>
      <c r="I2012" s="393"/>
      <c r="J2012" s="353"/>
    </row>
    <row r="2013" spans="1:10">
      <c r="A2013" s="383" t="s">
        <v>1528</v>
      </c>
      <c r="B2013" s="384"/>
      <c r="C2013" s="384">
        <f>C2014+C2015</f>
        <v>20.85</v>
      </c>
      <c r="D2013" s="384">
        <v>3.45</v>
      </c>
      <c r="E2013" s="412">
        <v>25.68</v>
      </c>
      <c r="F2013" s="412">
        <f>C2013*0.9</f>
        <v>18.765000000000001</v>
      </c>
      <c r="G2013" s="412">
        <f>F2013+E2013+D2013+C2013</f>
        <v>68.745000000000005</v>
      </c>
      <c r="H2013" s="412">
        <f>G2013*0.35</f>
        <v>24.060749999999999</v>
      </c>
      <c r="I2013" s="413">
        <f>SUM(F2013:H2013)</f>
        <v>111.57075</v>
      </c>
      <c r="J2013" s="349">
        <f>I2013+I2016+I2017</f>
        <v>122.38911</v>
      </c>
    </row>
    <row r="2014" spans="1:10">
      <c r="A2014" s="385" t="s">
        <v>258</v>
      </c>
      <c r="B2014" s="423">
        <v>15</v>
      </c>
      <c r="C2014" s="423">
        <v>11.1</v>
      </c>
      <c r="D2014" s="423"/>
      <c r="E2014" s="423"/>
      <c r="F2014" s="424"/>
      <c r="G2014" s="424"/>
      <c r="H2014" s="424"/>
      <c r="I2014" s="425"/>
      <c r="J2014" s="380"/>
    </row>
    <row r="2015" spans="1:10">
      <c r="A2015" s="350" t="s">
        <v>1139</v>
      </c>
      <c r="B2015" s="386">
        <v>15</v>
      </c>
      <c r="C2015" s="386">
        <v>9.75</v>
      </c>
      <c r="D2015" s="386"/>
      <c r="E2015" s="386"/>
      <c r="F2015" s="392"/>
      <c r="G2015" s="392"/>
      <c r="H2015" s="392"/>
      <c r="I2015" s="457"/>
      <c r="J2015" s="353"/>
    </row>
    <row r="2016" spans="1:10">
      <c r="A2016" s="350" t="s">
        <v>385</v>
      </c>
      <c r="B2016" s="351">
        <v>7</v>
      </c>
      <c r="C2016" s="391">
        <v>3.78</v>
      </c>
      <c r="D2016" s="392">
        <f>C2016*0.22</f>
        <v>0.83160000000000001</v>
      </c>
      <c r="E2016" s="355"/>
      <c r="F2016" s="392">
        <f>C2016*0.9</f>
        <v>3.4019999999999997</v>
      </c>
      <c r="G2016" s="392">
        <f>C2016+D2016+E2016+F2016</f>
        <v>8.0136000000000003</v>
      </c>
      <c r="H2016" s="392">
        <f>G2016*0.35</f>
        <v>2.8047599999999999</v>
      </c>
      <c r="I2016" s="393">
        <f>G2016+H2016</f>
        <v>10.81836</v>
      </c>
      <c r="J2016" s="353"/>
    </row>
    <row r="2017" spans="1:10">
      <c r="A2017" s="350"/>
      <c r="B2017" s="351"/>
      <c r="C2017" s="391"/>
      <c r="D2017" s="392"/>
      <c r="E2017" s="355"/>
      <c r="F2017" s="392"/>
      <c r="G2017" s="392"/>
      <c r="H2017" s="392"/>
      <c r="I2017" s="393"/>
      <c r="J2017" s="353"/>
    </row>
    <row r="2018" spans="1:10">
      <c r="A2018" s="383" t="s">
        <v>1529</v>
      </c>
      <c r="B2018" s="384"/>
      <c r="C2018" s="384">
        <f>C2019+C2020</f>
        <v>20.85</v>
      </c>
      <c r="D2018" s="384">
        <v>3.45</v>
      </c>
      <c r="E2018" s="412">
        <v>25.68</v>
      </c>
      <c r="F2018" s="412">
        <f>C2018*0.9</f>
        <v>18.765000000000001</v>
      </c>
      <c r="G2018" s="412">
        <f>F2018+E2018+D2018+C2018</f>
        <v>68.745000000000005</v>
      </c>
      <c r="H2018" s="412">
        <f>G2018*0.35</f>
        <v>24.060749999999999</v>
      </c>
      <c r="I2018" s="413">
        <f>SUM(F2018:H2018)</f>
        <v>111.57075</v>
      </c>
      <c r="J2018" s="349">
        <f>I2018+I2021+I2022</f>
        <v>122.38911</v>
      </c>
    </row>
    <row r="2019" spans="1:10">
      <c r="A2019" s="385" t="s">
        <v>258</v>
      </c>
      <c r="B2019" s="423">
        <v>15</v>
      </c>
      <c r="C2019" s="423">
        <v>11.1</v>
      </c>
      <c r="D2019" s="423"/>
      <c r="E2019" s="423"/>
      <c r="F2019" s="424"/>
      <c r="G2019" s="424"/>
      <c r="H2019" s="424"/>
      <c r="I2019" s="425"/>
      <c r="J2019" s="380"/>
    </row>
    <row r="2020" spans="1:10">
      <c r="A2020" s="350" t="s">
        <v>1139</v>
      </c>
      <c r="B2020" s="386">
        <v>15</v>
      </c>
      <c r="C2020" s="386">
        <v>9.75</v>
      </c>
      <c r="D2020" s="386"/>
      <c r="E2020" s="386"/>
      <c r="F2020" s="392"/>
      <c r="G2020" s="392"/>
      <c r="H2020" s="392"/>
      <c r="I2020" s="457"/>
      <c r="J2020" s="353"/>
    </row>
    <row r="2021" spans="1:10">
      <c r="A2021" s="350" t="s">
        <v>385</v>
      </c>
      <c r="B2021" s="351">
        <v>7</v>
      </c>
      <c r="C2021" s="391">
        <v>3.78</v>
      </c>
      <c r="D2021" s="392">
        <f>C2021*0.22</f>
        <v>0.83160000000000001</v>
      </c>
      <c r="E2021" s="355"/>
      <c r="F2021" s="392">
        <f>C2021*0.9</f>
        <v>3.4019999999999997</v>
      </c>
      <c r="G2021" s="392">
        <f>C2021+D2021+E2021+F2021</f>
        <v>8.0136000000000003</v>
      </c>
      <c r="H2021" s="392">
        <f>G2021*0.35</f>
        <v>2.8047599999999999</v>
      </c>
      <c r="I2021" s="393">
        <f>G2021+H2021</f>
        <v>10.81836</v>
      </c>
      <c r="J2021" s="353"/>
    </row>
    <row r="2022" spans="1:10">
      <c r="A2022" s="350"/>
      <c r="B2022" s="351"/>
      <c r="C2022" s="391"/>
      <c r="D2022" s="392"/>
      <c r="E2022" s="355"/>
      <c r="F2022" s="392"/>
      <c r="G2022" s="392"/>
      <c r="H2022" s="392"/>
      <c r="I2022" s="393"/>
      <c r="J2022" s="353"/>
    </row>
    <row r="2023" spans="1:10">
      <c r="A2023" s="383" t="s">
        <v>1530</v>
      </c>
      <c r="B2023" s="384"/>
      <c r="C2023" s="384">
        <f>C2024+C2025</f>
        <v>20.85</v>
      </c>
      <c r="D2023" s="384">
        <v>3.45</v>
      </c>
      <c r="E2023" s="412">
        <v>25.68</v>
      </c>
      <c r="F2023" s="412">
        <f>C2023*0.9</f>
        <v>18.765000000000001</v>
      </c>
      <c r="G2023" s="412">
        <f>F2023+E2023+D2023+C2023</f>
        <v>68.745000000000005</v>
      </c>
      <c r="H2023" s="412">
        <f>G2023*0.35</f>
        <v>24.060749999999999</v>
      </c>
      <c r="I2023" s="413">
        <f>SUM(F2023:H2023)</f>
        <v>111.57075</v>
      </c>
      <c r="J2023" s="349">
        <f>I2023+I2026+I2027</f>
        <v>122.38911</v>
      </c>
    </row>
    <row r="2024" spans="1:10">
      <c r="A2024" s="385" t="s">
        <v>258</v>
      </c>
      <c r="B2024" s="423">
        <v>15</v>
      </c>
      <c r="C2024" s="423">
        <v>11.1</v>
      </c>
      <c r="D2024" s="423"/>
      <c r="E2024" s="423"/>
      <c r="F2024" s="424"/>
      <c r="G2024" s="424"/>
      <c r="H2024" s="424"/>
      <c r="I2024" s="425"/>
      <c r="J2024" s="380"/>
    </row>
    <row r="2025" spans="1:10">
      <c r="A2025" s="350" t="s">
        <v>1139</v>
      </c>
      <c r="B2025" s="386">
        <v>15</v>
      </c>
      <c r="C2025" s="386">
        <v>9.75</v>
      </c>
      <c r="D2025" s="386"/>
      <c r="E2025" s="386"/>
      <c r="F2025" s="392"/>
      <c r="G2025" s="392"/>
      <c r="H2025" s="392"/>
      <c r="I2025" s="457"/>
      <c r="J2025" s="353"/>
    </row>
    <row r="2026" spans="1:10">
      <c r="A2026" s="350" t="s">
        <v>385</v>
      </c>
      <c r="B2026" s="351">
        <v>7</v>
      </c>
      <c r="C2026" s="391">
        <v>3.78</v>
      </c>
      <c r="D2026" s="392">
        <f>C2026*0.22</f>
        <v>0.83160000000000001</v>
      </c>
      <c r="E2026" s="355"/>
      <c r="F2026" s="392">
        <f>C2026*0.9</f>
        <v>3.4019999999999997</v>
      </c>
      <c r="G2026" s="392">
        <f>C2026+D2026+E2026+F2026</f>
        <v>8.0136000000000003</v>
      </c>
      <c r="H2026" s="392">
        <f>G2026*0.35</f>
        <v>2.8047599999999999</v>
      </c>
      <c r="I2026" s="393">
        <f>G2026+H2026</f>
        <v>10.81836</v>
      </c>
      <c r="J2026" s="353"/>
    </row>
    <row r="2027" spans="1:10">
      <c r="A2027" s="350"/>
      <c r="B2027" s="351"/>
      <c r="C2027" s="391"/>
      <c r="D2027" s="392"/>
      <c r="E2027" s="355"/>
      <c r="F2027" s="392"/>
      <c r="G2027" s="392"/>
      <c r="H2027" s="392"/>
      <c r="I2027" s="393"/>
      <c r="J2027" s="353"/>
    </row>
    <row r="2028" spans="1:10">
      <c r="A2028" s="383" t="s">
        <v>1531</v>
      </c>
      <c r="B2028" s="384"/>
      <c r="C2028" s="384">
        <f>C2029+C2030</f>
        <v>20.85</v>
      </c>
      <c r="D2028" s="384">
        <v>3.45</v>
      </c>
      <c r="E2028" s="412">
        <v>25.68</v>
      </c>
      <c r="F2028" s="412">
        <f>C2028*0.9</f>
        <v>18.765000000000001</v>
      </c>
      <c r="G2028" s="412">
        <f>F2028+E2028+D2028+C2028</f>
        <v>68.745000000000005</v>
      </c>
      <c r="H2028" s="412">
        <f>G2028*0.35</f>
        <v>24.060749999999999</v>
      </c>
      <c r="I2028" s="413">
        <f>SUM(F2028:H2028)</f>
        <v>111.57075</v>
      </c>
      <c r="J2028" s="349">
        <f>I2028+I2031+I2032</f>
        <v>122.38911</v>
      </c>
    </row>
    <row r="2029" spans="1:10">
      <c r="A2029" s="385" t="s">
        <v>258</v>
      </c>
      <c r="B2029" s="423">
        <v>15</v>
      </c>
      <c r="C2029" s="423">
        <v>11.1</v>
      </c>
      <c r="D2029" s="423"/>
      <c r="E2029" s="423"/>
      <c r="F2029" s="424"/>
      <c r="G2029" s="424"/>
      <c r="H2029" s="424"/>
      <c r="I2029" s="425"/>
      <c r="J2029" s="380"/>
    </row>
    <row r="2030" spans="1:10">
      <c r="A2030" s="350" t="s">
        <v>1139</v>
      </c>
      <c r="B2030" s="386">
        <v>15</v>
      </c>
      <c r="C2030" s="386">
        <v>9.75</v>
      </c>
      <c r="D2030" s="386"/>
      <c r="E2030" s="386"/>
      <c r="F2030" s="392"/>
      <c r="G2030" s="392"/>
      <c r="H2030" s="392"/>
      <c r="I2030" s="457"/>
      <c r="J2030" s="353"/>
    </row>
    <row r="2031" spans="1:10">
      <c r="A2031" s="350" t="s">
        <v>385</v>
      </c>
      <c r="B2031" s="351">
        <v>7</v>
      </c>
      <c r="C2031" s="391">
        <v>3.78</v>
      </c>
      <c r="D2031" s="392">
        <f>C2031*0.22</f>
        <v>0.83160000000000001</v>
      </c>
      <c r="E2031" s="355"/>
      <c r="F2031" s="392">
        <f>C2031*0.9</f>
        <v>3.4019999999999997</v>
      </c>
      <c r="G2031" s="392">
        <f>C2031+D2031+E2031+F2031</f>
        <v>8.0136000000000003</v>
      </c>
      <c r="H2031" s="392">
        <f>G2031*0.35</f>
        <v>2.8047599999999999</v>
      </c>
      <c r="I2031" s="393">
        <f>G2031+H2031</f>
        <v>10.81836</v>
      </c>
      <c r="J2031" s="353"/>
    </row>
    <row r="2032" spans="1:10">
      <c r="A2032" s="350"/>
      <c r="B2032" s="351"/>
      <c r="C2032" s="391"/>
      <c r="D2032" s="392"/>
      <c r="E2032" s="355"/>
      <c r="F2032" s="392"/>
      <c r="G2032" s="392"/>
      <c r="H2032" s="392"/>
      <c r="I2032" s="393"/>
      <c r="J2032" s="353"/>
    </row>
    <row r="2033" spans="1:10">
      <c r="A2033" s="383" t="s">
        <v>1532</v>
      </c>
      <c r="B2033" s="384"/>
      <c r="C2033" s="384">
        <f>C2034+C2035</f>
        <v>20.85</v>
      </c>
      <c r="D2033" s="384">
        <v>3.45</v>
      </c>
      <c r="E2033" s="412">
        <v>25.68</v>
      </c>
      <c r="F2033" s="412">
        <f>C2033*0.9</f>
        <v>18.765000000000001</v>
      </c>
      <c r="G2033" s="412">
        <f>F2033+E2033+D2033+C2033</f>
        <v>68.745000000000005</v>
      </c>
      <c r="H2033" s="412">
        <f>G2033*0.35</f>
        <v>24.060749999999999</v>
      </c>
      <c r="I2033" s="413">
        <f>SUM(F2033:H2033)</f>
        <v>111.57075</v>
      </c>
      <c r="J2033" s="349">
        <f>I2033+I2036+I2037</f>
        <v>122.38911</v>
      </c>
    </row>
    <row r="2034" spans="1:10">
      <c r="A2034" s="385" t="s">
        <v>258</v>
      </c>
      <c r="B2034" s="423">
        <v>15</v>
      </c>
      <c r="C2034" s="423">
        <v>11.1</v>
      </c>
      <c r="D2034" s="423"/>
      <c r="E2034" s="423"/>
      <c r="F2034" s="424"/>
      <c r="G2034" s="424"/>
      <c r="H2034" s="424"/>
      <c r="I2034" s="425"/>
      <c r="J2034" s="380"/>
    </row>
    <row r="2035" spans="1:10">
      <c r="A2035" s="350" t="s">
        <v>1139</v>
      </c>
      <c r="B2035" s="386">
        <v>15</v>
      </c>
      <c r="C2035" s="386">
        <v>9.75</v>
      </c>
      <c r="D2035" s="386"/>
      <c r="E2035" s="386"/>
      <c r="F2035" s="392"/>
      <c r="G2035" s="392"/>
      <c r="H2035" s="392"/>
      <c r="I2035" s="457"/>
      <c r="J2035" s="353"/>
    </row>
    <row r="2036" spans="1:10">
      <c r="A2036" s="350" t="s">
        <v>385</v>
      </c>
      <c r="B2036" s="351">
        <v>7</v>
      </c>
      <c r="C2036" s="391">
        <v>3.78</v>
      </c>
      <c r="D2036" s="392">
        <f>C2036*0.22</f>
        <v>0.83160000000000001</v>
      </c>
      <c r="E2036" s="355"/>
      <c r="F2036" s="392">
        <f>C2036*0.9</f>
        <v>3.4019999999999997</v>
      </c>
      <c r="G2036" s="392">
        <f>C2036+D2036+E2036+F2036</f>
        <v>8.0136000000000003</v>
      </c>
      <c r="H2036" s="392">
        <f>G2036*0.35</f>
        <v>2.8047599999999999</v>
      </c>
      <c r="I2036" s="393">
        <f>G2036+H2036</f>
        <v>10.81836</v>
      </c>
      <c r="J2036" s="353"/>
    </row>
    <row r="2037" spans="1:10">
      <c r="A2037" s="350"/>
      <c r="B2037" s="351"/>
      <c r="C2037" s="391"/>
      <c r="D2037" s="392"/>
      <c r="E2037" s="355"/>
      <c r="F2037" s="392"/>
      <c r="G2037" s="392"/>
      <c r="H2037" s="392"/>
      <c r="I2037" s="393"/>
      <c r="J2037" s="353"/>
    </row>
    <row r="2038" spans="1:10">
      <c r="A2038" s="383" t="s">
        <v>1533</v>
      </c>
      <c r="B2038" s="384"/>
      <c r="C2038" s="384">
        <f>C2039+C2040</f>
        <v>20.85</v>
      </c>
      <c r="D2038" s="384">
        <v>3.45</v>
      </c>
      <c r="E2038" s="412">
        <v>25.68</v>
      </c>
      <c r="F2038" s="412">
        <f>C2038*0.9</f>
        <v>18.765000000000001</v>
      </c>
      <c r="G2038" s="412">
        <f>F2038+E2038+D2038+C2038</f>
        <v>68.745000000000005</v>
      </c>
      <c r="H2038" s="412">
        <f>G2038*0.35</f>
        <v>24.060749999999999</v>
      </c>
      <c r="I2038" s="413">
        <f>SUM(F2038:H2038)</f>
        <v>111.57075</v>
      </c>
      <c r="J2038" s="349">
        <f>I2038+I2041+I2042</f>
        <v>122.38911</v>
      </c>
    </row>
    <row r="2039" spans="1:10">
      <c r="A2039" s="385" t="s">
        <v>258</v>
      </c>
      <c r="B2039" s="423">
        <v>15</v>
      </c>
      <c r="C2039" s="423">
        <v>11.1</v>
      </c>
      <c r="D2039" s="423"/>
      <c r="E2039" s="423"/>
      <c r="F2039" s="424"/>
      <c r="G2039" s="424"/>
      <c r="H2039" s="424"/>
      <c r="I2039" s="425"/>
      <c r="J2039" s="379"/>
    </row>
    <row r="2040" spans="1:10">
      <c r="A2040" s="350" t="s">
        <v>1139</v>
      </c>
      <c r="B2040" s="386">
        <v>15</v>
      </c>
      <c r="C2040" s="386">
        <v>9.75</v>
      </c>
      <c r="D2040" s="386"/>
      <c r="E2040" s="386"/>
      <c r="F2040" s="392"/>
      <c r="G2040" s="392"/>
      <c r="H2040" s="392"/>
      <c r="I2040" s="457"/>
      <c r="J2040" s="355"/>
    </row>
    <row r="2041" spans="1:10">
      <c r="A2041" s="350" t="s">
        <v>385</v>
      </c>
      <c r="B2041" s="351">
        <v>7</v>
      </c>
      <c r="C2041" s="391">
        <v>3.78</v>
      </c>
      <c r="D2041" s="392">
        <f>C2041*0.22</f>
        <v>0.83160000000000001</v>
      </c>
      <c r="E2041" s="355"/>
      <c r="F2041" s="392">
        <f>C2041*0.9</f>
        <v>3.4019999999999997</v>
      </c>
      <c r="G2041" s="392">
        <f>C2041+D2041+E2041+F2041</f>
        <v>8.0136000000000003</v>
      </c>
      <c r="H2041" s="392">
        <f>G2041*0.35</f>
        <v>2.8047599999999999</v>
      </c>
      <c r="I2041" s="393">
        <f>G2041+H2041</f>
        <v>10.81836</v>
      </c>
      <c r="J2041" s="355"/>
    </row>
    <row r="2042" spans="1:10">
      <c r="A2042" s="350"/>
      <c r="B2042" s="351"/>
      <c r="C2042" s="391"/>
      <c r="D2042" s="392"/>
      <c r="E2042" s="355"/>
      <c r="F2042" s="392"/>
      <c r="G2042" s="392"/>
      <c r="H2042" s="392"/>
      <c r="I2042" s="393"/>
      <c r="J2042" s="355"/>
    </row>
    <row r="2043" spans="1:10" ht="12.75">
      <c r="A2043" s="368" t="s">
        <v>1534</v>
      </c>
      <c r="B2043" s="369"/>
      <c r="C2043" s="369"/>
      <c r="D2043" s="369"/>
      <c r="E2043" s="369"/>
      <c r="F2043" s="369"/>
      <c r="G2043" s="369"/>
      <c r="H2043" s="369"/>
      <c r="I2043" s="369"/>
      <c r="J2043" s="370"/>
    </row>
    <row r="2044" spans="1:10">
      <c r="A2044" s="345" t="s">
        <v>1535</v>
      </c>
      <c r="B2044" s="346" t="s">
        <v>1536</v>
      </c>
      <c r="C2044" s="412">
        <f>C2045+C2046</f>
        <v>11.600000000000001</v>
      </c>
      <c r="D2044" s="412">
        <f>C2044*0.22</f>
        <v>2.5520000000000005</v>
      </c>
      <c r="E2044" s="412">
        <v>0.18</v>
      </c>
      <c r="F2044" s="412">
        <f>C2044*0.9</f>
        <v>10.440000000000001</v>
      </c>
      <c r="G2044" s="412">
        <f>C2044+D2044+E2044+F2044</f>
        <v>24.772000000000002</v>
      </c>
      <c r="H2044" s="412">
        <f>G2044*0.35</f>
        <v>8.6701999999999995</v>
      </c>
      <c r="I2044" s="413">
        <f>G2044+H2044</f>
        <v>33.4422</v>
      </c>
      <c r="J2044" s="349">
        <f>(I2044+I2047+I2048)*10</f>
        <v>411.69600000000003</v>
      </c>
    </row>
    <row r="2045" spans="1:10">
      <c r="A2045" s="377" t="s">
        <v>258</v>
      </c>
      <c r="B2045" s="350">
        <v>10</v>
      </c>
      <c r="C2045" s="391">
        <v>5.9</v>
      </c>
      <c r="D2045" s="392"/>
      <c r="E2045" s="392"/>
      <c r="F2045" s="392"/>
      <c r="G2045" s="392"/>
      <c r="H2045" s="392"/>
      <c r="I2045" s="393"/>
      <c r="J2045" s="381"/>
    </row>
    <row r="2046" spans="1:10">
      <c r="A2046" s="350" t="s">
        <v>337</v>
      </c>
      <c r="B2046" s="350">
        <v>10</v>
      </c>
      <c r="C2046" s="391">
        <v>5.7</v>
      </c>
      <c r="D2046" s="392"/>
      <c r="E2046" s="392"/>
      <c r="F2046" s="392"/>
      <c r="G2046" s="392"/>
      <c r="H2046" s="392"/>
      <c r="I2046" s="393"/>
      <c r="J2046" s="381"/>
    </row>
    <row r="2047" spans="1:10">
      <c r="A2047" s="350" t="s">
        <v>385</v>
      </c>
      <c r="B2047" s="351">
        <v>5</v>
      </c>
      <c r="C2047" s="391">
        <v>2.7</v>
      </c>
      <c r="D2047" s="392">
        <f>C2047*0.22</f>
        <v>0.59400000000000008</v>
      </c>
      <c r="E2047" s="355"/>
      <c r="F2047" s="392">
        <f>C2047*0.9</f>
        <v>2.4300000000000002</v>
      </c>
      <c r="G2047" s="392">
        <f>C2047+D2047+E2047+F2047</f>
        <v>5.7240000000000002</v>
      </c>
      <c r="H2047" s="392">
        <f>G2047*0.35</f>
        <v>2.0034000000000001</v>
      </c>
      <c r="I2047" s="393">
        <f>G2047+H2047</f>
        <v>7.7274000000000003</v>
      </c>
      <c r="J2047" s="381"/>
    </row>
    <row r="2048" spans="1:10">
      <c r="A2048" s="350"/>
      <c r="B2048" s="351"/>
      <c r="C2048" s="391"/>
      <c r="D2048" s="392"/>
      <c r="E2048" s="355"/>
      <c r="F2048" s="392"/>
      <c r="G2048" s="392"/>
      <c r="H2048" s="392"/>
      <c r="I2048" s="393"/>
      <c r="J2048" s="381"/>
    </row>
    <row r="2049" spans="1:10">
      <c r="A2049" s="345" t="s">
        <v>1537</v>
      </c>
      <c r="B2049" s="346" t="s">
        <v>1536</v>
      </c>
      <c r="C2049" s="412">
        <f>C2050+C2051</f>
        <v>11.600000000000001</v>
      </c>
      <c r="D2049" s="412">
        <f>C2049*0.22</f>
        <v>2.5520000000000005</v>
      </c>
      <c r="E2049" s="412">
        <v>0.18</v>
      </c>
      <c r="F2049" s="412">
        <f>C2049*0.9</f>
        <v>10.440000000000001</v>
      </c>
      <c r="G2049" s="412">
        <f>C2049+D2049+E2049+F2049</f>
        <v>24.772000000000002</v>
      </c>
      <c r="H2049" s="412">
        <f>G2049*0.35</f>
        <v>8.6701999999999995</v>
      </c>
      <c r="I2049" s="413">
        <f>G2049+H2049</f>
        <v>33.4422</v>
      </c>
      <c r="J2049" s="349">
        <f>(I2049+I2052+I2053)*10</f>
        <v>411.69600000000003</v>
      </c>
    </row>
    <row r="2050" spans="1:10">
      <c r="A2050" s="377" t="s">
        <v>258</v>
      </c>
      <c r="B2050" s="350">
        <v>10</v>
      </c>
      <c r="C2050" s="391">
        <v>5.9</v>
      </c>
      <c r="D2050" s="392"/>
      <c r="E2050" s="392"/>
      <c r="F2050" s="392"/>
      <c r="G2050" s="392"/>
      <c r="H2050" s="392"/>
      <c r="I2050" s="393"/>
      <c r="J2050" s="381"/>
    </row>
    <row r="2051" spans="1:10">
      <c r="A2051" s="350" t="s">
        <v>337</v>
      </c>
      <c r="B2051" s="350">
        <v>10</v>
      </c>
      <c r="C2051" s="391">
        <v>5.7</v>
      </c>
      <c r="D2051" s="392">
        <f>C2051*0.22</f>
        <v>1.254</v>
      </c>
      <c r="E2051" s="392"/>
      <c r="F2051" s="392">
        <f>C2051*0.9</f>
        <v>5.13</v>
      </c>
      <c r="G2051" s="392">
        <f>C2051+D2051+E2051+F2051</f>
        <v>12.084</v>
      </c>
      <c r="H2051" s="392">
        <f>G2051*0.35</f>
        <v>4.2293999999999992</v>
      </c>
      <c r="I2051" s="393">
        <f>G2051+H2051</f>
        <v>16.313399999999998</v>
      </c>
      <c r="J2051" s="381"/>
    </row>
    <row r="2052" spans="1:10">
      <c r="A2052" s="350" t="s">
        <v>385</v>
      </c>
      <c r="B2052" s="351">
        <v>5</v>
      </c>
      <c r="C2052" s="391">
        <v>2.7</v>
      </c>
      <c r="D2052" s="392">
        <f>C2052*0.22</f>
        <v>0.59400000000000008</v>
      </c>
      <c r="E2052" s="355"/>
      <c r="F2052" s="392">
        <f>C2052*0.9</f>
        <v>2.4300000000000002</v>
      </c>
      <c r="G2052" s="392">
        <f>C2052+D2052+E2052+F2052</f>
        <v>5.7240000000000002</v>
      </c>
      <c r="H2052" s="392">
        <f>G2052*0.35</f>
        <v>2.0034000000000001</v>
      </c>
      <c r="I2052" s="393">
        <f>G2052+H2052</f>
        <v>7.7274000000000003</v>
      </c>
      <c r="J2052" s="381"/>
    </row>
    <row r="2053" spans="1:10">
      <c r="A2053" s="350"/>
      <c r="B2053" s="351"/>
      <c r="C2053" s="391"/>
      <c r="D2053" s="392"/>
      <c r="E2053" s="355"/>
      <c r="F2053" s="392"/>
      <c r="G2053" s="392"/>
      <c r="H2053" s="392"/>
      <c r="I2053" s="393"/>
      <c r="J2053" s="381"/>
    </row>
    <row r="2054" spans="1:10">
      <c r="A2054" s="345" t="s">
        <v>1538</v>
      </c>
      <c r="B2054" s="346" t="s">
        <v>1539</v>
      </c>
      <c r="C2054" s="412">
        <f>C2055+C2056</f>
        <v>17.399999999999999</v>
      </c>
      <c r="D2054" s="412">
        <f>C2054*0.22</f>
        <v>3.8279999999999998</v>
      </c>
      <c r="E2054" s="412">
        <v>12.79</v>
      </c>
      <c r="F2054" s="412">
        <f>C2054*0.9</f>
        <v>15.659999999999998</v>
      </c>
      <c r="G2054" s="412">
        <f>C2054+D2054+E2054+F2054</f>
        <v>49.677999999999997</v>
      </c>
      <c r="H2054" s="412">
        <f>G2054*0.35</f>
        <v>17.387299999999996</v>
      </c>
      <c r="I2054" s="413">
        <f>G2054+H2054</f>
        <v>67.065299999999993</v>
      </c>
      <c r="J2054" s="349">
        <f>(I2054+I2057+I2058)*8</f>
        <v>623.06927999999994</v>
      </c>
    </row>
    <row r="2055" spans="1:10">
      <c r="A2055" s="377" t="s">
        <v>258</v>
      </c>
      <c r="B2055" s="350">
        <v>15</v>
      </c>
      <c r="C2055" s="391">
        <v>8.85</v>
      </c>
      <c r="D2055" s="392"/>
      <c r="E2055" s="392"/>
      <c r="F2055" s="392"/>
      <c r="G2055" s="392"/>
      <c r="H2055" s="392"/>
      <c r="I2055" s="393"/>
      <c r="J2055" s="381"/>
    </row>
    <row r="2056" spans="1:10">
      <c r="A2056" s="350" t="s">
        <v>337</v>
      </c>
      <c r="B2056" s="350">
        <v>15</v>
      </c>
      <c r="C2056" s="391">
        <v>8.5500000000000007</v>
      </c>
      <c r="D2056" s="392"/>
      <c r="E2056" s="392"/>
      <c r="F2056" s="392"/>
      <c r="G2056" s="392"/>
      <c r="H2056" s="392"/>
      <c r="I2056" s="393"/>
      <c r="J2056" s="381"/>
    </row>
    <row r="2057" spans="1:10">
      <c r="A2057" s="350" t="s">
        <v>385</v>
      </c>
      <c r="B2057" s="351">
        <v>7</v>
      </c>
      <c r="C2057" s="391">
        <v>3.78</v>
      </c>
      <c r="D2057" s="392">
        <f>C2057*0.22</f>
        <v>0.83160000000000001</v>
      </c>
      <c r="E2057" s="355"/>
      <c r="F2057" s="392">
        <f>C2057*0.9</f>
        <v>3.4019999999999997</v>
      </c>
      <c r="G2057" s="392">
        <f>C2057+D2057+E2057+F2057</f>
        <v>8.0136000000000003</v>
      </c>
      <c r="H2057" s="392">
        <f>G2057*0.35</f>
        <v>2.8047599999999999</v>
      </c>
      <c r="I2057" s="393">
        <f>G2057+H2057</f>
        <v>10.81836</v>
      </c>
      <c r="J2057" s="381"/>
    </row>
    <row r="2058" spans="1:10">
      <c r="A2058" s="350"/>
      <c r="B2058" s="351"/>
      <c r="C2058" s="391"/>
      <c r="D2058" s="392"/>
      <c r="E2058" s="355"/>
      <c r="F2058" s="392"/>
      <c r="G2058" s="392"/>
      <c r="H2058" s="392"/>
      <c r="I2058" s="393"/>
      <c r="J2058" s="381"/>
    </row>
    <row r="2059" spans="1:10">
      <c r="A2059" s="345" t="s">
        <v>1540</v>
      </c>
      <c r="B2059" s="346" t="s">
        <v>1539</v>
      </c>
      <c r="C2059" s="412">
        <f>C2060+C2061</f>
        <v>17.399999999999999</v>
      </c>
      <c r="D2059" s="412">
        <f>C2059*0.22</f>
        <v>3.8279999999999998</v>
      </c>
      <c r="E2059" s="412">
        <v>0.18</v>
      </c>
      <c r="F2059" s="412">
        <f>C2059*0.9</f>
        <v>15.659999999999998</v>
      </c>
      <c r="G2059" s="412">
        <f>C2059+D2059+E2059+F2059</f>
        <v>37.067999999999998</v>
      </c>
      <c r="H2059" s="412">
        <f>G2059*0.35</f>
        <v>12.973799999999999</v>
      </c>
      <c r="I2059" s="413">
        <f>G2059+H2059</f>
        <v>50.041799999999995</v>
      </c>
      <c r="J2059" s="349">
        <f>(I2059+I2062+I2063)*8</f>
        <v>486.88127999999995</v>
      </c>
    </row>
    <row r="2060" spans="1:10">
      <c r="A2060" s="377" t="s">
        <v>258</v>
      </c>
      <c r="B2060" s="350">
        <v>15</v>
      </c>
      <c r="C2060" s="391">
        <v>8.85</v>
      </c>
      <c r="D2060" s="392"/>
      <c r="E2060" s="392"/>
      <c r="F2060" s="392"/>
      <c r="G2060" s="392"/>
      <c r="H2060" s="392"/>
      <c r="I2060" s="393"/>
      <c r="J2060" s="381"/>
    </row>
    <row r="2061" spans="1:10">
      <c r="A2061" s="350" t="s">
        <v>337</v>
      </c>
      <c r="B2061" s="350">
        <v>15</v>
      </c>
      <c r="C2061" s="391">
        <v>8.5500000000000007</v>
      </c>
      <c r="D2061" s="392"/>
      <c r="E2061" s="392"/>
      <c r="F2061" s="392"/>
      <c r="G2061" s="392"/>
      <c r="H2061" s="392">
        <f>G2061*0.35</f>
        <v>0</v>
      </c>
      <c r="I2061" s="393">
        <f>G2061+H2061</f>
        <v>0</v>
      </c>
      <c r="J2061" s="381"/>
    </row>
    <row r="2062" spans="1:10">
      <c r="A2062" s="350" t="s">
        <v>385</v>
      </c>
      <c r="B2062" s="351">
        <v>7</v>
      </c>
      <c r="C2062" s="391">
        <v>3.78</v>
      </c>
      <c r="D2062" s="392">
        <f>C2062*0.22</f>
        <v>0.83160000000000001</v>
      </c>
      <c r="E2062" s="355"/>
      <c r="F2062" s="392">
        <f>C2062*0.9</f>
        <v>3.4019999999999997</v>
      </c>
      <c r="G2062" s="392">
        <f>C2062+D2062+E2062+F2062</f>
        <v>8.0136000000000003</v>
      </c>
      <c r="H2062" s="392">
        <f>G2062*0.35</f>
        <v>2.8047599999999999</v>
      </c>
      <c r="I2062" s="393">
        <f>G2062+H2062</f>
        <v>10.81836</v>
      </c>
      <c r="J2062" s="381"/>
    </row>
    <row r="2063" spans="1:10">
      <c r="A2063" s="350"/>
      <c r="B2063" s="351"/>
      <c r="C2063" s="391"/>
      <c r="D2063" s="392"/>
      <c r="E2063" s="355"/>
      <c r="F2063" s="392"/>
      <c r="G2063" s="392"/>
      <c r="H2063" s="392"/>
      <c r="I2063" s="393"/>
      <c r="J2063" s="381"/>
    </row>
    <row r="2064" spans="1:10">
      <c r="A2064" s="345" t="s">
        <v>1541</v>
      </c>
      <c r="B2064" s="346" t="s">
        <v>1539</v>
      </c>
      <c r="C2064" s="412">
        <f>C2065+C2066</f>
        <v>13.92</v>
      </c>
      <c r="D2064" s="412">
        <f>C2064*0.22</f>
        <v>3.0623999999999998</v>
      </c>
      <c r="E2064" s="412">
        <v>24.39</v>
      </c>
      <c r="F2064" s="412">
        <f>C2064*0.9</f>
        <v>12.528</v>
      </c>
      <c r="G2064" s="412">
        <f>C2064+D2064+E2064+F2064</f>
        <v>53.900399999999998</v>
      </c>
      <c r="H2064" s="412">
        <f>G2064*0.35</f>
        <v>18.865139999999997</v>
      </c>
      <c r="I2064" s="413">
        <f>G2064+H2064</f>
        <v>72.765539999999987</v>
      </c>
      <c r="J2064" s="349">
        <f>(I2064+I2067+I2068)*8</f>
        <v>642.56975999999986</v>
      </c>
    </row>
    <row r="2065" spans="1:10">
      <c r="A2065" s="377" t="s">
        <v>258</v>
      </c>
      <c r="B2065" s="350">
        <v>12</v>
      </c>
      <c r="C2065" s="391">
        <v>7.08</v>
      </c>
      <c r="D2065" s="392"/>
      <c r="E2065" s="392"/>
      <c r="F2065" s="392"/>
      <c r="G2065" s="392"/>
      <c r="H2065" s="392"/>
      <c r="I2065" s="393"/>
      <c r="J2065" s="381"/>
    </row>
    <row r="2066" spans="1:10">
      <c r="A2066" s="350" t="s">
        <v>337</v>
      </c>
      <c r="B2066" s="350">
        <v>12</v>
      </c>
      <c r="C2066" s="391">
        <v>6.84</v>
      </c>
      <c r="D2066" s="392"/>
      <c r="E2066" s="392"/>
      <c r="F2066" s="392"/>
      <c r="G2066" s="392"/>
      <c r="H2066" s="392"/>
      <c r="I2066" s="393"/>
      <c r="J2066" s="381"/>
    </row>
    <row r="2067" spans="1:10">
      <c r="A2067" s="350" t="s">
        <v>385</v>
      </c>
      <c r="B2067" s="351">
        <v>6</v>
      </c>
      <c r="C2067" s="391">
        <v>2.64</v>
      </c>
      <c r="D2067" s="392">
        <f>C2067*0.22</f>
        <v>0.58079999999999998</v>
      </c>
      <c r="E2067" s="355"/>
      <c r="F2067" s="392">
        <f>C2067*0.9</f>
        <v>2.3760000000000003</v>
      </c>
      <c r="G2067" s="392">
        <f>C2067+D2067+E2067+F2067</f>
        <v>5.5968</v>
      </c>
      <c r="H2067" s="392">
        <f>G2067*0.35</f>
        <v>1.95888</v>
      </c>
      <c r="I2067" s="393">
        <f>G2067+H2067</f>
        <v>7.5556799999999997</v>
      </c>
      <c r="J2067" s="381"/>
    </row>
    <row r="2068" spans="1:10">
      <c r="A2068" s="350"/>
      <c r="B2068" s="351"/>
      <c r="C2068" s="391"/>
      <c r="D2068" s="392"/>
      <c r="E2068" s="355"/>
      <c r="F2068" s="392"/>
      <c r="G2068" s="392"/>
      <c r="H2068" s="392"/>
      <c r="I2068" s="393"/>
      <c r="J2068" s="381"/>
    </row>
    <row r="2069" spans="1:10">
      <c r="A2069" s="345" t="s">
        <v>1542</v>
      </c>
      <c r="B2069" s="346" t="s">
        <v>1536</v>
      </c>
      <c r="C2069" s="412">
        <f>C2070+C2071</f>
        <v>17.399999999999999</v>
      </c>
      <c r="D2069" s="412">
        <f>C2069*0.22</f>
        <v>3.8279999999999998</v>
      </c>
      <c r="E2069" s="412">
        <v>46.09</v>
      </c>
      <c r="F2069" s="412">
        <f>C2069*0.9</f>
        <v>15.659999999999998</v>
      </c>
      <c r="G2069" s="412">
        <f>C2069+D2069+E2069+F2069</f>
        <v>82.977999999999994</v>
      </c>
      <c r="H2069" s="412">
        <f>G2069*0.35</f>
        <v>29.042299999999997</v>
      </c>
      <c r="I2069" s="413">
        <f>G2069+H2069</f>
        <v>112.02029999999999</v>
      </c>
      <c r="J2069" s="349">
        <f>(I2069+I2072+I2073)*10</f>
        <v>1228.3865999999998</v>
      </c>
    </row>
    <row r="2070" spans="1:10">
      <c r="A2070" s="377" t="s">
        <v>258</v>
      </c>
      <c r="B2070" s="350">
        <v>15</v>
      </c>
      <c r="C2070" s="391">
        <v>8.85</v>
      </c>
      <c r="D2070" s="392"/>
      <c r="E2070" s="392"/>
      <c r="F2070" s="392"/>
      <c r="G2070" s="392"/>
      <c r="H2070" s="392"/>
      <c r="I2070" s="393"/>
      <c r="J2070" s="381"/>
    </row>
    <row r="2071" spans="1:10">
      <c r="A2071" s="350" t="s">
        <v>337</v>
      </c>
      <c r="B2071" s="350">
        <v>15</v>
      </c>
      <c r="C2071" s="391">
        <v>8.5500000000000007</v>
      </c>
      <c r="D2071" s="392"/>
      <c r="E2071" s="392"/>
      <c r="F2071" s="392"/>
      <c r="G2071" s="392"/>
      <c r="H2071" s="392"/>
      <c r="I2071" s="393"/>
      <c r="J2071" s="381"/>
    </row>
    <row r="2072" spans="1:10">
      <c r="A2072" s="350" t="s">
        <v>385</v>
      </c>
      <c r="B2072" s="351">
        <v>7</v>
      </c>
      <c r="C2072" s="391">
        <v>3.78</v>
      </c>
      <c r="D2072" s="392">
        <f>C2072*0.22</f>
        <v>0.83160000000000001</v>
      </c>
      <c r="E2072" s="355"/>
      <c r="F2072" s="392">
        <f>C2072*0.9</f>
        <v>3.4019999999999997</v>
      </c>
      <c r="G2072" s="392">
        <f>C2072+D2072+E2072+F2072</f>
        <v>8.0136000000000003</v>
      </c>
      <c r="H2072" s="392">
        <f>G2072*0.35</f>
        <v>2.8047599999999999</v>
      </c>
      <c r="I2072" s="393">
        <f>G2072+H2072</f>
        <v>10.81836</v>
      </c>
      <c r="J2072" s="381"/>
    </row>
    <row r="2073" spans="1:10">
      <c r="A2073" s="350"/>
      <c r="B2073" s="351"/>
      <c r="C2073" s="391"/>
      <c r="D2073" s="392"/>
      <c r="E2073" s="355"/>
      <c r="F2073" s="392"/>
      <c r="G2073" s="392"/>
      <c r="H2073" s="392"/>
      <c r="I2073" s="393"/>
      <c r="J2073" s="381"/>
    </row>
    <row r="2074" spans="1:10">
      <c r="A2074" s="345" t="s">
        <v>1543</v>
      </c>
      <c r="B2074" s="346" t="s">
        <v>1544</v>
      </c>
      <c r="C2074" s="412">
        <f>C2075+C2076</f>
        <v>11.600000000000001</v>
      </c>
      <c r="D2074" s="412">
        <f>C2074*0.22</f>
        <v>2.5520000000000005</v>
      </c>
      <c r="E2074" s="412">
        <v>0.18</v>
      </c>
      <c r="F2074" s="412">
        <f>C2074*0.9</f>
        <v>10.440000000000001</v>
      </c>
      <c r="G2074" s="412">
        <f>C2074+D2074+E2074+F2074</f>
        <v>24.772000000000002</v>
      </c>
      <c r="H2074" s="412">
        <f>G2074*0.35</f>
        <v>8.6701999999999995</v>
      </c>
      <c r="I2074" s="413">
        <f>G2074+H2074</f>
        <v>33.4422</v>
      </c>
      <c r="J2074" s="349">
        <f>(I2074+I2077+I2078)*7</f>
        <v>288.18720000000002</v>
      </c>
    </row>
    <row r="2075" spans="1:10">
      <c r="A2075" s="377" t="s">
        <v>258</v>
      </c>
      <c r="B2075" s="350">
        <v>10</v>
      </c>
      <c r="C2075" s="391">
        <v>5.9</v>
      </c>
      <c r="D2075" s="392"/>
      <c r="E2075" s="392"/>
      <c r="F2075" s="392"/>
      <c r="G2075" s="392"/>
      <c r="H2075" s="392"/>
      <c r="I2075" s="393"/>
      <c r="J2075" s="381"/>
    </row>
    <row r="2076" spans="1:10">
      <c r="A2076" s="350" t="s">
        <v>337</v>
      </c>
      <c r="B2076" s="350">
        <v>10</v>
      </c>
      <c r="C2076" s="391">
        <v>5.7</v>
      </c>
      <c r="D2076" s="392"/>
      <c r="E2076" s="392"/>
      <c r="F2076" s="392"/>
      <c r="G2076" s="392"/>
      <c r="H2076" s="392"/>
      <c r="I2076" s="393"/>
      <c r="J2076" s="381"/>
    </row>
    <row r="2077" spans="1:10">
      <c r="A2077" s="350" t="s">
        <v>385</v>
      </c>
      <c r="B2077" s="351">
        <v>5</v>
      </c>
      <c r="C2077" s="391">
        <v>2.7</v>
      </c>
      <c r="D2077" s="392">
        <f>C2077*0.22</f>
        <v>0.59400000000000008</v>
      </c>
      <c r="E2077" s="355"/>
      <c r="F2077" s="392">
        <f>C2077*0.9</f>
        <v>2.4300000000000002</v>
      </c>
      <c r="G2077" s="392">
        <f>C2077+D2077+E2077+F2077</f>
        <v>5.7240000000000002</v>
      </c>
      <c r="H2077" s="392">
        <f>G2077*0.35</f>
        <v>2.0034000000000001</v>
      </c>
      <c r="I2077" s="393">
        <f>G2077+H2077</f>
        <v>7.7274000000000003</v>
      </c>
      <c r="J2077" s="381"/>
    </row>
    <row r="2078" spans="1:10">
      <c r="A2078" s="350"/>
      <c r="B2078" s="351"/>
      <c r="C2078" s="391"/>
      <c r="D2078" s="392"/>
      <c r="E2078" s="355"/>
      <c r="F2078" s="392"/>
      <c r="G2078" s="392"/>
      <c r="H2078" s="392"/>
      <c r="I2078" s="393"/>
      <c r="J2078" s="381"/>
    </row>
    <row r="2079" spans="1:10" ht="21">
      <c r="A2079" s="345" t="s">
        <v>1545</v>
      </c>
      <c r="B2079" s="346" t="s">
        <v>1539</v>
      </c>
      <c r="C2079" s="412">
        <f>C2080+C2081</f>
        <v>11.600000000000001</v>
      </c>
      <c r="D2079" s="412">
        <f>C2079*0.22</f>
        <v>2.5520000000000005</v>
      </c>
      <c r="E2079" s="412">
        <v>4.6900000000000004</v>
      </c>
      <c r="F2079" s="412">
        <f>C2079*0.9</f>
        <v>10.440000000000001</v>
      </c>
      <c r="G2079" s="412">
        <f>C2079+D2079+E2079+F2079</f>
        <v>29.282000000000004</v>
      </c>
      <c r="H2079" s="412">
        <f>G2079*0.35</f>
        <v>10.248700000000001</v>
      </c>
      <c r="I2079" s="413">
        <f>G2079+H2079</f>
        <v>39.530700000000003</v>
      </c>
      <c r="J2079" s="349">
        <f>(I2079+I2082+I2083)*8</f>
        <v>378.06480000000005</v>
      </c>
    </row>
    <row r="2080" spans="1:10">
      <c r="A2080" s="377" t="s">
        <v>258</v>
      </c>
      <c r="B2080" s="350">
        <v>10</v>
      </c>
      <c r="C2080" s="391">
        <v>5.9</v>
      </c>
      <c r="D2080" s="392"/>
      <c r="E2080" s="392"/>
      <c r="F2080" s="392"/>
      <c r="G2080" s="392"/>
      <c r="H2080" s="392"/>
      <c r="I2080" s="393"/>
      <c r="J2080" s="458"/>
    </row>
    <row r="2081" spans="1:10">
      <c r="A2081" s="350" t="s">
        <v>337</v>
      </c>
      <c r="B2081" s="350">
        <v>10</v>
      </c>
      <c r="C2081" s="391">
        <v>5.7</v>
      </c>
      <c r="D2081" s="392"/>
      <c r="E2081" s="392"/>
      <c r="F2081" s="392"/>
      <c r="G2081" s="392"/>
      <c r="H2081" s="392"/>
      <c r="I2081" s="393"/>
      <c r="J2081" s="408"/>
    </row>
    <row r="2082" spans="1:10">
      <c r="A2082" s="350" t="s">
        <v>385</v>
      </c>
      <c r="B2082" s="351">
        <v>5</v>
      </c>
      <c r="C2082" s="391">
        <v>2.7</v>
      </c>
      <c r="D2082" s="392">
        <f>C2082*0.22</f>
        <v>0.59400000000000008</v>
      </c>
      <c r="E2082" s="355"/>
      <c r="F2082" s="392">
        <f>C2082*0.9</f>
        <v>2.4300000000000002</v>
      </c>
      <c r="G2082" s="392">
        <f>C2082+D2082+E2082+F2082</f>
        <v>5.7240000000000002</v>
      </c>
      <c r="H2082" s="392">
        <f>G2082*0.35</f>
        <v>2.0034000000000001</v>
      </c>
      <c r="I2082" s="393">
        <f>G2082+H2082</f>
        <v>7.7274000000000003</v>
      </c>
      <c r="J2082" s="408"/>
    </row>
    <row r="2083" spans="1:10">
      <c r="A2083" s="350"/>
      <c r="B2083" s="351"/>
      <c r="C2083" s="391"/>
      <c r="D2083" s="392"/>
      <c r="E2083" s="355"/>
      <c r="F2083" s="392"/>
      <c r="G2083" s="392"/>
      <c r="H2083" s="392"/>
      <c r="I2083" s="393"/>
      <c r="J2083" s="408"/>
    </row>
    <row r="2084" spans="1:10" ht="21.75">
      <c r="A2084" s="383" t="s">
        <v>1546</v>
      </c>
      <c r="B2084" s="384"/>
      <c r="C2084" s="412">
        <f>C2085+C2086</f>
        <v>11.600000000000001</v>
      </c>
      <c r="D2084" s="412">
        <f>C2084*0.22</f>
        <v>2.5520000000000005</v>
      </c>
      <c r="E2084" s="384">
        <v>0.18</v>
      </c>
      <c r="F2084" s="412">
        <f>C2084*0.9</f>
        <v>10.440000000000001</v>
      </c>
      <c r="G2084" s="412">
        <f>C2084+D2084+E2084+F2084</f>
        <v>24.772000000000002</v>
      </c>
      <c r="H2084" s="412">
        <f>G2084*0.35</f>
        <v>8.6701999999999995</v>
      </c>
      <c r="I2084" s="413">
        <f>G2084+H2084</f>
        <v>33.4422</v>
      </c>
      <c r="J2084" s="349">
        <f>I2084+I2087+I2088</f>
        <v>41.169600000000003</v>
      </c>
    </row>
    <row r="2085" spans="1:10">
      <c r="A2085" s="426" t="s">
        <v>258</v>
      </c>
      <c r="B2085" s="426">
        <v>10</v>
      </c>
      <c r="C2085" s="426">
        <v>5.9</v>
      </c>
      <c r="D2085" s="392"/>
      <c r="E2085" s="386"/>
      <c r="F2085" s="392"/>
      <c r="G2085" s="392"/>
      <c r="H2085" s="392"/>
      <c r="I2085" s="393"/>
      <c r="J2085" s="381"/>
    </row>
    <row r="2086" spans="1:10">
      <c r="A2086" s="459" t="s">
        <v>337</v>
      </c>
      <c r="B2086" s="426">
        <v>10</v>
      </c>
      <c r="C2086" s="426">
        <v>5.7</v>
      </c>
      <c r="D2086" s="392"/>
      <c r="E2086" s="386"/>
      <c r="F2086" s="392"/>
      <c r="G2086" s="392"/>
      <c r="H2086" s="392"/>
      <c r="I2086" s="393"/>
      <c r="J2086" s="381"/>
    </row>
    <row r="2087" spans="1:10">
      <c r="A2087" s="350" t="s">
        <v>385</v>
      </c>
      <c r="B2087" s="351">
        <v>5</v>
      </c>
      <c r="C2087" s="391">
        <v>2.7</v>
      </c>
      <c r="D2087" s="392">
        <f>C2087*0.22</f>
        <v>0.59400000000000008</v>
      </c>
      <c r="E2087" s="355"/>
      <c r="F2087" s="392">
        <f>C2087*0.9</f>
        <v>2.4300000000000002</v>
      </c>
      <c r="G2087" s="392">
        <f>C2087+D2087+E2087+F2087</f>
        <v>5.7240000000000002</v>
      </c>
      <c r="H2087" s="392">
        <f>G2087*0.35</f>
        <v>2.0034000000000001</v>
      </c>
      <c r="I2087" s="393">
        <f>G2087+H2087</f>
        <v>7.7274000000000003</v>
      </c>
      <c r="J2087" s="381"/>
    </row>
    <row r="2088" spans="1:10">
      <c r="A2088" s="350"/>
      <c r="B2088" s="351"/>
      <c r="C2088" s="391"/>
      <c r="D2088" s="392"/>
      <c r="E2088" s="355"/>
      <c r="F2088" s="392"/>
      <c r="G2088" s="392"/>
      <c r="H2088" s="392"/>
      <c r="I2088" s="393"/>
      <c r="J2088" s="381"/>
    </row>
    <row r="2089" spans="1:10">
      <c r="A2089" s="445" t="s">
        <v>485</v>
      </c>
      <c r="B2089" s="384"/>
      <c r="C2089" s="412">
        <f>C2090+C2091</f>
        <v>22.200000000000003</v>
      </c>
      <c r="D2089" s="412">
        <f>C2089*0.22</f>
        <v>4.8840000000000003</v>
      </c>
      <c r="E2089" s="384">
        <v>0.18</v>
      </c>
      <c r="F2089" s="412">
        <f>C2089*0.9</f>
        <v>19.980000000000004</v>
      </c>
      <c r="G2089" s="412">
        <f>C2089+D2089+E2089+F2089</f>
        <v>47.244000000000007</v>
      </c>
      <c r="H2089" s="412">
        <f>G2089*0.35</f>
        <v>16.535400000000003</v>
      </c>
      <c r="I2089" s="413">
        <f>G2089+H2089</f>
        <v>63.77940000000001</v>
      </c>
      <c r="J2089" s="349">
        <f>I2089+I2092+I2093</f>
        <v>79.234200000000016</v>
      </c>
    </row>
    <row r="2090" spans="1:10">
      <c r="A2090" s="426" t="s">
        <v>258</v>
      </c>
      <c r="B2090" s="426">
        <v>20</v>
      </c>
      <c r="C2090" s="426">
        <v>11.8</v>
      </c>
      <c r="D2090" s="392"/>
      <c r="E2090" s="386"/>
      <c r="F2090" s="392"/>
      <c r="G2090" s="392"/>
      <c r="H2090" s="392"/>
      <c r="I2090" s="393"/>
      <c r="J2090" s="381"/>
    </row>
    <row r="2091" spans="1:10">
      <c r="A2091" s="459" t="s">
        <v>337</v>
      </c>
      <c r="B2091" s="426">
        <v>20</v>
      </c>
      <c r="C2091" s="426">
        <v>10.4</v>
      </c>
      <c r="D2091" s="392"/>
      <c r="E2091" s="386"/>
      <c r="F2091" s="392"/>
      <c r="G2091" s="392"/>
      <c r="H2091" s="392"/>
      <c r="I2091" s="393"/>
      <c r="J2091" s="381"/>
    </row>
    <row r="2092" spans="1:10">
      <c r="A2092" s="350" t="s">
        <v>385</v>
      </c>
      <c r="B2092" s="351">
        <v>10</v>
      </c>
      <c r="C2092" s="391">
        <v>5.4</v>
      </c>
      <c r="D2092" s="392">
        <f>C2092*0.22</f>
        <v>1.1880000000000002</v>
      </c>
      <c r="E2092" s="355"/>
      <c r="F2092" s="392">
        <f>C2092*0.9</f>
        <v>4.8600000000000003</v>
      </c>
      <c r="G2092" s="392">
        <f>C2092+D2092+E2092+F2092</f>
        <v>11.448</v>
      </c>
      <c r="H2092" s="392">
        <f>G2092*0.35</f>
        <v>4.0068000000000001</v>
      </c>
      <c r="I2092" s="393">
        <f>G2092+H2092</f>
        <v>15.454800000000001</v>
      </c>
      <c r="J2092" s="381"/>
    </row>
    <row r="2093" spans="1:10">
      <c r="A2093" s="350"/>
      <c r="B2093" s="351"/>
      <c r="C2093" s="391"/>
      <c r="D2093" s="392"/>
      <c r="E2093" s="355"/>
      <c r="F2093" s="392"/>
      <c r="G2093" s="392"/>
      <c r="H2093" s="392"/>
      <c r="I2093" s="393"/>
      <c r="J2093" s="381"/>
    </row>
    <row r="2094" spans="1:10">
      <c r="A2094" s="460" t="s">
        <v>1547</v>
      </c>
      <c r="B2094" s="461"/>
      <c r="C2094" s="412">
        <f>C2095+C2096</f>
        <v>22.200000000000003</v>
      </c>
      <c r="D2094" s="412">
        <f>C2094*0.22</f>
        <v>4.8840000000000003</v>
      </c>
      <c r="E2094" s="384">
        <v>0.18</v>
      </c>
      <c r="F2094" s="412">
        <f>C2094*0.9</f>
        <v>19.980000000000004</v>
      </c>
      <c r="G2094" s="412">
        <f>C2094+D2094+E2094+F2094</f>
        <v>47.244000000000007</v>
      </c>
      <c r="H2094" s="412">
        <f>G2094*0.35</f>
        <v>16.535400000000003</v>
      </c>
      <c r="I2094" s="413">
        <f>G2094+H2094</f>
        <v>63.77940000000001</v>
      </c>
      <c r="J2094" s="349">
        <f>I2094+I2097+I2098</f>
        <v>79.234200000000016</v>
      </c>
    </row>
    <row r="2095" spans="1:10">
      <c r="A2095" s="459" t="s">
        <v>258</v>
      </c>
      <c r="B2095" s="459">
        <v>20</v>
      </c>
      <c r="C2095" s="391">
        <v>11.8</v>
      </c>
      <c r="D2095" s="392"/>
      <c r="E2095" s="386"/>
      <c r="F2095" s="392"/>
      <c r="G2095" s="392"/>
      <c r="H2095" s="392"/>
      <c r="I2095" s="393"/>
      <c r="J2095" s="381"/>
    </row>
    <row r="2096" spans="1:10">
      <c r="A2096" s="459" t="s">
        <v>337</v>
      </c>
      <c r="B2096" s="459">
        <v>20</v>
      </c>
      <c r="C2096" s="426">
        <v>10.4</v>
      </c>
      <c r="D2096" s="392"/>
      <c r="E2096" s="386"/>
      <c r="F2096" s="392"/>
      <c r="G2096" s="392"/>
      <c r="H2096" s="392"/>
      <c r="I2096" s="393"/>
      <c r="J2096" s="381"/>
    </row>
    <row r="2097" spans="1:10">
      <c r="A2097" s="350" t="s">
        <v>385</v>
      </c>
      <c r="B2097" s="351">
        <v>10</v>
      </c>
      <c r="C2097" s="391">
        <v>5.4</v>
      </c>
      <c r="D2097" s="392">
        <f>C2097*0.22</f>
        <v>1.1880000000000002</v>
      </c>
      <c r="E2097" s="355"/>
      <c r="F2097" s="392">
        <f>C2097*0.9</f>
        <v>4.8600000000000003</v>
      </c>
      <c r="G2097" s="392">
        <f>C2097+D2097+E2097+F2097</f>
        <v>11.448</v>
      </c>
      <c r="H2097" s="392">
        <f>G2097*0.35</f>
        <v>4.0068000000000001</v>
      </c>
      <c r="I2097" s="393">
        <f>G2097+H2097</f>
        <v>15.454800000000001</v>
      </c>
      <c r="J2097" s="381"/>
    </row>
    <row r="2098" spans="1:10">
      <c r="A2098" s="350"/>
      <c r="B2098" s="351"/>
      <c r="C2098" s="391"/>
      <c r="D2098" s="392"/>
      <c r="E2098" s="355"/>
      <c r="F2098" s="392"/>
      <c r="G2098" s="392"/>
      <c r="H2098" s="392"/>
      <c r="I2098" s="393"/>
      <c r="J2098" s="381"/>
    </row>
    <row r="2099" spans="1:10">
      <c r="A2099" s="445" t="s">
        <v>1548</v>
      </c>
      <c r="B2099" s="384"/>
      <c r="C2099" s="412">
        <f>C2100+C2101</f>
        <v>17.399999999999999</v>
      </c>
      <c r="D2099" s="412">
        <f>C2099*0.22</f>
        <v>3.8279999999999998</v>
      </c>
      <c r="E2099" s="384">
        <v>0.39</v>
      </c>
      <c r="F2099" s="412">
        <f>C2099*0.9</f>
        <v>15.659999999999998</v>
      </c>
      <c r="G2099" s="412">
        <f>C2099+D2099+E2099+F2099</f>
        <v>37.277999999999999</v>
      </c>
      <c r="H2099" s="412">
        <f>G2099*0.35</f>
        <v>13.047299999999998</v>
      </c>
      <c r="I2099" s="413">
        <f>G2099+H2099</f>
        <v>50.325299999999999</v>
      </c>
      <c r="J2099" s="349">
        <f>I2099+I2102+I2103</f>
        <v>61.143659999999997</v>
      </c>
    </row>
    <row r="2100" spans="1:10">
      <c r="A2100" s="426" t="s">
        <v>258</v>
      </c>
      <c r="B2100" s="426">
        <v>15</v>
      </c>
      <c r="C2100" s="426">
        <v>8.85</v>
      </c>
      <c r="D2100" s="392"/>
      <c r="E2100" s="386"/>
      <c r="F2100" s="392"/>
      <c r="G2100" s="392"/>
      <c r="H2100" s="392"/>
      <c r="I2100" s="393"/>
      <c r="J2100" s="381"/>
    </row>
    <row r="2101" spans="1:10">
      <c r="A2101" s="459" t="s">
        <v>337</v>
      </c>
      <c r="B2101" s="426">
        <v>15</v>
      </c>
      <c r="C2101" s="426">
        <v>8.5500000000000007</v>
      </c>
      <c r="D2101" s="392"/>
      <c r="E2101" s="386"/>
      <c r="F2101" s="392">
        <f t="shared" ref="F2101:F2109" si="363">C2101*0.9</f>
        <v>7.6950000000000012</v>
      </c>
      <c r="G2101" s="392"/>
      <c r="H2101" s="392">
        <f>G2101*0.35</f>
        <v>0</v>
      </c>
      <c r="I2101" s="393"/>
      <c r="J2101" s="381"/>
    </row>
    <row r="2102" spans="1:10">
      <c r="A2102" s="350" t="s">
        <v>385</v>
      </c>
      <c r="B2102" s="351">
        <v>7</v>
      </c>
      <c r="C2102" s="391">
        <v>3.78</v>
      </c>
      <c r="D2102" s="392">
        <f>C2102*0.22</f>
        <v>0.83160000000000001</v>
      </c>
      <c r="E2102" s="355"/>
      <c r="F2102" s="392">
        <f t="shared" si="363"/>
        <v>3.4019999999999997</v>
      </c>
      <c r="G2102" s="392">
        <f>C2102+D2102+E2102+F2102</f>
        <v>8.0136000000000003</v>
      </c>
      <c r="H2102" s="392">
        <f>G2102*0.35</f>
        <v>2.8047599999999999</v>
      </c>
      <c r="I2102" s="393">
        <f>G2102+H2102</f>
        <v>10.81836</v>
      </c>
      <c r="J2102" s="381"/>
    </row>
    <row r="2103" spans="1:10">
      <c r="A2103" s="350"/>
      <c r="B2103" s="351"/>
      <c r="C2103" s="391"/>
      <c r="D2103" s="392"/>
      <c r="E2103" s="355"/>
      <c r="F2103" s="392"/>
      <c r="G2103" s="392"/>
      <c r="H2103" s="392"/>
      <c r="I2103" s="393"/>
      <c r="J2103" s="381"/>
    </row>
    <row r="2104" spans="1:10">
      <c r="A2104" s="460" t="s">
        <v>64</v>
      </c>
      <c r="B2104" s="461"/>
      <c r="C2104" s="412">
        <f>C2105+C2106</f>
        <v>34.799999999999997</v>
      </c>
      <c r="D2104" s="412">
        <f>C2104*0.22</f>
        <v>7.6559999999999997</v>
      </c>
      <c r="E2104" s="384">
        <v>0.18</v>
      </c>
      <c r="F2104" s="412">
        <f t="shared" si="363"/>
        <v>31.319999999999997</v>
      </c>
      <c r="G2104" s="412">
        <f>C2104+D2104+E2104+F2104</f>
        <v>73.955999999999989</v>
      </c>
      <c r="H2104" s="412">
        <f>G2104*0.35</f>
        <v>25.884599999999995</v>
      </c>
      <c r="I2104" s="413">
        <f>G2104+H2104</f>
        <v>99.840599999999981</v>
      </c>
      <c r="J2104" s="349">
        <f>I2104+I2107+I2108</f>
        <v>118.72979999999998</v>
      </c>
    </row>
    <row r="2105" spans="1:10">
      <c r="A2105" s="459" t="s">
        <v>258</v>
      </c>
      <c r="B2105" s="459">
        <v>30</v>
      </c>
      <c r="C2105" s="426">
        <v>17.7</v>
      </c>
      <c r="D2105" s="392"/>
      <c r="E2105" s="386"/>
      <c r="F2105" s="392">
        <f t="shared" si="363"/>
        <v>15.93</v>
      </c>
      <c r="G2105" s="392"/>
      <c r="H2105" s="392"/>
      <c r="I2105" s="393"/>
      <c r="J2105" s="381"/>
    </row>
    <row r="2106" spans="1:10">
      <c r="A2106" s="459" t="s">
        <v>337</v>
      </c>
      <c r="B2106" s="459">
        <v>30</v>
      </c>
      <c r="C2106" s="426">
        <v>17.100000000000001</v>
      </c>
      <c r="D2106" s="392"/>
      <c r="E2106" s="386"/>
      <c r="F2106" s="392">
        <f t="shared" si="363"/>
        <v>15.390000000000002</v>
      </c>
      <c r="G2106" s="392"/>
      <c r="H2106" s="392">
        <f>G2106*0.35</f>
        <v>0</v>
      </c>
      <c r="I2106" s="393"/>
      <c r="J2106" s="381"/>
    </row>
    <row r="2107" spans="1:10">
      <c r="A2107" s="350" t="s">
        <v>385</v>
      </c>
      <c r="B2107" s="351">
        <v>15</v>
      </c>
      <c r="C2107" s="391">
        <v>6.6</v>
      </c>
      <c r="D2107" s="392">
        <f>C2107*0.22</f>
        <v>1.452</v>
      </c>
      <c r="E2107" s="355"/>
      <c r="F2107" s="392">
        <f t="shared" si="363"/>
        <v>5.9399999999999995</v>
      </c>
      <c r="G2107" s="392">
        <f>C2107+D2107+E2107+F2107</f>
        <v>13.991999999999999</v>
      </c>
      <c r="H2107" s="392">
        <f>G2107*0.35</f>
        <v>4.8971999999999998</v>
      </c>
      <c r="I2107" s="393">
        <f>G2107+H2107</f>
        <v>18.889199999999999</v>
      </c>
      <c r="J2107" s="381"/>
    </row>
    <row r="2108" spans="1:10">
      <c r="A2108" s="350"/>
      <c r="B2108" s="351"/>
      <c r="C2108" s="391"/>
      <c r="D2108" s="392"/>
      <c r="E2108" s="355"/>
      <c r="F2108" s="392"/>
      <c r="G2108" s="392"/>
      <c r="H2108" s="392"/>
      <c r="I2108" s="393"/>
      <c r="J2108" s="381"/>
    </row>
    <row r="2109" spans="1:10" ht="21.75">
      <c r="A2109" s="383" t="s">
        <v>1549</v>
      </c>
      <c r="B2109" s="384"/>
      <c r="C2109" s="412">
        <f>C2110+C2111</f>
        <v>34.799999999999997</v>
      </c>
      <c r="D2109" s="412">
        <f>C2109*0.22</f>
        <v>7.6559999999999997</v>
      </c>
      <c r="E2109" s="384">
        <v>0.18</v>
      </c>
      <c r="F2109" s="412">
        <f t="shared" si="363"/>
        <v>31.319999999999997</v>
      </c>
      <c r="G2109" s="412">
        <f>C2109+D2109+E2109+F2109</f>
        <v>73.955999999999989</v>
      </c>
      <c r="H2109" s="412">
        <f>G2109*0.35</f>
        <v>25.884599999999995</v>
      </c>
      <c r="I2109" s="413">
        <f>G2109+H2109</f>
        <v>99.840599999999981</v>
      </c>
      <c r="J2109" s="349">
        <f>I2109+I2112+I2113</f>
        <v>123.02279999999999</v>
      </c>
    </row>
    <row r="2110" spans="1:10">
      <c r="A2110" s="462" t="s">
        <v>258</v>
      </c>
      <c r="B2110" s="426">
        <v>30</v>
      </c>
      <c r="C2110" s="426">
        <v>17.7</v>
      </c>
      <c r="D2110" s="392"/>
      <c r="E2110" s="386"/>
      <c r="F2110" s="392"/>
      <c r="G2110" s="392"/>
      <c r="H2110" s="392"/>
      <c r="I2110" s="393"/>
      <c r="J2110" s="458"/>
    </row>
    <row r="2111" spans="1:10">
      <c r="A2111" s="426" t="s">
        <v>337</v>
      </c>
      <c r="B2111" s="426">
        <v>30</v>
      </c>
      <c r="C2111" s="426">
        <v>17.100000000000001</v>
      </c>
      <c r="D2111" s="392"/>
      <c r="E2111" s="426"/>
      <c r="F2111" s="392"/>
      <c r="G2111" s="392"/>
      <c r="H2111" s="392"/>
      <c r="I2111" s="393"/>
      <c r="J2111" s="408"/>
    </row>
    <row r="2112" spans="1:10">
      <c r="A2112" s="350" t="s">
        <v>385</v>
      </c>
      <c r="B2112" s="351">
        <v>15</v>
      </c>
      <c r="C2112" s="391">
        <v>8.1</v>
      </c>
      <c r="D2112" s="392">
        <f>C2112*0.22</f>
        <v>1.782</v>
      </c>
      <c r="E2112" s="355"/>
      <c r="F2112" s="392">
        <f>C2112*0.9</f>
        <v>7.29</v>
      </c>
      <c r="G2112" s="392">
        <f>C2112+D2112+E2112+F2112</f>
        <v>17.172000000000001</v>
      </c>
      <c r="H2112" s="392">
        <f>G2112*0.35</f>
        <v>6.0102000000000002</v>
      </c>
      <c r="I2112" s="393">
        <f>G2112+H2112</f>
        <v>23.182200000000002</v>
      </c>
      <c r="J2112" s="408"/>
    </row>
    <row r="2113" spans="1:10">
      <c r="A2113" s="350"/>
      <c r="B2113" s="351"/>
      <c r="C2113" s="391"/>
      <c r="D2113" s="392"/>
      <c r="E2113" s="355"/>
      <c r="F2113" s="392"/>
      <c r="G2113" s="392"/>
      <c r="H2113" s="392"/>
      <c r="I2113" s="393"/>
      <c r="J2113" s="408"/>
    </row>
    <row r="2114" spans="1:10">
      <c r="A2114" s="445" t="s">
        <v>72</v>
      </c>
      <c r="B2114" s="384"/>
      <c r="C2114" s="412">
        <f>C2115+C2116</f>
        <v>22.200000000000003</v>
      </c>
      <c r="D2114" s="412">
        <f>C2114*0.22</f>
        <v>4.8840000000000003</v>
      </c>
      <c r="E2114" s="384">
        <v>0.18</v>
      </c>
      <c r="F2114" s="412">
        <f>C2114*0.9</f>
        <v>19.980000000000004</v>
      </c>
      <c r="G2114" s="412">
        <f>C2114+D2114+E2114+F2114</f>
        <v>47.244000000000007</v>
      </c>
      <c r="H2114" s="412">
        <f>G2114*0.35</f>
        <v>16.535400000000003</v>
      </c>
      <c r="I2114" s="413">
        <f>G2114+H2114</f>
        <v>63.77940000000001</v>
      </c>
      <c r="J2114" s="349">
        <f>I2114+I2117+I2118</f>
        <v>79.234200000000016</v>
      </c>
    </row>
    <row r="2115" spans="1:10">
      <c r="A2115" s="426" t="s">
        <v>258</v>
      </c>
      <c r="B2115" s="426">
        <v>20</v>
      </c>
      <c r="C2115" s="426">
        <v>11.8</v>
      </c>
      <c r="D2115" s="392"/>
      <c r="E2115" s="386"/>
      <c r="F2115" s="392"/>
      <c r="G2115" s="392"/>
      <c r="H2115" s="392"/>
      <c r="I2115" s="393"/>
      <c r="J2115" s="381"/>
    </row>
    <row r="2116" spans="1:10">
      <c r="A2116" s="426" t="s">
        <v>337</v>
      </c>
      <c r="B2116" s="426">
        <v>20</v>
      </c>
      <c r="C2116" s="426">
        <v>10.4</v>
      </c>
      <c r="D2116" s="392"/>
      <c r="E2116" s="426"/>
      <c r="F2116" s="392"/>
      <c r="G2116" s="392"/>
      <c r="H2116" s="392"/>
      <c r="I2116" s="393"/>
      <c r="J2116" s="381"/>
    </row>
    <row r="2117" spans="1:10">
      <c r="A2117" s="350" t="s">
        <v>385</v>
      </c>
      <c r="B2117" s="351">
        <v>10</v>
      </c>
      <c r="C2117" s="391">
        <v>5.4</v>
      </c>
      <c r="D2117" s="392">
        <f>C2117*0.22</f>
        <v>1.1880000000000002</v>
      </c>
      <c r="E2117" s="355"/>
      <c r="F2117" s="392">
        <f>C2117*0.9</f>
        <v>4.8600000000000003</v>
      </c>
      <c r="G2117" s="392">
        <f>C2117+D2117+E2117+F2117</f>
        <v>11.448</v>
      </c>
      <c r="H2117" s="392">
        <f>G2117*0.35</f>
        <v>4.0068000000000001</v>
      </c>
      <c r="I2117" s="393">
        <f>G2117+H2117</f>
        <v>15.454800000000001</v>
      </c>
      <c r="J2117" s="381"/>
    </row>
    <row r="2118" spans="1:10">
      <c r="A2118" s="350"/>
      <c r="B2118" s="351"/>
      <c r="C2118" s="391"/>
      <c r="D2118" s="392"/>
      <c r="E2118" s="355"/>
      <c r="F2118" s="392"/>
      <c r="G2118" s="392"/>
      <c r="H2118" s="392"/>
      <c r="I2118" s="393"/>
      <c r="J2118" s="381"/>
    </row>
    <row r="2119" spans="1:10">
      <c r="A2119" s="445" t="s">
        <v>1550</v>
      </c>
      <c r="B2119" s="384"/>
      <c r="C2119" s="412">
        <f>C2120+C2121</f>
        <v>17.399999999999999</v>
      </c>
      <c r="D2119" s="412">
        <f>C2119*0.22</f>
        <v>3.8279999999999998</v>
      </c>
      <c r="E2119" s="384">
        <v>0.18</v>
      </c>
      <c r="F2119" s="412">
        <f>C2119*0.9</f>
        <v>15.659999999999998</v>
      </c>
      <c r="G2119" s="412">
        <f>C2119+D2119+E2119+F2119</f>
        <v>37.067999999999998</v>
      </c>
      <c r="H2119" s="412">
        <f>G2119*0.35</f>
        <v>12.973799999999999</v>
      </c>
      <c r="I2119" s="413">
        <f>G2119+H2119</f>
        <v>50.041799999999995</v>
      </c>
      <c r="J2119" s="349">
        <f>I2119+I2122+I2123</f>
        <v>60.860159999999993</v>
      </c>
    </row>
    <row r="2120" spans="1:10">
      <c r="A2120" s="426" t="s">
        <v>258</v>
      </c>
      <c r="B2120" s="426">
        <v>15</v>
      </c>
      <c r="C2120" s="426">
        <v>8.85</v>
      </c>
      <c r="D2120" s="392"/>
      <c r="E2120" s="386"/>
      <c r="F2120" s="392"/>
      <c r="G2120" s="392"/>
      <c r="H2120" s="392"/>
      <c r="I2120" s="393"/>
      <c r="J2120" s="381"/>
    </row>
    <row r="2121" spans="1:10">
      <c r="A2121" s="426" t="s">
        <v>337</v>
      </c>
      <c r="B2121" s="426">
        <v>15</v>
      </c>
      <c r="C2121" s="426">
        <v>8.5500000000000007</v>
      </c>
      <c r="D2121" s="392"/>
      <c r="E2121" s="426"/>
      <c r="F2121" s="392"/>
      <c r="G2121" s="392"/>
      <c r="H2121" s="392"/>
      <c r="I2121" s="393"/>
      <c r="J2121" s="381"/>
    </row>
    <row r="2122" spans="1:10">
      <c r="A2122" s="350" t="s">
        <v>385</v>
      </c>
      <c r="B2122" s="351">
        <v>7</v>
      </c>
      <c r="C2122" s="391">
        <v>3.78</v>
      </c>
      <c r="D2122" s="392">
        <f>C2122*0.22</f>
        <v>0.83160000000000001</v>
      </c>
      <c r="E2122" s="355"/>
      <c r="F2122" s="392">
        <f>C2122*0.9</f>
        <v>3.4019999999999997</v>
      </c>
      <c r="G2122" s="392">
        <f>C2122+D2122+E2122+F2122</f>
        <v>8.0136000000000003</v>
      </c>
      <c r="H2122" s="392">
        <f>G2122*0.35</f>
        <v>2.8047599999999999</v>
      </c>
      <c r="I2122" s="393">
        <f>G2122+H2122</f>
        <v>10.81836</v>
      </c>
      <c r="J2122" s="381"/>
    </row>
    <row r="2123" spans="1:10">
      <c r="A2123" s="350"/>
      <c r="B2123" s="351"/>
      <c r="C2123" s="391"/>
      <c r="D2123" s="392"/>
      <c r="E2123" s="355"/>
      <c r="F2123" s="392"/>
      <c r="G2123" s="392"/>
      <c r="H2123" s="392"/>
      <c r="I2123" s="393"/>
      <c r="J2123" s="381"/>
    </row>
    <row r="2124" spans="1:10">
      <c r="A2124" s="445" t="s">
        <v>1551</v>
      </c>
      <c r="B2124" s="384"/>
      <c r="C2124" s="412">
        <f>C2125+C2126</f>
        <v>17.399999999999999</v>
      </c>
      <c r="D2124" s="412">
        <f>C2124*0.22</f>
        <v>3.8279999999999998</v>
      </c>
      <c r="E2124" s="384">
        <v>0.18</v>
      </c>
      <c r="F2124" s="412">
        <f>C2124*0.9</f>
        <v>15.659999999999998</v>
      </c>
      <c r="G2124" s="412">
        <f>C2124+D2124+E2124+F2124</f>
        <v>37.067999999999998</v>
      </c>
      <c r="H2124" s="412">
        <f>G2124*0.35</f>
        <v>12.973799999999999</v>
      </c>
      <c r="I2124" s="413">
        <f>G2124+H2124</f>
        <v>50.041799999999995</v>
      </c>
      <c r="J2124" s="349">
        <f>I2124+I2127+I2128</f>
        <v>60.860159999999993</v>
      </c>
    </row>
    <row r="2125" spans="1:10">
      <c r="A2125" s="426" t="s">
        <v>258</v>
      </c>
      <c r="B2125" s="426">
        <v>15</v>
      </c>
      <c r="C2125" s="426">
        <v>8.85</v>
      </c>
      <c r="D2125" s="392"/>
      <c r="E2125" s="386"/>
      <c r="F2125" s="392"/>
      <c r="G2125" s="392"/>
      <c r="H2125" s="392"/>
      <c r="I2125" s="393"/>
      <c r="J2125" s="381"/>
    </row>
    <row r="2126" spans="1:10">
      <c r="A2126" s="426" t="s">
        <v>337</v>
      </c>
      <c r="B2126" s="426">
        <v>15</v>
      </c>
      <c r="C2126" s="426">
        <v>8.5500000000000007</v>
      </c>
      <c r="D2126" s="392"/>
      <c r="E2126" s="426"/>
      <c r="F2126" s="392"/>
      <c r="G2126" s="392"/>
      <c r="H2126" s="392"/>
      <c r="I2126" s="393"/>
      <c r="J2126" s="381"/>
    </row>
    <row r="2127" spans="1:10">
      <c r="A2127" s="350" t="s">
        <v>385</v>
      </c>
      <c r="B2127" s="351">
        <v>7</v>
      </c>
      <c r="C2127" s="391">
        <v>3.78</v>
      </c>
      <c r="D2127" s="392">
        <f>C2127*0.22</f>
        <v>0.83160000000000001</v>
      </c>
      <c r="E2127" s="355"/>
      <c r="F2127" s="392">
        <f>C2127*0.9</f>
        <v>3.4019999999999997</v>
      </c>
      <c r="G2127" s="392">
        <f>C2127+D2127+E2127+F2127</f>
        <v>8.0136000000000003</v>
      </c>
      <c r="H2127" s="392">
        <f>G2127*0.35</f>
        <v>2.8047599999999999</v>
      </c>
      <c r="I2127" s="393">
        <f>G2127+H2127</f>
        <v>10.81836</v>
      </c>
      <c r="J2127" s="381"/>
    </row>
    <row r="2128" spans="1:10">
      <c r="A2128" s="350"/>
      <c r="B2128" s="351"/>
      <c r="C2128" s="391"/>
      <c r="D2128" s="392"/>
      <c r="E2128" s="355"/>
      <c r="F2128" s="392"/>
      <c r="G2128" s="392"/>
      <c r="H2128" s="392"/>
      <c r="I2128" s="393"/>
      <c r="J2128" s="381"/>
    </row>
    <row r="2129" spans="1:22">
      <c r="A2129" s="383" t="s">
        <v>1552</v>
      </c>
      <c r="B2129" s="384"/>
      <c r="C2129" s="412">
        <f>C2130+C2131</f>
        <v>34.799999999999997</v>
      </c>
      <c r="D2129" s="412">
        <f>C2129*0.22</f>
        <v>7.6559999999999997</v>
      </c>
      <c r="E2129" s="384">
        <v>0.18</v>
      </c>
      <c r="F2129" s="412">
        <f>C2129*0.9</f>
        <v>31.319999999999997</v>
      </c>
      <c r="G2129" s="412">
        <f>C2129+D2129+E2129+F2129</f>
        <v>73.955999999999989</v>
      </c>
      <c r="H2129" s="412">
        <f>G2129*0.35</f>
        <v>25.884599999999995</v>
      </c>
      <c r="I2129" s="413">
        <f>G2129+H2129</f>
        <v>99.840599999999981</v>
      </c>
      <c r="J2129" s="349">
        <f>I2129+I2132+I2133</f>
        <v>123.02279999999999</v>
      </c>
    </row>
    <row r="2130" spans="1:22">
      <c r="A2130" s="463" t="s">
        <v>258</v>
      </c>
      <c r="B2130" s="386">
        <v>30</v>
      </c>
      <c r="C2130" s="426">
        <v>17.7</v>
      </c>
      <c r="D2130" s="392"/>
      <c r="E2130" s="386"/>
      <c r="F2130" s="392"/>
      <c r="G2130" s="392"/>
      <c r="H2130" s="392"/>
      <c r="I2130" s="393"/>
      <c r="J2130" s="381"/>
    </row>
    <row r="2131" spans="1:22">
      <c r="A2131" s="426" t="s">
        <v>337</v>
      </c>
      <c r="B2131" s="386">
        <v>30</v>
      </c>
      <c r="C2131" s="386">
        <v>17.100000000000001</v>
      </c>
      <c r="D2131" s="392"/>
      <c r="E2131" s="386"/>
      <c r="F2131" s="392"/>
      <c r="G2131" s="392"/>
      <c r="H2131" s="392"/>
      <c r="I2131" s="393"/>
      <c r="J2131" s="381"/>
    </row>
    <row r="2132" spans="1:22">
      <c r="A2132" s="350" t="s">
        <v>385</v>
      </c>
      <c r="B2132" s="351">
        <v>15</v>
      </c>
      <c r="C2132" s="391">
        <v>8.1</v>
      </c>
      <c r="D2132" s="392">
        <f>C2132*0.22</f>
        <v>1.782</v>
      </c>
      <c r="E2132" s="355"/>
      <c r="F2132" s="392">
        <f>C2132*0.9</f>
        <v>7.29</v>
      </c>
      <c r="G2132" s="392">
        <f>C2132+D2132+E2132+F2132</f>
        <v>17.172000000000001</v>
      </c>
      <c r="H2132" s="392">
        <f>G2132*0.35</f>
        <v>6.0102000000000002</v>
      </c>
      <c r="I2132" s="393">
        <f>G2132+H2132</f>
        <v>23.182200000000002</v>
      </c>
      <c r="J2132" s="381"/>
    </row>
    <row r="2133" spans="1:22">
      <c r="A2133" s="350"/>
      <c r="B2133" s="351"/>
      <c r="C2133" s="391"/>
      <c r="D2133" s="392"/>
      <c r="E2133" s="355"/>
      <c r="F2133" s="392"/>
      <c r="G2133" s="392"/>
      <c r="H2133" s="392"/>
      <c r="I2133" s="393"/>
      <c r="J2133" s="381"/>
    </row>
    <row r="2134" spans="1:22">
      <c r="A2134" s="445" t="s">
        <v>1553</v>
      </c>
      <c r="B2134" s="384"/>
      <c r="C2134" s="412">
        <f>C2135+C2136</f>
        <v>6.96</v>
      </c>
      <c r="D2134" s="412">
        <f>C2134*0.22</f>
        <v>1.5311999999999999</v>
      </c>
      <c r="E2134" s="384">
        <v>0.18</v>
      </c>
      <c r="F2134" s="412">
        <f>C2134*0.9</f>
        <v>6.2640000000000002</v>
      </c>
      <c r="G2134" s="412">
        <f>C2134+D2134+E2134+F2134</f>
        <v>14.935199999999998</v>
      </c>
      <c r="H2134" s="412">
        <f>G2134*0.35</f>
        <v>5.2273199999999989</v>
      </c>
      <c r="I2134" s="413">
        <f>G2134+H2134</f>
        <v>20.162519999999997</v>
      </c>
      <c r="J2134" s="349">
        <f>I2134+I2137+I2138</f>
        <v>24.798959999999997</v>
      </c>
      <c r="K2134" s="376"/>
      <c r="L2134" s="376"/>
      <c r="M2134" s="376"/>
      <c r="N2134" s="376"/>
      <c r="O2134" s="376"/>
      <c r="P2134" s="376"/>
      <c r="Q2134" s="376"/>
      <c r="R2134" s="376"/>
      <c r="S2134" s="376"/>
      <c r="T2134" s="376"/>
      <c r="U2134" s="376"/>
      <c r="V2134" s="376"/>
    </row>
    <row r="2135" spans="1:22">
      <c r="A2135" s="426" t="s">
        <v>258</v>
      </c>
      <c r="B2135" s="386">
        <v>6</v>
      </c>
      <c r="C2135" s="386">
        <v>3.54</v>
      </c>
      <c r="D2135" s="392"/>
      <c r="E2135" s="386"/>
      <c r="F2135" s="392"/>
      <c r="G2135" s="392"/>
      <c r="H2135" s="392"/>
      <c r="I2135" s="393"/>
      <c r="J2135" s="381"/>
    </row>
    <row r="2136" spans="1:22">
      <c r="A2136" s="426" t="s">
        <v>337</v>
      </c>
      <c r="B2136" s="386">
        <v>6</v>
      </c>
      <c r="C2136" s="386">
        <v>3.42</v>
      </c>
      <c r="D2136" s="386"/>
      <c r="E2136" s="386"/>
      <c r="F2136" s="392"/>
      <c r="G2136" s="386"/>
      <c r="H2136" s="392"/>
      <c r="I2136" s="427"/>
      <c r="J2136" s="381"/>
    </row>
    <row r="2137" spans="1:22">
      <c r="A2137" s="350" t="s">
        <v>385</v>
      </c>
      <c r="B2137" s="351">
        <v>3</v>
      </c>
      <c r="C2137" s="391">
        <v>1.62</v>
      </c>
      <c r="D2137" s="392">
        <f>C2137*0.22</f>
        <v>0.35640000000000005</v>
      </c>
      <c r="E2137" s="355"/>
      <c r="F2137" s="392">
        <f>C2137*0.9</f>
        <v>1.4580000000000002</v>
      </c>
      <c r="G2137" s="392">
        <f>C2137+D2137+E2137+F2137</f>
        <v>3.4344000000000001</v>
      </c>
      <c r="H2137" s="392">
        <f>G2137*0.35</f>
        <v>1.20204</v>
      </c>
      <c r="I2137" s="393">
        <f>G2137+H2137</f>
        <v>4.6364400000000003</v>
      </c>
      <c r="J2137" s="381"/>
    </row>
    <row r="2138" spans="1:22">
      <c r="A2138" s="350"/>
      <c r="B2138" s="351"/>
      <c r="C2138" s="391"/>
      <c r="D2138" s="392"/>
      <c r="E2138" s="355"/>
      <c r="F2138" s="392"/>
      <c r="G2138" s="392"/>
      <c r="H2138" s="392"/>
      <c r="I2138" s="393"/>
      <c r="J2138" s="381"/>
    </row>
    <row r="2139" spans="1:22" ht="21.75">
      <c r="A2139" s="383" t="s">
        <v>1554</v>
      </c>
      <c r="B2139" s="384"/>
      <c r="C2139" s="412">
        <f>C2140+C2141</f>
        <v>23.200000000000003</v>
      </c>
      <c r="D2139" s="412">
        <f>C2139*0.22</f>
        <v>5.104000000000001</v>
      </c>
      <c r="E2139" s="384">
        <v>0.18</v>
      </c>
      <c r="F2139" s="412">
        <f>C2139*0.9</f>
        <v>20.880000000000003</v>
      </c>
      <c r="G2139" s="412">
        <f>C2139+D2139+E2139+F2139</f>
        <v>49.364000000000004</v>
      </c>
      <c r="H2139" s="412">
        <f>G2139*0.35</f>
        <v>17.2774</v>
      </c>
      <c r="I2139" s="413">
        <f>G2139+H2139</f>
        <v>66.641400000000004</v>
      </c>
      <c r="J2139" s="349">
        <f>I2139+I2142+I2143</f>
        <v>82.09620000000001</v>
      </c>
    </row>
    <row r="2140" spans="1:22">
      <c r="A2140" s="426" t="s">
        <v>258</v>
      </c>
      <c r="B2140" s="386">
        <v>20</v>
      </c>
      <c r="C2140" s="386">
        <v>11.8</v>
      </c>
      <c r="D2140" s="392"/>
      <c r="E2140" s="386"/>
      <c r="F2140" s="392"/>
      <c r="G2140" s="392"/>
      <c r="H2140" s="392"/>
      <c r="I2140" s="393"/>
      <c r="J2140" s="458"/>
    </row>
    <row r="2141" spans="1:22" s="406" customFormat="1">
      <c r="A2141" s="426" t="s">
        <v>337</v>
      </c>
      <c r="B2141" s="386">
        <v>20</v>
      </c>
      <c r="C2141" s="386">
        <v>11.4</v>
      </c>
      <c r="D2141" s="386"/>
      <c r="E2141" s="386"/>
      <c r="F2141" s="392"/>
      <c r="G2141" s="386"/>
      <c r="H2141" s="392"/>
      <c r="I2141" s="427"/>
      <c r="J2141" s="408"/>
    </row>
    <row r="2142" spans="1:22" s="406" customFormat="1">
      <c r="A2142" s="350" t="s">
        <v>385</v>
      </c>
      <c r="B2142" s="351">
        <v>10</v>
      </c>
      <c r="C2142" s="391">
        <v>5.4</v>
      </c>
      <c r="D2142" s="392">
        <f>C2142*0.22</f>
        <v>1.1880000000000002</v>
      </c>
      <c r="E2142" s="355"/>
      <c r="F2142" s="392">
        <f>C2142*0.9</f>
        <v>4.8600000000000003</v>
      </c>
      <c r="G2142" s="392">
        <f>C2142+D2142+E2142+F2142</f>
        <v>11.448</v>
      </c>
      <c r="H2142" s="392">
        <f>G2142*0.35</f>
        <v>4.0068000000000001</v>
      </c>
      <c r="I2142" s="393">
        <f>G2142+H2142</f>
        <v>15.454800000000001</v>
      </c>
      <c r="J2142" s="408"/>
    </row>
    <row r="2143" spans="1:22" s="406" customFormat="1">
      <c r="A2143" s="350"/>
      <c r="B2143" s="351"/>
      <c r="C2143" s="391"/>
      <c r="D2143" s="392"/>
      <c r="E2143" s="355"/>
      <c r="F2143" s="392"/>
      <c r="G2143" s="392"/>
      <c r="H2143" s="392"/>
      <c r="I2143" s="393"/>
      <c r="J2143" s="408"/>
    </row>
    <row r="2144" spans="1:22" s="406" customFormat="1">
      <c r="A2144" s="445" t="s">
        <v>1555</v>
      </c>
      <c r="B2144" s="384"/>
      <c r="C2144" s="412">
        <f>C2145+C2146</f>
        <v>23.200000000000003</v>
      </c>
      <c r="D2144" s="412">
        <f>C2144*0.22</f>
        <v>5.104000000000001</v>
      </c>
      <c r="E2144" s="384">
        <v>0.18</v>
      </c>
      <c r="F2144" s="412">
        <f>C2144*0.9</f>
        <v>20.880000000000003</v>
      </c>
      <c r="G2144" s="412">
        <f>C2144+D2144+E2144+F2144</f>
        <v>49.364000000000004</v>
      </c>
      <c r="H2144" s="412">
        <f>G2144*0.35</f>
        <v>17.2774</v>
      </c>
      <c r="I2144" s="413">
        <f>G2144+H2144</f>
        <v>66.641400000000004</v>
      </c>
      <c r="J2144" s="349">
        <f>I2144+I2147+I2148</f>
        <v>82.09620000000001</v>
      </c>
    </row>
    <row r="2145" spans="1:10" s="406" customFormat="1">
      <c r="A2145" s="426" t="s">
        <v>258</v>
      </c>
      <c r="B2145" s="386">
        <v>20</v>
      </c>
      <c r="C2145" s="386">
        <v>11.8</v>
      </c>
      <c r="D2145" s="392"/>
      <c r="E2145" s="386"/>
      <c r="F2145" s="392"/>
      <c r="G2145" s="392"/>
      <c r="H2145" s="392"/>
      <c r="I2145" s="393"/>
      <c r="J2145" s="381"/>
    </row>
    <row r="2146" spans="1:10" s="406" customFormat="1">
      <c r="A2146" s="426" t="s">
        <v>337</v>
      </c>
      <c r="B2146" s="386">
        <v>20</v>
      </c>
      <c r="C2146" s="386">
        <v>11.4</v>
      </c>
      <c r="D2146" s="386"/>
      <c r="E2146" s="386"/>
      <c r="F2146" s="392"/>
      <c r="G2146" s="386"/>
      <c r="H2146" s="392"/>
      <c r="I2146" s="427"/>
      <c r="J2146" s="381"/>
    </row>
    <row r="2147" spans="1:10" s="406" customFormat="1">
      <c r="A2147" s="350" t="s">
        <v>385</v>
      </c>
      <c r="B2147" s="351">
        <v>10</v>
      </c>
      <c r="C2147" s="391">
        <v>5.4</v>
      </c>
      <c r="D2147" s="392">
        <f>C2147*0.22</f>
        <v>1.1880000000000002</v>
      </c>
      <c r="E2147" s="355"/>
      <c r="F2147" s="392">
        <f>C2147*0.9</f>
        <v>4.8600000000000003</v>
      </c>
      <c r="G2147" s="392">
        <f>C2147+D2147+E2147+F2147</f>
        <v>11.448</v>
      </c>
      <c r="H2147" s="392">
        <f>G2147*0.35</f>
        <v>4.0068000000000001</v>
      </c>
      <c r="I2147" s="393">
        <f>G2147+H2147</f>
        <v>15.454800000000001</v>
      </c>
      <c r="J2147" s="381"/>
    </row>
    <row r="2148" spans="1:10" s="406" customFormat="1">
      <c r="A2148" s="350"/>
      <c r="B2148" s="351"/>
      <c r="C2148" s="391"/>
      <c r="D2148" s="392"/>
      <c r="E2148" s="355"/>
      <c r="F2148" s="392"/>
      <c r="G2148" s="392"/>
      <c r="H2148" s="392"/>
      <c r="I2148" s="393"/>
      <c r="J2148" s="381"/>
    </row>
    <row r="2149" spans="1:10" s="406" customFormat="1">
      <c r="A2149" s="445" t="s">
        <v>1556</v>
      </c>
      <c r="B2149" s="384"/>
      <c r="C2149" s="412">
        <f>C2150+C2151</f>
        <v>29</v>
      </c>
      <c r="D2149" s="412">
        <f>C2149*0.22</f>
        <v>6.38</v>
      </c>
      <c r="E2149" s="384">
        <v>0.18</v>
      </c>
      <c r="F2149" s="412">
        <f>C2149*0.9</f>
        <v>26.1</v>
      </c>
      <c r="G2149" s="412">
        <f>C2149+D2149+E2149+F2149</f>
        <v>61.660000000000004</v>
      </c>
      <c r="H2149" s="412">
        <f>G2149*0.35</f>
        <v>21.581</v>
      </c>
      <c r="I2149" s="413">
        <f>G2149+H2149</f>
        <v>83.241</v>
      </c>
      <c r="J2149" s="349">
        <f>I2149+I2152+I2153</f>
        <v>101.78676</v>
      </c>
    </row>
    <row r="2150" spans="1:10" s="406" customFormat="1">
      <c r="A2150" s="426" t="s">
        <v>258</v>
      </c>
      <c r="B2150" s="386">
        <v>25</v>
      </c>
      <c r="C2150" s="386">
        <v>14.75</v>
      </c>
      <c r="D2150" s="392"/>
      <c r="E2150" s="386"/>
      <c r="F2150" s="392"/>
      <c r="G2150" s="392"/>
      <c r="H2150" s="392"/>
      <c r="I2150" s="393"/>
      <c r="J2150" s="381"/>
    </row>
    <row r="2151" spans="1:10" s="406" customFormat="1">
      <c r="A2151" s="426" t="s">
        <v>337</v>
      </c>
      <c r="B2151" s="386">
        <v>25</v>
      </c>
      <c r="C2151" s="386">
        <v>14.25</v>
      </c>
      <c r="D2151" s="386"/>
      <c r="E2151" s="386"/>
      <c r="F2151" s="392"/>
      <c r="G2151" s="386"/>
      <c r="H2151" s="392"/>
      <c r="I2151" s="427"/>
      <c r="J2151" s="381"/>
    </row>
    <row r="2152" spans="1:10" s="406" customFormat="1">
      <c r="A2152" s="350" t="s">
        <v>385</v>
      </c>
      <c r="B2152" s="351">
        <v>12</v>
      </c>
      <c r="C2152" s="391">
        <v>6.48</v>
      </c>
      <c r="D2152" s="392">
        <f>C2152*0.22</f>
        <v>1.4256000000000002</v>
      </c>
      <c r="E2152" s="355"/>
      <c r="F2152" s="392">
        <f>C2152*0.9</f>
        <v>5.8320000000000007</v>
      </c>
      <c r="G2152" s="392">
        <f>C2152+D2152+E2152+F2152</f>
        <v>13.7376</v>
      </c>
      <c r="H2152" s="392">
        <f>G2152*0.35</f>
        <v>4.80816</v>
      </c>
      <c r="I2152" s="393">
        <f>G2152+H2152</f>
        <v>18.545760000000001</v>
      </c>
      <c r="J2152" s="381"/>
    </row>
    <row r="2153" spans="1:10" s="406" customFormat="1">
      <c r="A2153" s="350"/>
      <c r="B2153" s="351"/>
      <c r="C2153" s="391"/>
      <c r="D2153" s="392"/>
      <c r="E2153" s="355"/>
      <c r="F2153" s="392"/>
      <c r="G2153" s="392"/>
      <c r="H2153" s="392"/>
      <c r="I2153" s="393"/>
      <c r="J2153" s="381"/>
    </row>
    <row r="2154" spans="1:10" s="406" customFormat="1">
      <c r="A2154" s="445" t="s">
        <v>1557</v>
      </c>
      <c r="B2154" s="384"/>
      <c r="C2154" s="412">
        <f>C2155+C2156</f>
        <v>17.399999999999999</v>
      </c>
      <c r="D2154" s="412">
        <f>C2154*0.22</f>
        <v>3.8279999999999998</v>
      </c>
      <c r="E2154" s="384">
        <v>0.18</v>
      </c>
      <c r="F2154" s="412">
        <f>C2154*0.9</f>
        <v>15.659999999999998</v>
      </c>
      <c r="G2154" s="412">
        <f>C2154+D2154+E2154+F2154</f>
        <v>37.067999999999998</v>
      </c>
      <c r="H2154" s="412">
        <f>G2154*0.35</f>
        <v>12.973799999999999</v>
      </c>
      <c r="I2154" s="413">
        <f>G2154+H2154</f>
        <v>50.041799999999995</v>
      </c>
      <c r="J2154" s="349">
        <f>I2154+I2157+I2158</f>
        <v>60.860159999999993</v>
      </c>
    </row>
    <row r="2155" spans="1:10" s="406" customFormat="1">
      <c r="A2155" s="426" t="s">
        <v>258</v>
      </c>
      <c r="B2155" s="426">
        <v>15</v>
      </c>
      <c r="C2155" s="426">
        <v>8.85</v>
      </c>
      <c r="D2155" s="392"/>
      <c r="E2155" s="386"/>
      <c r="F2155" s="392"/>
      <c r="G2155" s="392"/>
      <c r="H2155" s="392"/>
      <c r="I2155" s="393"/>
      <c r="J2155" s="381"/>
    </row>
    <row r="2156" spans="1:10" s="406" customFormat="1">
      <c r="A2156" s="426" t="s">
        <v>337</v>
      </c>
      <c r="B2156" s="426">
        <v>15</v>
      </c>
      <c r="C2156" s="426">
        <v>8.5500000000000007</v>
      </c>
      <c r="D2156" s="392"/>
      <c r="E2156" s="426"/>
      <c r="F2156" s="392"/>
      <c r="G2156" s="392"/>
      <c r="H2156" s="392"/>
      <c r="I2156" s="393"/>
      <c r="J2156" s="381"/>
    </row>
    <row r="2157" spans="1:10" s="406" customFormat="1">
      <c r="A2157" s="350" t="s">
        <v>385</v>
      </c>
      <c r="B2157" s="351">
        <v>7</v>
      </c>
      <c r="C2157" s="391">
        <v>3.78</v>
      </c>
      <c r="D2157" s="392">
        <f>C2157*0.22</f>
        <v>0.83160000000000001</v>
      </c>
      <c r="E2157" s="355"/>
      <c r="F2157" s="392">
        <f>C2157*0.9</f>
        <v>3.4019999999999997</v>
      </c>
      <c r="G2157" s="392">
        <f>C2157+D2157+E2157+F2157</f>
        <v>8.0136000000000003</v>
      </c>
      <c r="H2157" s="392">
        <f>G2157*0.35</f>
        <v>2.8047599999999999</v>
      </c>
      <c r="I2157" s="393">
        <f>G2157+H2157</f>
        <v>10.81836</v>
      </c>
      <c r="J2157" s="381"/>
    </row>
    <row r="2158" spans="1:10" s="406" customFormat="1">
      <c r="A2158" s="350"/>
      <c r="B2158" s="351"/>
      <c r="C2158" s="391"/>
      <c r="D2158" s="392"/>
      <c r="E2158" s="355"/>
      <c r="F2158" s="392"/>
      <c r="G2158" s="392"/>
      <c r="H2158" s="392"/>
      <c r="I2158" s="393"/>
      <c r="J2158" s="381"/>
    </row>
    <row r="2159" spans="1:10" s="406" customFormat="1">
      <c r="A2159" s="383" t="s">
        <v>1558</v>
      </c>
      <c r="B2159" s="384"/>
      <c r="C2159" s="412">
        <f>C2160+C2161</f>
        <v>34.799999999999997</v>
      </c>
      <c r="D2159" s="412">
        <f>C2159*0.22</f>
        <v>7.6559999999999997</v>
      </c>
      <c r="E2159" s="384">
        <v>0.18</v>
      </c>
      <c r="F2159" s="412">
        <f>C2159*0.9</f>
        <v>31.319999999999997</v>
      </c>
      <c r="G2159" s="412">
        <f>C2159+D2159+E2159+F2159</f>
        <v>73.955999999999989</v>
      </c>
      <c r="H2159" s="412">
        <f>G2159*0.35</f>
        <v>25.884599999999995</v>
      </c>
      <c r="I2159" s="413">
        <f>G2159+H2159</f>
        <v>99.840599999999981</v>
      </c>
      <c r="J2159" s="349">
        <f>I2159+I2162+I2163</f>
        <v>123.02279999999999</v>
      </c>
    </row>
    <row r="2160" spans="1:10" s="406" customFormat="1">
      <c r="A2160" s="463" t="s">
        <v>258</v>
      </c>
      <c r="B2160" s="386">
        <v>30</v>
      </c>
      <c r="C2160" s="426">
        <v>17.7</v>
      </c>
      <c r="D2160" s="392"/>
      <c r="E2160" s="386"/>
      <c r="F2160" s="392"/>
      <c r="G2160" s="392"/>
      <c r="H2160" s="392"/>
      <c r="I2160" s="393"/>
      <c r="J2160" s="381"/>
    </row>
    <row r="2161" spans="1:10" s="406" customFormat="1">
      <c r="A2161" s="426" t="s">
        <v>337</v>
      </c>
      <c r="B2161" s="386">
        <v>30</v>
      </c>
      <c r="C2161" s="386">
        <v>17.100000000000001</v>
      </c>
      <c r="D2161" s="392"/>
      <c r="E2161" s="386"/>
      <c r="F2161" s="392"/>
      <c r="G2161" s="392"/>
      <c r="H2161" s="392"/>
      <c r="I2161" s="393"/>
      <c r="J2161" s="381"/>
    </row>
    <row r="2162" spans="1:10" s="406" customFormat="1">
      <c r="A2162" s="350" t="s">
        <v>385</v>
      </c>
      <c r="B2162" s="351">
        <v>15</v>
      </c>
      <c r="C2162" s="391">
        <v>8.1</v>
      </c>
      <c r="D2162" s="392">
        <f>C2162*0.22</f>
        <v>1.782</v>
      </c>
      <c r="E2162" s="355"/>
      <c r="F2162" s="392">
        <f>C2162*0.9</f>
        <v>7.29</v>
      </c>
      <c r="G2162" s="392">
        <f>C2162+D2162+E2162+F2162</f>
        <v>17.172000000000001</v>
      </c>
      <c r="H2162" s="392">
        <f>G2162*0.35</f>
        <v>6.0102000000000002</v>
      </c>
      <c r="I2162" s="393">
        <f>G2162+H2162</f>
        <v>23.182200000000002</v>
      </c>
      <c r="J2162" s="381"/>
    </row>
    <row r="2163" spans="1:10" s="406" customFormat="1">
      <c r="A2163" s="350"/>
      <c r="B2163" s="351"/>
      <c r="C2163" s="391"/>
      <c r="D2163" s="392"/>
      <c r="E2163" s="355"/>
      <c r="F2163" s="392"/>
      <c r="G2163" s="392"/>
      <c r="H2163" s="392"/>
      <c r="I2163" s="393"/>
      <c r="J2163" s="381"/>
    </row>
    <row r="2164" spans="1:10" s="406" customFormat="1">
      <c r="A2164" s="383" t="s">
        <v>1559</v>
      </c>
      <c r="B2164" s="384"/>
      <c r="C2164" s="412">
        <f>C2165+C2166</f>
        <v>40.599999999999994</v>
      </c>
      <c r="D2164" s="412">
        <f>C2164*0.22</f>
        <v>8.9319999999999986</v>
      </c>
      <c r="E2164" s="384">
        <v>0.18</v>
      </c>
      <c r="F2164" s="412">
        <f>C2164*0.9</f>
        <v>36.54</v>
      </c>
      <c r="G2164" s="412">
        <f>C2164+D2164+E2164+F2164</f>
        <v>86.251999999999995</v>
      </c>
      <c r="H2164" s="412">
        <f>G2164*0.35</f>
        <v>30.188199999999995</v>
      </c>
      <c r="I2164" s="413">
        <f>G2164+H2164</f>
        <v>116.44019999999999</v>
      </c>
      <c r="J2164" s="349">
        <f>I2164+I2167+I2168</f>
        <v>142.71335999999999</v>
      </c>
    </row>
    <row r="2165" spans="1:10" s="406" customFormat="1">
      <c r="A2165" s="463" t="s">
        <v>258</v>
      </c>
      <c r="B2165" s="386">
        <v>35</v>
      </c>
      <c r="C2165" s="426">
        <v>20.65</v>
      </c>
      <c r="D2165" s="392"/>
      <c r="E2165" s="386"/>
      <c r="F2165" s="392"/>
      <c r="G2165" s="392"/>
      <c r="H2165" s="392"/>
      <c r="I2165" s="393"/>
      <c r="J2165" s="381"/>
    </row>
    <row r="2166" spans="1:10" s="406" customFormat="1">
      <c r="A2166" s="426" t="s">
        <v>337</v>
      </c>
      <c r="B2166" s="386">
        <v>35</v>
      </c>
      <c r="C2166" s="386">
        <v>19.95</v>
      </c>
      <c r="D2166" s="392"/>
      <c r="E2166" s="386"/>
      <c r="F2166" s="392"/>
      <c r="G2166" s="392"/>
      <c r="H2166" s="392"/>
      <c r="I2166" s="393"/>
      <c r="J2166" s="381"/>
    </row>
    <row r="2167" spans="1:10" s="406" customFormat="1">
      <c r="A2167" s="350" t="s">
        <v>385</v>
      </c>
      <c r="B2167" s="351">
        <v>17</v>
      </c>
      <c r="C2167" s="391">
        <v>9.18</v>
      </c>
      <c r="D2167" s="392">
        <f>C2167*0.22</f>
        <v>2.0196000000000001</v>
      </c>
      <c r="E2167" s="355"/>
      <c r="F2167" s="392">
        <f>C2167*0.9</f>
        <v>8.2620000000000005</v>
      </c>
      <c r="G2167" s="392">
        <f>C2167+D2167+E2167+F2167</f>
        <v>19.461600000000001</v>
      </c>
      <c r="H2167" s="392">
        <f>G2167*0.35</f>
        <v>6.8115600000000001</v>
      </c>
      <c r="I2167" s="393">
        <f>G2167+H2167</f>
        <v>26.273160000000001</v>
      </c>
      <c r="J2167" s="381"/>
    </row>
    <row r="2168" spans="1:10" s="406" customFormat="1">
      <c r="A2168" s="350"/>
      <c r="B2168" s="351"/>
      <c r="C2168" s="391"/>
      <c r="D2168" s="392"/>
      <c r="E2168" s="355"/>
      <c r="F2168" s="392"/>
      <c r="G2168" s="392"/>
      <c r="H2168" s="392"/>
      <c r="I2168" s="393"/>
      <c r="J2168" s="381"/>
    </row>
    <row r="2169" spans="1:10" s="406" customFormat="1">
      <c r="A2169" s="383" t="s">
        <v>1560</v>
      </c>
      <c r="B2169" s="384"/>
      <c r="C2169" s="412">
        <f>C2170+C2171</f>
        <v>34.799999999999997</v>
      </c>
      <c r="D2169" s="412">
        <f>C2169*0.22</f>
        <v>7.6559999999999997</v>
      </c>
      <c r="E2169" s="384">
        <v>0.18</v>
      </c>
      <c r="F2169" s="412">
        <f>C2169*0.9</f>
        <v>31.319999999999997</v>
      </c>
      <c r="G2169" s="412">
        <f>C2169+D2169+E2169+F2169</f>
        <v>73.955999999999989</v>
      </c>
      <c r="H2169" s="412">
        <f>G2169*0.35</f>
        <v>25.884599999999995</v>
      </c>
      <c r="I2169" s="413">
        <f>G2169+H2169</f>
        <v>99.840599999999981</v>
      </c>
      <c r="J2169" s="349">
        <f>I2169+I2172+I2173</f>
        <v>123.02279999999999</v>
      </c>
    </row>
    <row r="2170" spans="1:10" s="406" customFormat="1">
      <c r="A2170" s="463" t="s">
        <v>258</v>
      </c>
      <c r="B2170" s="386">
        <v>30</v>
      </c>
      <c r="C2170" s="426">
        <v>17.7</v>
      </c>
      <c r="D2170" s="392"/>
      <c r="E2170" s="386"/>
      <c r="F2170" s="392"/>
      <c r="G2170" s="392"/>
      <c r="H2170" s="392"/>
      <c r="I2170" s="393"/>
      <c r="J2170" s="458"/>
    </row>
    <row r="2171" spans="1:10" s="406" customFormat="1">
      <c r="A2171" s="426" t="s">
        <v>337</v>
      </c>
      <c r="B2171" s="386">
        <v>30</v>
      </c>
      <c r="C2171" s="386">
        <v>17.100000000000001</v>
      </c>
      <c r="D2171" s="392"/>
      <c r="E2171" s="386"/>
      <c r="F2171" s="392"/>
      <c r="G2171" s="392"/>
      <c r="H2171" s="392"/>
      <c r="I2171" s="393"/>
      <c r="J2171" s="408"/>
    </row>
    <row r="2172" spans="1:10" s="406" customFormat="1">
      <c r="A2172" s="350" t="s">
        <v>385</v>
      </c>
      <c r="B2172" s="351">
        <v>15</v>
      </c>
      <c r="C2172" s="391">
        <v>8.1</v>
      </c>
      <c r="D2172" s="392">
        <f>C2172*0.22</f>
        <v>1.782</v>
      </c>
      <c r="E2172" s="355"/>
      <c r="F2172" s="392">
        <f>C2172*0.9</f>
        <v>7.29</v>
      </c>
      <c r="G2172" s="392">
        <f>C2172+D2172+E2172+F2172</f>
        <v>17.172000000000001</v>
      </c>
      <c r="H2172" s="392">
        <f>G2172*0.35</f>
        <v>6.0102000000000002</v>
      </c>
      <c r="I2172" s="393">
        <f>G2172+H2172</f>
        <v>23.182200000000002</v>
      </c>
      <c r="J2172" s="408"/>
    </row>
    <row r="2173" spans="1:10" s="406" customFormat="1">
      <c r="A2173" s="350"/>
      <c r="B2173" s="351"/>
      <c r="C2173" s="391"/>
      <c r="D2173" s="392"/>
      <c r="E2173" s="355"/>
      <c r="F2173" s="392"/>
      <c r="G2173" s="392"/>
      <c r="H2173" s="392"/>
      <c r="I2173" s="393"/>
      <c r="J2173" s="408"/>
    </row>
    <row r="2174" spans="1:10" s="406" customFormat="1" ht="12.75">
      <c r="A2174" s="464" t="s">
        <v>1561</v>
      </c>
      <c r="B2174" s="464"/>
      <c r="C2174" s="464"/>
      <c r="D2174" s="464"/>
      <c r="E2174" s="464"/>
      <c r="F2174" s="464"/>
      <c r="G2174" s="464"/>
      <c r="H2174" s="464"/>
      <c r="I2174" s="464"/>
      <c r="J2174" s="465"/>
    </row>
    <row r="2175" spans="1:10" s="406" customFormat="1" ht="21.75">
      <c r="A2175" s="466" t="s">
        <v>1562</v>
      </c>
      <c r="B2175" s="467"/>
      <c r="C2175" s="468">
        <v>1.71</v>
      </c>
      <c r="D2175" s="468">
        <f>C2175*0.22</f>
        <v>0.37619999999999998</v>
      </c>
      <c r="E2175" s="468">
        <v>4.3499999999999996</v>
      </c>
      <c r="F2175" s="468">
        <f>C2175*0.9</f>
        <v>1.5389999999999999</v>
      </c>
      <c r="G2175" s="468">
        <f>C2175+D2175+E2175+F2175</f>
        <v>7.9751999999999992</v>
      </c>
      <c r="H2175" s="468">
        <f>G2175*0.35</f>
        <v>2.7913199999999994</v>
      </c>
      <c r="I2175" s="469">
        <f>G2175+H2175</f>
        <v>10.766519999999998</v>
      </c>
      <c r="J2175" s="470">
        <f>I2175+I2177+I2178</f>
        <v>15.402959999999998</v>
      </c>
    </row>
    <row r="2176" spans="1:10" s="406" customFormat="1">
      <c r="A2176" s="471" t="s">
        <v>337</v>
      </c>
      <c r="B2176" s="472">
        <v>3</v>
      </c>
      <c r="C2176" s="473">
        <v>1.71</v>
      </c>
      <c r="D2176" s="473"/>
      <c r="E2176" s="473"/>
      <c r="F2176" s="473"/>
      <c r="G2176" s="473"/>
      <c r="H2176" s="473"/>
      <c r="I2176" s="474"/>
      <c r="J2176" s="475"/>
    </row>
    <row r="2177" spans="1:10" s="406" customFormat="1">
      <c r="A2177" s="476" t="s">
        <v>385</v>
      </c>
      <c r="B2177" s="476">
        <v>3</v>
      </c>
      <c r="C2177" s="471">
        <v>1.62</v>
      </c>
      <c r="D2177" s="473">
        <f>C2177*0.22</f>
        <v>0.35640000000000005</v>
      </c>
      <c r="E2177" s="473"/>
      <c r="F2177" s="473">
        <f>C2177*0.9</f>
        <v>1.4580000000000002</v>
      </c>
      <c r="G2177" s="473">
        <f>C2177+D2177+E2177+F2177</f>
        <v>3.4344000000000001</v>
      </c>
      <c r="H2177" s="473">
        <f>G2177*0.35</f>
        <v>1.20204</v>
      </c>
      <c r="I2177" s="474">
        <f>G2177+H2177</f>
        <v>4.6364400000000003</v>
      </c>
      <c r="J2177" s="475"/>
    </row>
    <row r="2178" spans="1:10" s="406" customFormat="1">
      <c r="A2178" s="476"/>
      <c r="B2178" s="476"/>
      <c r="C2178" s="471"/>
      <c r="D2178" s="473"/>
      <c r="E2178" s="473"/>
      <c r="F2178" s="473"/>
      <c r="G2178" s="473"/>
      <c r="H2178" s="473"/>
      <c r="I2178" s="474"/>
      <c r="J2178" s="475"/>
    </row>
    <row r="2179" spans="1:10" s="406" customFormat="1" ht="21.75">
      <c r="A2179" s="466" t="s">
        <v>1563</v>
      </c>
      <c r="B2179" s="467"/>
      <c r="C2179" s="468">
        <v>1.71</v>
      </c>
      <c r="D2179" s="468">
        <f>C2179*0.22</f>
        <v>0.37619999999999998</v>
      </c>
      <c r="E2179" s="468">
        <v>4.3499999999999996</v>
      </c>
      <c r="F2179" s="468">
        <f>C2179*0.9</f>
        <v>1.5389999999999999</v>
      </c>
      <c r="G2179" s="468">
        <f>C2179+D2179+E2179+F2179</f>
        <v>7.9751999999999992</v>
      </c>
      <c r="H2179" s="468">
        <f>G2179*0.35</f>
        <v>2.7913199999999994</v>
      </c>
      <c r="I2179" s="469">
        <f>G2179+H2179</f>
        <v>10.766519999999998</v>
      </c>
      <c r="J2179" s="470">
        <f>I2179+I2181+I2182</f>
        <v>15.402959999999998</v>
      </c>
    </row>
    <row r="2180" spans="1:10" s="406" customFormat="1">
      <c r="A2180" s="471" t="s">
        <v>337</v>
      </c>
      <c r="B2180" s="472">
        <v>3</v>
      </c>
      <c r="C2180" s="473">
        <v>1.71</v>
      </c>
      <c r="D2180" s="473"/>
      <c r="E2180" s="473"/>
      <c r="F2180" s="473"/>
      <c r="G2180" s="473"/>
      <c r="H2180" s="473"/>
      <c r="I2180" s="474"/>
      <c r="J2180" s="475"/>
    </row>
    <row r="2181" spans="1:10" s="406" customFormat="1">
      <c r="A2181" s="476" t="s">
        <v>385</v>
      </c>
      <c r="B2181" s="476">
        <v>3</v>
      </c>
      <c r="C2181" s="471">
        <v>1.62</v>
      </c>
      <c r="D2181" s="473">
        <f>C2181*0.22</f>
        <v>0.35640000000000005</v>
      </c>
      <c r="E2181" s="473"/>
      <c r="F2181" s="473">
        <f>C2181*0.9</f>
        <v>1.4580000000000002</v>
      </c>
      <c r="G2181" s="473">
        <f>C2181+D2181+E2181+F2181</f>
        <v>3.4344000000000001</v>
      </c>
      <c r="H2181" s="473">
        <f>G2181*0.35</f>
        <v>1.20204</v>
      </c>
      <c r="I2181" s="474">
        <f>G2181+H2181</f>
        <v>4.6364400000000003</v>
      </c>
      <c r="J2181" s="475"/>
    </row>
    <row r="2182" spans="1:10" s="406" customFormat="1">
      <c r="A2182" s="476"/>
      <c r="B2182" s="476"/>
      <c r="C2182" s="471"/>
      <c r="D2182" s="473"/>
      <c r="E2182" s="473"/>
      <c r="F2182" s="473"/>
      <c r="G2182" s="473"/>
      <c r="H2182" s="473"/>
      <c r="I2182" s="474"/>
      <c r="J2182" s="475"/>
    </row>
    <row r="2183" spans="1:10" s="406" customFormat="1" ht="21.75">
      <c r="A2183" s="466" t="s">
        <v>1564</v>
      </c>
      <c r="B2183" s="467"/>
      <c r="C2183" s="468">
        <v>2.85</v>
      </c>
      <c r="D2183" s="468">
        <f>C2183*0.22</f>
        <v>0.627</v>
      </c>
      <c r="E2183" s="468">
        <v>4.25</v>
      </c>
      <c r="F2183" s="468">
        <f>C2183*0.9</f>
        <v>2.5649999999999999</v>
      </c>
      <c r="G2183" s="468">
        <f>C2183+D2183+E2183+F2183</f>
        <v>10.292</v>
      </c>
      <c r="H2183" s="468">
        <f>G2183*0.35</f>
        <v>3.6021999999999998</v>
      </c>
      <c r="I2183" s="469">
        <f>G2183+H2183</f>
        <v>13.8942</v>
      </c>
      <c r="J2183" s="470">
        <f>I2183+I2185+I2186</f>
        <v>21.621600000000001</v>
      </c>
    </row>
    <row r="2184" spans="1:10" s="406" customFormat="1">
      <c r="A2184" s="471" t="s">
        <v>337</v>
      </c>
      <c r="B2184" s="472">
        <v>5</v>
      </c>
      <c r="C2184" s="473">
        <v>2.85</v>
      </c>
      <c r="D2184" s="473"/>
      <c r="E2184" s="473"/>
      <c r="F2184" s="473"/>
      <c r="G2184" s="473"/>
      <c r="H2184" s="473"/>
      <c r="I2184" s="474"/>
      <c r="J2184" s="475"/>
    </row>
    <row r="2185" spans="1:10" s="406" customFormat="1">
      <c r="A2185" s="476" t="s">
        <v>385</v>
      </c>
      <c r="B2185" s="476">
        <v>5</v>
      </c>
      <c r="C2185" s="471">
        <v>2.7</v>
      </c>
      <c r="D2185" s="473">
        <f>C2185*0.22</f>
        <v>0.59400000000000008</v>
      </c>
      <c r="E2185" s="473"/>
      <c r="F2185" s="473">
        <f>C2185*0.9</f>
        <v>2.4300000000000002</v>
      </c>
      <c r="G2185" s="473">
        <f>C2185+D2185+E2185+F2185</f>
        <v>5.7240000000000002</v>
      </c>
      <c r="H2185" s="473">
        <f>G2185*0.35</f>
        <v>2.0034000000000001</v>
      </c>
      <c r="I2185" s="474">
        <f>G2185+H2185</f>
        <v>7.7274000000000003</v>
      </c>
      <c r="J2185" s="475"/>
    </row>
    <row r="2186" spans="1:10" s="406" customFormat="1">
      <c r="A2186" s="476"/>
      <c r="B2186" s="476"/>
      <c r="C2186" s="471"/>
      <c r="D2186" s="473"/>
      <c r="E2186" s="473"/>
      <c r="F2186" s="473"/>
      <c r="G2186" s="473"/>
      <c r="H2186" s="473"/>
      <c r="I2186" s="474"/>
      <c r="J2186" s="475"/>
    </row>
    <row r="2187" spans="1:10" s="406" customFormat="1" ht="21.75">
      <c r="A2187" s="466" t="s">
        <v>1565</v>
      </c>
      <c r="B2187" s="467"/>
      <c r="C2187" s="468">
        <v>2.85</v>
      </c>
      <c r="D2187" s="468">
        <f>C2187*0.22</f>
        <v>0.627</v>
      </c>
      <c r="E2187" s="468">
        <v>6.25</v>
      </c>
      <c r="F2187" s="468">
        <f>C2187*0.9</f>
        <v>2.5649999999999999</v>
      </c>
      <c r="G2187" s="468">
        <f>C2187+D2187+E2187+F2187</f>
        <v>12.292</v>
      </c>
      <c r="H2187" s="468">
        <f>G2187*0.35</f>
        <v>4.3022</v>
      </c>
      <c r="I2187" s="469">
        <f>G2187+H2187</f>
        <v>16.594200000000001</v>
      </c>
      <c r="J2187" s="470">
        <f>I2187+I2189+I2190</f>
        <v>24.3216</v>
      </c>
    </row>
    <row r="2188" spans="1:10" s="406" customFormat="1">
      <c r="A2188" s="471" t="s">
        <v>337</v>
      </c>
      <c r="B2188" s="472">
        <v>5</v>
      </c>
      <c r="C2188" s="473">
        <v>2.85</v>
      </c>
      <c r="D2188" s="473"/>
      <c r="E2188" s="473"/>
      <c r="F2188" s="473"/>
      <c r="G2188" s="473"/>
      <c r="H2188" s="473"/>
      <c r="I2188" s="474"/>
      <c r="J2188" s="475"/>
    </row>
    <row r="2189" spans="1:10" s="406" customFormat="1">
      <c r="A2189" s="476" t="s">
        <v>385</v>
      </c>
      <c r="B2189" s="476">
        <v>5</v>
      </c>
      <c r="C2189" s="471">
        <v>2.7</v>
      </c>
      <c r="D2189" s="473">
        <f>C2189*0.22</f>
        <v>0.59400000000000008</v>
      </c>
      <c r="E2189" s="473"/>
      <c r="F2189" s="473">
        <f>C2189*0.9</f>
        <v>2.4300000000000002</v>
      </c>
      <c r="G2189" s="473">
        <f>C2189+D2189+E2189+F2189</f>
        <v>5.7240000000000002</v>
      </c>
      <c r="H2189" s="473">
        <f>G2189*0.35</f>
        <v>2.0034000000000001</v>
      </c>
      <c r="I2189" s="474">
        <f>G2189+H2189</f>
        <v>7.7274000000000003</v>
      </c>
      <c r="J2189" s="475"/>
    </row>
    <row r="2190" spans="1:10" s="406" customFormat="1">
      <c r="A2190" s="476"/>
      <c r="B2190" s="476"/>
      <c r="C2190" s="471"/>
      <c r="D2190" s="473"/>
      <c r="E2190" s="473"/>
      <c r="F2190" s="473"/>
      <c r="G2190" s="473"/>
      <c r="H2190" s="473"/>
      <c r="I2190" s="474"/>
      <c r="J2190" s="475"/>
    </row>
    <row r="2191" spans="1:10" s="406" customFormat="1" ht="21.75">
      <c r="A2191" s="466" t="s">
        <v>1566</v>
      </c>
      <c r="B2191" s="467"/>
      <c r="C2191" s="468">
        <v>2.85</v>
      </c>
      <c r="D2191" s="468">
        <f>C2191*0.22</f>
        <v>0.627</v>
      </c>
      <c r="E2191" s="468">
        <v>14.75</v>
      </c>
      <c r="F2191" s="468">
        <f>C2191*0.9</f>
        <v>2.5649999999999999</v>
      </c>
      <c r="G2191" s="468">
        <f>C2191+D2191+E2191+F2191</f>
        <v>20.792000000000002</v>
      </c>
      <c r="H2191" s="468">
        <f>G2191*0.35</f>
        <v>7.2771999999999997</v>
      </c>
      <c r="I2191" s="469">
        <f>G2191+H2191</f>
        <v>28.069200000000002</v>
      </c>
      <c r="J2191" s="470">
        <f>I2191+I2193+I2194</f>
        <v>35.796600000000005</v>
      </c>
    </row>
    <row r="2192" spans="1:10" s="406" customFormat="1">
      <c r="A2192" s="471" t="s">
        <v>337</v>
      </c>
      <c r="B2192" s="472">
        <v>5</v>
      </c>
      <c r="C2192" s="473">
        <v>2.85</v>
      </c>
      <c r="D2192" s="473"/>
      <c r="E2192" s="473"/>
      <c r="F2192" s="473"/>
      <c r="G2192" s="473"/>
      <c r="H2192" s="473"/>
      <c r="I2192" s="474"/>
      <c r="J2192" s="475"/>
    </row>
    <row r="2193" spans="1:10" s="406" customFormat="1">
      <c r="A2193" s="476" t="s">
        <v>385</v>
      </c>
      <c r="B2193" s="476">
        <v>5</v>
      </c>
      <c r="C2193" s="471">
        <v>2.7</v>
      </c>
      <c r="D2193" s="473">
        <f>C2193*0.22</f>
        <v>0.59400000000000008</v>
      </c>
      <c r="E2193" s="473"/>
      <c r="F2193" s="473">
        <f>C2193*0.9</f>
        <v>2.4300000000000002</v>
      </c>
      <c r="G2193" s="473">
        <f>C2193+D2193+E2193+F2193</f>
        <v>5.7240000000000002</v>
      </c>
      <c r="H2193" s="473">
        <f>G2193*0.35</f>
        <v>2.0034000000000001</v>
      </c>
      <c r="I2193" s="474">
        <f>G2193+H2193</f>
        <v>7.7274000000000003</v>
      </c>
      <c r="J2193" s="475"/>
    </row>
    <row r="2194" spans="1:10" s="406" customFormat="1">
      <c r="A2194" s="476"/>
      <c r="B2194" s="476"/>
      <c r="C2194" s="471"/>
      <c r="D2194" s="473"/>
      <c r="E2194" s="473"/>
      <c r="F2194" s="473"/>
      <c r="G2194" s="473"/>
      <c r="H2194" s="473"/>
      <c r="I2194" s="474"/>
      <c r="J2194" s="475"/>
    </row>
    <row r="2195" spans="1:10" s="406" customFormat="1" ht="21.75">
      <c r="A2195" s="477" t="s">
        <v>1567</v>
      </c>
      <c r="B2195" s="467"/>
      <c r="C2195" s="468">
        <v>2.85</v>
      </c>
      <c r="D2195" s="468">
        <f>C2195*0.22</f>
        <v>0.627</v>
      </c>
      <c r="E2195" s="468">
        <v>4.3499999999999996</v>
      </c>
      <c r="F2195" s="468">
        <f>C2195*0.9</f>
        <v>2.5649999999999999</v>
      </c>
      <c r="G2195" s="468">
        <f>C2195+D2195+E2195+F2195</f>
        <v>10.391999999999999</v>
      </c>
      <c r="H2195" s="468">
        <f>G2195*0.35</f>
        <v>3.6371999999999995</v>
      </c>
      <c r="I2195" s="469">
        <f>G2195+H2195</f>
        <v>14.029199999999999</v>
      </c>
      <c r="J2195" s="470">
        <f>I2195+I2197+I2198</f>
        <v>21.756599999999999</v>
      </c>
    </row>
    <row r="2196" spans="1:10" s="406" customFormat="1">
      <c r="A2196" s="471" t="s">
        <v>337</v>
      </c>
      <c r="B2196" s="472">
        <v>5</v>
      </c>
      <c r="C2196" s="473">
        <v>2.85</v>
      </c>
      <c r="D2196" s="473"/>
      <c r="E2196" s="473"/>
      <c r="F2196" s="473"/>
      <c r="G2196" s="473"/>
      <c r="H2196" s="473"/>
      <c r="I2196" s="474"/>
      <c r="J2196" s="475"/>
    </row>
    <row r="2197" spans="1:10" s="406" customFormat="1">
      <c r="A2197" s="476" t="s">
        <v>385</v>
      </c>
      <c r="B2197" s="476">
        <v>5</v>
      </c>
      <c r="C2197" s="471">
        <v>2.7</v>
      </c>
      <c r="D2197" s="473">
        <f>C2197*0.22</f>
        <v>0.59400000000000008</v>
      </c>
      <c r="E2197" s="473"/>
      <c r="F2197" s="473">
        <f>C2197*0.9</f>
        <v>2.4300000000000002</v>
      </c>
      <c r="G2197" s="473">
        <f>C2197+D2197+E2197+F2197</f>
        <v>5.7240000000000002</v>
      </c>
      <c r="H2197" s="473">
        <f>G2197*0.35</f>
        <v>2.0034000000000001</v>
      </c>
      <c r="I2197" s="474">
        <f>G2197+H2197</f>
        <v>7.7274000000000003</v>
      </c>
      <c r="J2197" s="475"/>
    </row>
    <row r="2198" spans="1:10" s="406" customFormat="1">
      <c r="A2198" s="476"/>
      <c r="B2198" s="476"/>
      <c r="C2198" s="471"/>
      <c r="D2198" s="473"/>
      <c r="E2198" s="473"/>
      <c r="F2198" s="473"/>
      <c r="G2198" s="473"/>
      <c r="H2198" s="473"/>
      <c r="I2198" s="474"/>
      <c r="J2198" s="475"/>
    </row>
    <row r="2199" spans="1:10" s="406" customFormat="1">
      <c r="A2199" s="478" t="s">
        <v>1568</v>
      </c>
      <c r="B2199" s="467"/>
      <c r="C2199" s="468">
        <v>2.85</v>
      </c>
      <c r="D2199" s="468">
        <f>C2199*0.22</f>
        <v>0.627</v>
      </c>
      <c r="E2199" s="468">
        <v>6.35</v>
      </c>
      <c r="F2199" s="468">
        <f>C2199*0.9</f>
        <v>2.5649999999999999</v>
      </c>
      <c r="G2199" s="468">
        <f>C2199+D2199+E2199+F2199</f>
        <v>12.391999999999999</v>
      </c>
      <c r="H2199" s="468">
        <f>G2199*0.35</f>
        <v>4.3371999999999993</v>
      </c>
      <c r="I2199" s="469">
        <f>G2199+H2199</f>
        <v>16.729199999999999</v>
      </c>
      <c r="J2199" s="470">
        <f>I2199+I2201+I2202</f>
        <v>24.456599999999998</v>
      </c>
    </row>
    <row r="2200" spans="1:10" s="406" customFormat="1">
      <c r="A2200" s="471" t="s">
        <v>337</v>
      </c>
      <c r="B2200" s="472">
        <v>5</v>
      </c>
      <c r="C2200" s="473">
        <v>2.85</v>
      </c>
      <c r="D2200" s="473"/>
      <c r="E2200" s="473"/>
      <c r="F2200" s="473"/>
      <c r="G2200" s="473"/>
      <c r="H2200" s="473"/>
      <c r="I2200" s="474"/>
      <c r="J2200" s="475"/>
    </row>
    <row r="2201" spans="1:10" s="406" customFormat="1">
      <c r="A2201" s="476" t="s">
        <v>385</v>
      </c>
      <c r="B2201" s="476">
        <v>5</v>
      </c>
      <c r="C2201" s="471">
        <v>2.7</v>
      </c>
      <c r="D2201" s="473">
        <f>C2201*0.22</f>
        <v>0.59400000000000008</v>
      </c>
      <c r="E2201" s="473"/>
      <c r="F2201" s="473">
        <f>C2201*0.9</f>
        <v>2.4300000000000002</v>
      </c>
      <c r="G2201" s="473">
        <f>C2201+D2201+E2201+F2201</f>
        <v>5.7240000000000002</v>
      </c>
      <c r="H2201" s="473">
        <f>G2201*0.35</f>
        <v>2.0034000000000001</v>
      </c>
      <c r="I2201" s="474">
        <f>G2201+H2201</f>
        <v>7.7274000000000003</v>
      </c>
      <c r="J2201" s="475"/>
    </row>
    <row r="2202" spans="1:10" s="406" customFormat="1">
      <c r="A2202" s="476"/>
      <c r="B2202" s="479"/>
      <c r="C2202" s="471"/>
      <c r="D2202" s="473"/>
      <c r="E2202" s="473"/>
      <c r="F2202" s="473"/>
      <c r="G2202" s="473"/>
      <c r="H2202" s="473"/>
      <c r="I2202" s="474"/>
      <c r="J2202" s="475"/>
    </row>
    <row r="2203" spans="1:10" s="406" customFormat="1" ht="21.75">
      <c r="A2203" s="466" t="s">
        <v>1569</v>
      </c>
      <c r="B2203" s="467"/>
      <c r="C2203" s="468">
        <v>1.71</v>
      </c>
      <c r="D2203" s="468">
        <f>C2203*0.22</f>
        <v>0.37619999999999998</v>
      </c>
      <c r="E2203" s="468">
        <v>6.35</v>
      </c>
      <c r="F2203" s="468">
        <f>C2203*0.9</f>
        <v>1.5389999999999999</v>
      </c>
      <c r="G2203" s="468">
        <f>C2203+D2203+E2203+F2203</f>
        <v>9.9751999999999992</v>
      </c>
      <c r="H2203" s="468">
        <f>G2203*0.35</f>
        <v>3.4913199999999995</v>
      </c>
      <c r="I2203" s="469">
        <f>G2203+H2203</f>
        <v>13.466519999999999</v>
      </c>
      <c r="J2203" s="470">
        <f>I2203+I2205+I2206</f>
        <v>18.102959999999999</v>
      </c>
    </row>
    <row r="2204" spans="1:10" s="406" customFormat="1">
      <c r="A2204" s="471" t="s">
        <v>337</v>
      </c>
      <c r="B2204" s="472">
        <v>3</v>
      </c>
      <c r="C2204" s="473">
        <v>1.71</v>
      </c>
      <c r="D2204" s="473"/>
      <c r="E2204" s="473"/>
      <c r="F2204" s="473"/>
      <c r="G2204" s="473"/>
      <c r="H2204" s="473"/>
      <c r="I2204" s="474"/>
      <c r="J2204" s="480"/>
    </row>
    <row r="2205" spans="1:10" s="406" customFormat="1">
      <c r="A2205" s="476" t="s">
        <v>385</v>
      </c>
      <c r="B2205" s="476">
        <v>3</v>
      </c>
      <c r="C2205" s="471">
        <v>1.62</v>
      </c>
      <c r="D2205" s="473">
        <f>C2205*0.22</f>
        <v>0.35640000000000005</v>
      </c>
      <c r="E2205" s="473"/>
      <c r="F2205" s="473">
        <f>C2205*0.9</f>
        <v>1.4580000000000002</v>
      </c>
      <c r="G2205" s="473">
        <f>C2205+D2205+E2205+F2205</f>
        <v>3.4344000000000001</v>
      </c>
      <c r="H2205" s="473">
        <f>G2205*0.35</f>
        <v>1.20204</v>
      </c>
      <c r="I2205" s="474">
        <f>G2205+H2205</f>
        <v>4.6364400000000003</v>
      </c>
      <c r="J2205" s="480"/>
    </row>
    <row r="2206" spans="1:10" s="406" customFormat="1" ht="12.75">
      <c r="A2206" s="368" t="s">
        <v>1570</v>
      </c>
      <c r="B2206" s="369"/>
      <c r="C2206" s="369"/>
      <c r="D2206" s="369"/>
      <c r="E2206" s="369"/>
      <c r="F2206" s="369"/>
      <c r="G2206" s="369"/>
      <c r="H2206" s="369"/>
      <c r="I2206" s="369"/>
      <c r="J2206" s="370"/>
    </row>
    <row r="2207" spans="1:10" s="406" customFormat="1">
      <c r="A2207" s="358" t="s">
        <v>1571</v>
      </c>
      <c r="B2207" s="359"/>
      <c r="C2207" s="412">
        <f>C2208+C2209</f>
        <v>16.490000000000002</v>
      </c>
      <c r="D2207" s="412">
        <f>C2207*0.22</f>
        <v>3.6278000000000006</v>
      </c>
      <c r="E2207" s="359">
        <v>0.18</v>
      </c>
      <c r="F2207" s="412">
        <f t="shared" ref="F2207" si="364">C2207*0.9</f>
        <v>14.841000000000003</v>
      </c>
      <c r="G2207" s="412">
        <f>C2207+D2207+E2207+F2207</f>
        <v>35.138800000000003</v>
      </c>
      <c r="H2207" s="412">
        <f t="shared" ref="H2207" si="365">G2207*0.35</f>
        <v>12.298580000000001</v>
      </c>
      <c r="I2207" s="413">
        <f>G2207+H2207</f>
        <v>47.437380000000005</v>
      </c>
      <c r="J2207" s="349">
        <f>I2207+I2210+I2211</f>
        <v>58.255740000000003</v>
      </c>
    </row>
    <row r="2208" spans="1:10" s="406" customFormat="1">
      <c r="A2208" s="360" t="s">
        <v>258</v>
      </c>
      <c r="B2208" s="360">
        <v>15</v>
      </c>
      <c r="C2208" s="391">
        <v>7.94</v>
      </c>
      <c r="D2208" s="392"/>
      <c r="E2208" s="355"/>
      <c r="F2208" s="392"/>
      <c r="G2208" s="392"/>
      <c r="H2208" s="392"/>
      <c r="I2208" s="393"/>
      <c r="J2208" s="353"/>
    </row>
    <row r="2209" spans="1:10" s="406" customFormat="1">
      <c r="A2209" s="360" t="s">
        <v>337</v>
      </c>
      <c r="B2209" s="360">
        <v>15</v>
      </c>
      <c r="C2209" s="391">
        <v>8.5500000000000007</v>
      </c>
      <c r="D2209" s="392"/>
      <c r="E2209" s="355"/>
      <c r="F2209" s="392"/>
      <c r="G2209" s="392"/>
      <c r="H2209" s="392"/>
      <c r="I2209" s="393"/>
      <c r="J2209" s="353"/>
    </row>
    <row r="2210" spans="1:10" s="406" customFormat="1">
      <c r="A2210" s="350" t="s">
        <v>385</v>
      </c>
      <c r="B2210" s="351">
        <v>7</v>
      </c>
      <c r="C2210" s="391">
        <v>3.78</v>
      </c>
      <c r="D2210" s="392">
        <f>C2210*0.22</f>
        <v>0.83160000000000001</v>
      </c>
      <c r="E2210" s="355"/>
      <c r="F2210" s="392">
        <f t="shared" ref="F2210" si="366">C2210*0.9</f>
        <v>3.4019999999999997</v>
      </c>
      <c r="G2210" s="392">
        <f>C2210+D2210+E2210+F2210</f>
        <v>8.0136000000000003</v>
      </c>
      <c r="H2210" s="392">
        <f t="shared" ref="H2210" si="367">G2210*0.35</f>
        <v>2.8047599999999999</v>
      </c>
      <c r="I2210" s="393">
        <f>G2210+H2210</f>
        <v>10.81836</v>
      </c>
      <c r="J2210" s="353"/>
    </row>
    <row r="2211" spans="1:10" s="406" customFormat="1">
      <c r="A2211" s="350"/>
      <c r="B2211" s="351"/>
      <c r="C2211" s="391"/>
      <c r="D2211" s="392"/>
      <c r="E2211" s="355"/>
      <c r="F2211" s="392"/>
      <c r="G2211" s="392"/>
      <c r="H2211" s="392"/>
      <c r="I2211" s="393"/>
      <c r="J2211" s="353"/>
    </row>
    <row r="2212" spans="1:10" s="406" customFormat="1">
      <c r="A2212" s="358" t="s">
        <v>1572</v>
      </c>
      <c r="B2212" s="359"/>
      <c r="C2212" s="412">
        <f>C2213+C2214</f>
        <v>22.5</v>
      </c>
      <c r="D2212" s="412">
        <f>C2212*0.22</f>
        <v>4.95</v>
      </c>
      <c r="E2212" s="359">
        <v>0.18</v>
      </c>
      <c r="F2212" s="412">
        <f t="shared" ref="F2212" si="368">C2212*0.9</f>
        <v>20.25</v>
      </c>
      <c r="G2212" s="412">
        <f>C2212+D2212+E2212+F2212</f>
        <v>47.879999999999995</v>
      </c>
      <c r="H2212" s="412">
        <f t="shared" ref="H2212" si="369">G2212*0.35</f>
        <v>16.757999999999999</v>
      </c>
      <c r="I2212" s="413">
        <f>G2212+H2212</f>
        <v>64.637999999999991</v>
      </c>
      <c r="J2212" s="349">
        <f>I2212+I2215+I2216</f>
        <v>75.456359999999989</v>
      </c>
    </row>
    <row r="2213" spans="1:10" s="406" customFormat="1">
      <c r="A2213" s="360" t="s">
        <v>258</v>
      </c>
      <c r="B2213" s="360">
        <v>15</v>
      </c>
      <c r="C2213" s="391">
        <v>13.95</v>
      </c>
      <c r="D2213" s="392"/>
      <c r="E2213" s="360"/>
      <c r="F2213" s="392"/>
      <c r="G2213" s="392"/>
      <c r="H2213" s="392"/>
      <c r="I2213" s="393"/>
      <c r="J2213" s="353"/>
    </row>
    <row r="2214" spans="1:10" s="406" customFormat="1">
      <c r="A2214" s="360" t="s">
        <v>337</v>
      </c>
      <c r="B2214" s="360">
        <v>15</v>
      </c>
      <c r="C2214" s="391">
        <v>8.5500000000000007</v>
      </c>
      <c r="D2214" s="392"/>
      <c r="E2214" s="360"/>
      <c r="F2214" s="392"/>
      <c r="G2214" s="392"/>
      <c r="H2214" s="392"/>
      <c r="I2214" s="393"/>
      <c r="J2214" s="353"/>
    </row>
    <row r="2215" spans="1:10" s="406" customFormat="1">
      <c r="A2215" s="350" t="s">
        <v>385</v>
      </c>
      <c r="B2215" s="351">
        <v>7</v>
      </c>
      <c r="C2215" s="391">
        <v>3.78</v>
      </c>
      <c r="D2215" s="392">
        <f>C2215*0.22</f>
        <v>0.83160000000000001</v>
      </c>
      <c r="E2215" s="355"/>
      <c r="F2215" s="392">
        <f t="shared" ref="F2215:F2217" si="370">C2215*0.9</f>
        <v>3.4019999999999997</v>
      </c>
      <c r="G2215" s="392">
        <f>C2215+D2215+E2215+F2215</f>
        <v>8.0136000000000003</v>
      </c>
      <c r="H2215" s="392">
        <f t="shared" ref="H2215:H2217" si="371">G2215*0.35</f>
        <v>2.8047599999999999</v>
      </c>
      <c r="I2215" s="393">
        <f>G2215+H2215</f>
        <v>10.81836</v>
      </c>
      <c r="J2215" s="353"/>
    </row>
    <row r="2216" spans="1:10" s="406" customFormat="1">
      <c r="A2216" s="350"/>
      <c r="B2216" s="351"/>
      <c r="C2216" s="391"/>
      <c r="D2216" s="392"/>
      <c r="E2216" s="355"/>
      <c r="F2216" s="392"/>
      <c r="G2216" s="392"/>
      <c r="H2216" s="392"/>
      <c r="I2216" s="393"/>
      <c r="J2216" s="353"/>
    </row>
    <row r="2217" spans="1:10" s="406" customFormat="1">
      <c r="A2217" s="358" t="s">
        <v>1573</v>
      </c>
      <c r="B2217" s="359"/>
      <c r="C2217" s="412">
        <f>C2218+C2219</f>
        <v>20.55</v>
      </c>
      <c r="D2217" s="412">
        <f>C2217*0.22</f>
        <v>4.5209999999999999</v>
      </c>
      <c r="E2217" s="359">
        <v>0.18</v>
      </c>
      <c r="F2217" s="412">
        <f t="shared" si="370"/>
        <v>18.495000000000001</v>
      </c>
      <c r="G2217" s="412">
        <f>C2217+D2217+E2217+F2217</f>
        <v>43.746000000000002</v>
      </c>
      <c r="H2217" s="412">
        <f t="shared" si="371"/>
        <v>15.3111</v>
      </c>
      <c r="I2217" s="413">
        <f>G2217+H2217</f>
        <v>59.057100000000005</v>
      </c>
      <c r="J2217" s="349">
        <f>I2217+I2220+I2221</f>
        <v>69.875460000000004</v>
      </c>
    </row>
    <row r="2218" spans="1:10" s="406" customFormat="1">
      <c r="A2218" s="360" t="s">
        <v>258</v>
      </c>
      <c r="B2218" s="360">
        <v>15</v>
      </c>
      <c r="C2218" s="391">
        <v>12</v>
      </c>
      <c r="D2218" s="392"/>
      <c r="E2218" s="355"/>
      <c r="F2218" s="392"/>
      <c r="G2218" s="392"/>
      <c r="H2218" s="392"/>
      <c r="I2218" s="393"/>
      <c r="J2218" s="353"/>
    </row>
    <row r="2219" spans="1:10" s="406" customFormat="1">
      <c r="A2219" s="360" t="s">
        <v>337</v>
      </c>
      <c r="B2219" s="360">
        <v>15</v>
      </c>
      <c r="C2219" s="391">
        <v>8.5500000000000007</v>
      </c>
      <c r="D2219" s="392"/>
      <c r="E2219" s="355"/>
      <c r="F2219" s="392"/>
      <c r="G2219" s="392"/>
      <c r="H2219" s="392"/>
      <c r="I2219" s="393"/>
      <c r="J2219" s="353"/>
    </row>
    <row r="2220" spans="1:10" s="406" customFormat="1">
      <c r="A2220" s="350" t="s">
        <v>385</v>
      </c>
      <c r="B2220" s="351">
        <v>7</v>
      </c>
      <c r="C2220" s="391">
        <v>3.78</v>
      </c>
      <c r="D2220" s="392">
        <f>C2220*0.22</f>
        <v>0.83160000000000001</v>
      </c>
      <c r="E2220" s="355"/>
      <c r="F2220" s="392">
        <f t="shared" ref="F2220" si="372">C2220*0.9</f>
        <v>3.4019999999999997</v>
      </c>
      <c r="G2220" s="392">
        <f>C2220+D2220+E2220+F2220</f>
        <v>8.0136000000000003</v>
      </c>
      <c r="H2220" s="392">
        <f t="shared" ref="H2220" si="373">G2220*0.35</f>
        <v>2.8047599999999999</v>
      </c>
      <c r="I2220" s="393">
        <f>G2220+H2220</f>
        <v>10.81836</v>
      </c>
      <c r="J2220" s="353"/>
    </row>
    <row r="2221" spans="1:10" s="406" customFormat="1">
      <c r="A2221" s="350"/>
      <c r="B2221" s="351"/>
      <c r="C2221" s="391"/>
      <c r="D2221" s="392"/>
      <c r="E2221" s="355"/>
      <c r="F2221" s="392"/>
      <c r="G2221" s="392"/>
      <c r="H2221" s="392"/>
      <c r="I2221" s="393"/>
      <c r="J2221" s="353"/>
    </row>
    <row r="2222" spans="1:10" s="406" customFormat="1">
      <c r="A2222" s="358" t="s">
        <v>1574</v>
      </c>
      <c r="B2222" s="359"/>
      <c r="C2222" s="412">
        <f>C2223+C2224</f>
        <v>18.149999999999999</v>
      </c>
      <c r="D2222" s="412">
        <f>C2222*0.22</f>
        <v>3.9929999999999999</v>
      </c>
      <c r="E2222" s="359">
        <v>0.18</v>
      </c>
      <c r="F2222" s="412">
        <f t="shared" ref="F2222" si="374">C2222*0.9</f>
        <v>16.335000000000001</v>
      </c>
      <c r="G2222" s="412">
        <f>C2222+D2222+E2222+F2222</f>
        <v>38.658000000000001</v>
      </c>
      <c r="H2222" s="412">
        <f t="shared" ref="H2222" si="375">G2222*0.35</f>
        <v>13.5303</v>
      </c>
      <c r="I2222" s="413">
        <f>G2222+H2222</f>
        <v>52.188299999999998</v>
      </c>
      <c r="J2222" s="349">
        <f>I2222+I2225+I2226</f>
        <v>63.006659999999997</v>
      </c>
    </row>
    <row r="2223" spans="1:10" s="406" customFormat="1">
      <c r="A2223" s="360" t="s">
        <v>258</v>
      </c>
      <c r="B2223" s="360">
        <v>15</v>
      </c>
      <c r="C2223" s="391">
        <v>9.6</v>
      </c>
      <c r="D2223" s="392"/>
      <c r="E2223" s="360"/>
      <c r="F2223" s="392"/>
      <c r="G2223" s="392"/>
      <c r="H2223" s="392"/>
      <c r="I2223" s="393"/>
      <c r="J2223" s="353"/>
    </row>
    <row r="2224" spans="1:10" s="406" customFormat="1">
      <c r="A2224" s="360" t="s">
        <v>337</v>
      </c>
      <c r="B2224" s="360">
        <v>15</v>
      </c>
      <c r="C2224" s="391">
        <v>8.5500000000000007</v>
      </c>
      <c r="D2224" s="392"/>
      <c r="E2224" s="360"/>
      <c r="F2224" s="392"/>
      <c r="G2224" s="392"/>
      <c r="H2224" s="392"/>
      <c r="I2224" s="393"/>
      <c r="J2224" s="353"/>
    </row>
    <row r="2225" spans="1:10" s="406" customFormat="1">
      <c r="A2225" s="350" t="s">
        <v>385</v>
      </c>
      <c r="B2225" s="351">
        <v>7</v>
      </c>
      <c r="C2225" s="391">
        <v>3.78</v>
      </c>
      <c r="D2225" s="392">
        <f>C2225*0.22</f>
        <v>0.83160000000000001</v>
      </c>
      <c r="E2225" s="355"/>
      <c r="F2225" s="392">
        <f t="shared" ref="F2225" si="376">C2225*0.9</f>
        <v>3.4019999999999997</v>
      </c>
      <c r="G2225" s="392">
        <f>C2225+D2225+E2225+F2225</f>
        <v>8.0136000000000003</v>
      </c>
      <c r="H2225" s="392">
        <f t="shared" ref="H2225:H2227" si="377">G2225*0.35</f>
        <v>2.8047599999999999</v>
      </c>
      <c r="I2225" s="393">
        <f>G2225+H2225</f>
        <v>10.81836</v>
      </c>
      <c r="J2225" s="353"/>
    </row>
    <row r="2226" spans="1:10" s="406" customFormat="1">
      <c r="A2226" s="350"/>
      <c r="B2226" s="351"/>
      <c r="C2226" s="391"/>
      <c r="D2226" s="392"/>
      <c r="E2226" s="355"/>
      <c r="F2226" s="392"/>
      <c r="G2226" s="392"/>
      <c r="H2226" s="392"/>
      <c r="I2226" s="393"/>
      <c r="J2226" s="353"/>
    </row>
    <row r="2227" spans="1:10" s="406" customFormat="1">
      <c r="A2227" s="358" t="s">
        <v>1575</v>
      </c>
      <c r="B2227" s="359"/>
      <c r="C2227" s="412">
        <f>C2228+C2229</f>
        <v>19.8</v>
      </c>
      <c r="D2227" s="412">
        <f>C2227*0.22</f>
        <v>4.3559999999999999</v>
      </c>
      <c r="E2227" s="359">
        <v>0.18</v>
      </c>
      <c r="F2227" s="412">
        <f>C2227*0.5</f>
        <v>9.9</v>
      </c>
      <c r="G2227" s="412">
        <f>C2227+D2227+E2227+F2227</f>
        <v>34.235999999999997</v>
      </c>
      <c r="H2227" s="412">
        <f t="shared" si="377"/>
        <v>11.982599999999998</v>
      </c>
      <c r="I2227" s="413">
        <f>G2227+H2227</f>
        <v>46.218599999999995</v>
      </c>
      <c r="J2227" s="349">
        <f>I2227+I2230+I2231</f>
        <v>57.036959999999993</v>
      </c>
    </row>
    <row r="2228" spans="1:10" s="406" customFormat="1">
      <c r="A2228" s="360" t="s">
        <v>258</v>
      </c>
      <c r="B2228" s="360">
        <v>15</v>
      </c>
      <c r="C2228" s="391">
        <v>11.25</v>
      </c>
      <c r="D2228" s="392"/>
      <c r="E2228" s="355"/>
      <c r="F2228" s="392"/>
      <c r="G2228" s="392"/>
      <c r="H2228" s="392"/>
      <c r="I2228" s="393"/>
      <c r="J2228" s="353"/>
    </row>
    <row r="2229" spans="1:10" s="406" customFormat="1">
      <c r="A2229" s="360" t="s">
        <v>337</v>
      </c>
      <c r="B2229" s="360">
        <v>15</v>
      </c>
      <c r="C2229" s="391">
        <v>8.5500000000000007</v>
      </c>
      <c r="D2229" s="392"/>
      <c r="E2229" s="355"/>
      <c r="F2229" s="392"/>
      <c r="G2229" s="392"/>
      <c r="H2229" s="392"/>
      <c r="I2229" s="393"/>
      <c r="J2229" s="353"/>
    </row>
    <row r="2230" spans="1:10" s="406" customFormat="1">
      <c r="A2230" s="350" t="s">
        <v>385</v>
      </c>
      <c r="B2230" s="351">
        <v>7</v>
      </c>
      <c r="C2230" s="391">
        <v>3.78</v>
      </c>
      <c r="D2230" s="392">
        <f>C2230*0.22</f>
        <v>0.83160000000000001</v>
      </c>
      <c r="E2230" s="355"/>
      <c r="F2230" s="392">
        <f t="shared" ref="F2230:F2232" si="378">C2230*0.9</f>
        <v>3.4019999999999997</v>
      </c>
      <c r="G2230" s="392">
        <f>C2230+D2230+E2230+F2230</f>
        <v>8.0136000000000003</v>
      </c>
      <c r="H2230" s="392">
        <f t="shared" ref="H2230:H2232" si="379">G2230*0.35</f>
        <v>2.8047599999999999</v>
      </c>
      <c r="I2230" s="393">
        <f>G2230+H2230</f>
        <v>10.81836</v>
      </c>
      <c r="J2230" s="353"/>
    </row>
    <row r="2231" spans="1:10" s="406" customFormat="1">
      <c r="A2231" s="350"/>
      <c r="B2231" s="351"/>
      <c r="C2231" s="391"/>
      <c r="D2231" s="392"/>
      <c r="E2231" s="355"/>
      <c r="F2231" s="392"/>
      <c r="G2231" s="392"/>
      <c r="H2231" s="392"/>
      <c r="I2231" s="393"/>
      <c r="J2231" s="353"/>
    </row>
    <row r="2232" spans="1:10" s="406" customFormat="1">
      <c r="A2232" s="358" t="s">
        <v>1576</v>
      </c>
      <c r="B2232" s="359"/>
      <c r="C2232" s="412">
        <f>C2233+C2234</f>
        <v>18.190000000000001</v>
      </c>
      <c r="D2232" s="412">
        <f>C2232*0.22</f>
        <v>4.0018000000000002</v>
      </c>
      <c r="E2232" s="359">
        <v>0.18</v>
      </c>
      <c r="F2232" s="412">
        <f t="shared" si="378"/>
        <v>16.371000000000002</v>
      </c>
      <c r="G2232" s="412">
        <f>C2232+D2232+E2232+F2232</f>
        <v>38.742800000000003</v>
      </c>
      <c r="H2232" s="412">
        <f t="shared" si="379"/>
        <v>13.559979999999999</v>
      </c>
      <c r="I2232" s="413">
        <f>G2232+H2232</f>
        <v>52.302779999999998</v>
      </c>
      <c r="J2232" s="349">
        <f>I2232+I2235+I2236</f>
        <v>63.121139999999997</v>
      </c>
    </row>
    <row r="2233" spans="1:10" s="406" customFormat="1">
      <c r="A2233" s="360" t="s">
        <v>258</v>
      </c>
      <c r="B2233" s="360">
        <v>15</v>
      </c>
      <c r="C2233" s="391">
        <v>9.64</v>
      </c>
      <c r="D2233" s="392"/>
      <c r="E2233" s="355"/>
      <c r="F2233" s="392"/>
      <c r="G2233" s="392"/>
      <c r="H2233" s="392"/>
      <c r="I2233" s="393"/>
      <c r="J2233" s="353"/>
    </row>
    <row r="2234" spans="1:10" s="406" customFormat="1">
      <c r="A2234" s="360" t="s">
        <v>337</v>
      </c>
      <c r="B2234" s="360">
        <v>15</v>
      </c>
      <c r="C2234" s="391">
        <v>8.5500000000000007</v>
      </c>
      <c r="D2234" s="392"/>
      <c r="E2234" s="355"/>
      <c r="F2234" s="392"/>
      <c r="G2234" s="392"/>
      <c r="H2234" s="392"/>
      <c r="I2234" s="393"/>
      <c r="J2234" s="353"/>
    </row>
    <row r="2235" spans="1:10" s="406" customFormat="1">
      <c r="A2235" s="350" t="s">
        <v>385</v>
      </c>
      <c r="B2235" s="351">
        <v>7</v>
      </c>
      <c r="C2235" s="391">
        <v>3.78</v>
      </c>
      <c r="D2235" s="392">
        <f>C2235*0.22</f>
        <v>0.83160000000000001</v>
      </c>
      <c r="E2235" s="355"/>
      <c r="F2235" s="392">
        <f t="shared" ref="F2235" si="380">C2235*0.9</f>
        <v>3.4019999999999997</v>
      </c>
      <c r="G2235" s="392">
        <f>C2235+D2235+E2235+F2235</f>
        <v>8.0136000000000003</v>
      </c>
      <c r="H2235" s="392">
        <f t="shared" ref="H2235" si="381">G2235*0.35</f>
        <v>2.8047599999999999</v>
      </c>
      <c r="I2235" s="393">
        <f>G2235+H2235</f>
        <v>10.81836</v>
      </c>
      <c r="J2235" s="353"/>
    </row>
    <row r="2236" spans="1:10" s="406" customFormat="1">
      <c r="A2236" s="350"/>
      <c r="B2236" s="351"/>
      <c r="C2236" s="391"/>
      <c r="D2236" s="392"/>
      <c r="E2236" s="355"/>
      <c r="F2236" s="392"/>
      <c r="G2236" s="392"/>
      <c r="H2236" s="392"/>
      <c r="I2236" s="393"/>
      <c r="J2236" s="353"/>
    </row>
    <row r="2237" spans="1:10" s="406" customFormat="1">
      <c r="A2237" s="358" t="s">
        <v>1577</v>
      </c>
      <c r="B2237" s="359"/>
      <c r="C2237" s="412">
        <f>C2238+C2239</f>
        <v>22.35</v>
      </c>
      <c r="D2237" s="412">
        <f>C2237*0.22</f>
        <v>4.9170000000000007</v>
      </c>
      <c r="E2237" s="359">
        <v>0.18</v>
      </c>
      <c r="F2237" s="412">
        <f>C2237*0.5</f>
        <v>11.175000000000001</v>
      </c>
      <c r="G2237" s="412">
        <f>C2237+D2237+E2237+F2237</f>
        <v>38.622</v>
      </c>
      <c r="H2237" s="412">
        <f t="shared" ref="H2237" si="382">G2237*0.35</f>
        <v>13.5177</v>
      </c>
      <c r="I2237" s="413">
        <f>G2237+H2237</f>
        <v>52.139699999999998</v>
      </c>
      <c r="J2237" s="349">
        <f>I2237+I2240+I2241</f>
        <v>62.958059999999996</v>
      </c>
    </row>
    <row r="2238" spans="1:10" s="406" customFormat="1">
      <c r="A2238" s="360" t="s">
        <v>258</v>
      </c>
      <c r="B2238" s="360">
        <v>15</v>
      </c>
      <c r="C2238" s="391">
        <v>13.8</v>
      </c>
      <c r="D2238" s="392"/>
      <c r="E2238" s="355"/>
      <c r="F2238" s="392"/>
      <c r="G2238" s="392"/>
      <c r="H2238" s="392"/>
      <c r="I2238" s="393"/>
      <c r="J2238" s="355"/>
    </row>
    <row r="2239" spans="1:10" s="406" customFormat="1">
      <c r="A2239" s="360" t="s">
        <v>337</v>
      </c>
      <c r="B2239" s="360">
        <v>15</v>
      </c>
      <c r="C2239" s="391">
        <v>8.5500000000000007</v>
      </c>
      <c r="D2239" s="392"/>
      <c r="E2239" s="355"/>
      <c r="F2239" s="392"/>
      <c r="G2239" s="392"/>
      <c r="H2239" s="392"/>
      <c r="I2239" s="393"/>
      <c r="J2239" s="355"/>
    </row>
    <row r="2240" spans="1:10" s="406" customFormat="1">
      <c r="A2240" s="350" t="s">
        <v>385</v>
      </c>
      <c r="B2240" s="351">
        <v>7</v>
      </c>
      <c r="C2240" s="391">
        <v>3.78</v>
      </c>
      <c r="D2240" s="392">
        <f>C2240*0.22</f>
        <v>0.83160000000000001</v>
      </c>
      <c r="E2240" s="355"/>
      <c r="F2240" s="392">
        <f t="shared" ref="F2240" si="383">C2240*0.9</f>
        <v>3.4019999999999997</v>
      </c>
      <c r="G2240" s="392">
        <f>C2240+D2240+E2240+F2240</f>
        <v>8.0136000000000003</v>
      </c>
      <c r="H2240" s="392">
        <f t="shared" ref="H2240:H2242" si="384">G2240*0.35</f>
        <v>2.8047599999999999</v>
      </c>
      <c r="I2240" s="393">
        <f>G2240+H2240</f>
        <v>10.81836</v>
      </c>
      <c r="J2240" s="355"/>
    </row>
    <row r="2241" spans="1:10" s="406" customFormat="1">
      <c r="A2241" s="350"/>
      <c r="B2241" s="351"/>
      <c r="C2241" s="391"/>
      <c r="D2241" s="392"/>
      <c r="E2241" s="355"/>
      <c r="F2241" s="392"/>
      <c r="G2241" s="392"/>
      <c r="H2241" s="392"/>
      <c r="I2241" s="393"/>
      <c r="J2241" s="355"/>
    </row>
    <row r="2242" spans="1:10" s="406" customFormat="1">
      <c r="A2242" s="358" t="s">
        <v>1578</v>
      </c>
      <c r="B2242" s="359"/>
      <c r="C2242" s="412">
        <f>C2243+C2244</f>
        <v>21.450000000000003</v>
      </c>
      <c r="D2242" s="412">
        <f>C2242*0.22</f>
        <v>4.7190000000000003</v>
      </c>
      <c r="E2242" s="359">
        <v>0.18</v>
      </c>
      <c r="F2242" s="412">
        <f>C2242*0.9</f>
        <v>19.305000000000003</v>
      </c>
      <c r="G2242" s="412">
        <f>C2242+D2242+E2242+F2242</f>
        <v>45.654000000000011</v>
      </c>
      <c r="H2242" s="412">
        <f t="shared" si="384"/>
        <v>15.978900000000003</v>
      </c>
      <c r="I2242" s="413">
        <f>G2242+H2242</f>
        <v>61.632900000000014</v>
      </c>
      <c r="J2242" s="349">
        <f>I2242+I2245+I2246</f>
        <v>72.451260000000019</v>
      </c>
    </row>
    <row r="2243" spans="1:10" s="406" customFormat="1">
      <c r="A2243" s="360" t="s">
        <v>258</v>
      </c>
      <c r="B2243" s="360">
        <v>15</v>
      </c>
      <c r="C2243" s="391">
        <v>12.9</v>
      </c>
      <c r="D2243" s="392"/>
      <c r="E2243" s="355"/>
      <c r="F2243" s="392"/>
      <c r="G2243" s="392"/>
      <c r="H2243" s="392"/>
      <c r="I2243" s="393"/>
      <c r="J2243" s="353"/>
    </row>
    <row r="2244" spans="1:10" s="406" customFormat="1">
      <c r="A2244" s="360" t="s">
        <v>337</v>
      </c>
      <c r="B2244" s="360">
        <v>15</v>
      </c>
      <c r="C2244" s="391">
        <v>8.5500000000000007</v>
      </c>
      <c r="D2244" s="392"/>
      <c r="E2244" s="355"/>
      <c r="F2244" s="392"/>
      <c r="G2244" s="392"/>
      <c r="H2244" s="392"/>
      <c r="I2244" s="393"/>
      <c r="J2244" s="353"/>
    </row>
    <row r="2245" spans="1:10" s="406" customFormat="1">
      <c r="A2245" s="350" t="s">
        <v>385</v>
      </c>
      <c r="B2245" s="351">
        <v>7</v>
      </c>
      <c r="C2245" s="391">
        <v>3.78</v>
      </c>
      <c r="D2245" s="392">
        <f>C2245*0.22</f>
        <v>0.83160000000000001</v>
      </c>
      <c r="E2245" s="355"/>
      <c r="F2245" s="392">
        <f t="shared" ref="F2245:F2247" si="385">C2245*0.9</f>
        <v>3.4019999999999997</v>
      </c>
      <c r="G2245" s="392">
        <f>C2245+D2245+E2245+F2245</f>
        <v>8.0136000000000003</v>
      </c>
      <c r="H2245" s="392">
        <f t="shared" ref="H2245:H2247" si="386">G2245*0.35</f>
        <v>2.8047599999999999</v>
      </c>
      <c r="I2245" s="393">
        <f>G2245+H2245</f>
        <v>10.81836</v>
      </c>
      <c r="J2245" s="353"/>
    </row>
    <row r="2246" spans="1:10" s="406" customFormat="1">
      <c r="A2246" s="350"/>
      <c r="B2246" s="351"/>
      <c r="C2246" s="391"/>
      <c r="D2246" s="392"/>
      <c r="E2246" s="355"/>
      <c r="F2246" s="392"/>
      <c r="G2246" s="392"/>
      <c r="H2246" s="392"/>
      <c r="I2246" s="393"/>
      <c r="J2246" s="353"/>
    </row>
    <row r="2247" spans="1:10" s="406" customFormat="1">
      <c r="A2247" s="358" t="s">
        <v>1579</v>
      </c>
      <c r="B2247" s="359"/>
      <c r="C2247" s="412">
        <f>C2248+C2249</f>
        <v>18.899999999999999</v>
      </c>
      <c r="D2247" s="412">
        <f>C2247*0.22</f>
        <v>4.1579999999999995</v>
      </c>
      <c r="E2247" s="359">
        <v>0.18</v>
      </c>
      <c r="F2247" s="412">
        <f t="shared" si="385"/>
        <v>17.009999999999998</v>
      </c>
      <c r="G2247" s="412">
        <f>C2247+D2247+E2247+F2247</f>
        <v>40.247999999999998</v>
      </c>
      <c r="H2247" s="412">
        <f t="shared" si="386"/>
        <v>14.086799999999998</v>
      </c>
      <c r="I2247" s="413">
        <f>G2247+H2247</f>
        <v>54.334799999999994</v>
      </c>
      <c r="J2247" s="349">
        <f>I2247+I2250+I2251</f>
        <v>65.15316</v>
      </c>
    </row>
    <row r="2248" spans="1:10" s="406" customFormat="1">
      <c r="A2248" s="360" t="s">
        <v>258</v>
      </c>
      <c r="B2248" s="360">
        <v>15</v>
      </c>
      <c r="C2248" s="391">
        <v>10.35</v>
      </c>
      <c r="D2248" s="392"/>
      <c r="E2248" s="360"/>
      <c r="F2248" s="392"/>
      <c r="G2248" s="392"/>
      <c r="H2248" s="392"/>
      <c r="I2248" s="393"/>
      <c r="J2248" s="353"/>
    </row>
    <row r="2249" spans="1:10" s="406" customFormat="1">
      <c r="A2249" s="360" t="s">
        <v>337</v>
      </c>
      <c r="B2249" s="360">
        <v>15</v>
      </c>
      <c r="C2249" s="391">
        <v>8.5500000000000007</v>
      </c>
      <c r="D2249" s="392"/>
      <c r="E2249" s="360"/>
      <c r="F2249" s="392"/>
      <c r="G2249" s="392"/>
      <c r="H2249" s="392"/>
      <c r="I2249" s="393"/>
      <c r="J2249" s="353"/>
    </row>
    <row r="2250" spans="1:10" s="406" customFormat="1">
      <c r="A2250" s="350" t="s">
        <v>385</v>
      </c>
      <c r="B2250" s="351">
        <v>7</v>
      </c>
      <c r="C2250" s="391">
        <v>3.78</v>
      </c>
      <c r="D2250" s="392">
        <f>C2250*0.22</f>
        <v>0.83160000000000001</v>
      </c>
      <c r="E2250" s="355"/>
      <c r="F2250" s="392">
        <f t="shared" ref="F2250" si="387">C2250*0.9</f>
        <v>3.4019999999999997</v>
      </c>
      <c r="G2250" s="392">
        <f>C2250+D2250+E2250+F2250</f>
        <v>8.0136000000000003</v>
      </c>
      <c r="H2250" s="392">
        <f t="shared" ref="H2250" si="388">G2250*0.35</f>
        <v>2.8047599999999999</v>
      </c>
      <c r="I2250" s="393">
        <f>G2250+H2250</f>
        <v>10.81836</v>
      </c>
      <c r="J2250" s="353"/>
    </row>
    <row r="2251" spans="1:10" s="406" customFormat="1">
      <c r="A2251" s="350"/>
      <c r="B2251" s="351"/>
      <c r="C2251" s="391"/>
      <c r="D2251" s="392"/>
      <c r="E2251" s="355"/>
      <c r="F2251" s="392"/>
      <c r="G2251" s="392"/>
      <c r="H2251" s="392"/>
      <c r="I2251" s="393"/>
      <c r="J2251" s="353"/>
    </row>
    <row r="2252" spans="1:10" s="406" customFormat="1">
      <c r="A2252" s="358" t="s">
        <v>1580</v>
      </c>
      <c r="B2252" s="359"/>
      <c r="C2252" s="412">
        <f>C2253+C2254</f>
        <v>19.649999999999999</v>
      </c>
      <c r="D2252" s="412">
        <f>C2252*0.22</f>
        <v>4.3229999999999995</v>
      </c>
      <c r="E2252" s="359">
        <v>0.18</v>
      </c>
      <c r="F2252" s="412">
        <f t="shared" ref="F2252" si="389">C2252*0.9</f>
        <v>17.684999999999999</v>
      </c>
      <c r="G2252" s="412">
        <f>C2252+D2252+E2252+F2252</f>
        <v>41.837999999999994</v>
      </c>
      <c r="H2252" s="412">
        <f t="shared" ref="H2252" si="390">G2252*0.35</f>
        <v>14.643299999999996</v>
      </c>
      <c r="I2252" s="413">
        <f>G2252+H2252</f>
        <v>56.48129999999999</v>
      </c>
      <c r="J2252" s="349">
        <f>I2252+I2255+I2256</f>
        <v>67.299659999999989</v>
      </c>
    </row>
    <row r="2253" spans="1:10" s="406" customFormat="1">
      <c r="A2253" s="360" t="s">
        <v>258</v>
      </c>
      <c r="B2253" s="360">
        <v>15</v>
      </c>
      <c r="C2253" s="391">
        <v>11.1</v>
      </c>
      <c r="D2253" s="392"/>
      <c r="E2253" s="360"/>
      <c r="F2253" s="392"/>
      <c r="G2253" s="392"/>
      <c r="H2253" s="392"/>
      <c r="I2253" s="393"/>
      <c r="J2253" s="353"/>
    </row>
    <row r="2254" spans="1:10" s="406" customFormat="1">
      <c r="A2254" s="360" t="s">
        <v>337</v>
      </c>
      <c r="B2254" s="360">
        <v>15</v>
      </c>
      <c r="C2254" s="391">
        <v>8.5500000000000007</v>
      </c>
      <c r="D2254" s="392"/>
      <c r="E2254" s="360"/>
      <c r="F2254" s="392"/>
      <c r="G2254" s="392"/>
      <c r="H2254" s="392"/>
      <c r="I2254" s="393"/>
      <c r="J2254" s="353"/>
    </row>
    <row r="2255" spans="1:10" s="406" customFormat="1">
      <c r="A2255" s="350" t="s">
        <v>385</v>
      </c>
      <c r="B2255" s="351">
        <v>7</v>
      </c>
      <c r="C2255" s="391">
        <v>3.78</v>
      </c>
      <c r="D2255" s="392">
        <f>C2255*0.22</f>
        <v>0.83160000000000001</v>
      </c>
      <c r="E2255" s="355"/>
      <c r="F2255" s="392">
        <f t="shared" ref="F2255" si="391">C2255*0.9</f>
        <v>3.4019999999999997</v>
      </c>
      <c r="G2255" s="392">
        <f>C2255+D2255+E2255+F2255</f>
        <v>8.0136000000000003</v>
      </c>
      <c r="H2255" s="392">
        <f t="shared" ref="H2255:H2257" si="392">G2255*0.35</f>
        <v>2.8047599999999999</v>
      </c>
      <c r="I2255" s="393">
        <f>G2255+H2255</f>
        <v>10.81836</v>
      </c>
      <c r="J2255" s="353"/>
    </row>
    <row r="2256" spans="1:10" s="406" customFormat="1">
      <c r="A2256" s="350"/>
      <c r="B2256" s="351"/>
      <c r="C2256" s="391"/>
      <c r="D2256" s="392"/>
      <c r="E2256" s="355"/>
      <c r="F2256" s="392"/>
      <c r="G2256" s="392"/>
      <c r="H2256" s="392"/>
      <c r="I2256" s="393"/>
      <c r="J2256" s="353"/>
    </row>
    <row r="2257" spans="1:10" s="406" customFormat="1">
      <c r="A2257" s="358" t="s">
        <v>1581</v>
      </c>
      <c r="B2257" s="359"/>
      <c r="C2257" s="412">
        <f>C2258+C2259</f>
        <v>22.35</v>
      </c>
      <c r="D2257" s="412">
        <f>C2257*0.22</f>
        <v>4.9170000000000007</v>
      </c>
      <c r="E2257" s="359">
        <v>0.18</v>
      </c>
      <c r="F2257" s="412">
        <f>C2257*0.5</f>
        <v>11.175000000000001</v>
      </c>
      <c r="G2257" s="412">
        <f>C2257+D2257+E2257+F2257</f>
        <v>38.622</v>
      </c>
      <c r="H2257" s="412">
        <f t="shared" si="392"/>
        <v>13.5177</v>
      </c>
      <c r="I2257" s="413">
        <f>G2257+H2257</f>
        <v>52.139699999999998</v>
      </c>
      <c r="J2257" s="349">
        <f>I2257+I2260+I2261</f>
        <v>62.958059999999996</v>
      </c>
    </row>
    <row r="2258" spans="1:10" s="406" customFormat="1">
      <c r="A2258" s="360" t="s">
        <v>258</v>
      </c>
      <c r="B2258" s="360">
        <v>15</v>
      </c>
      <c r="C2258" s="391">
        <v>13.8</v>
      </c>
      <c r="D2258" s="392"/>
      <c r="E2258" s="355"/>
      <c r="F2258" s="392"/>
      <c r="G2258" s="392"/>
      <c r="H2258" s="392"/>
      <c r="I2258" s="393"/>
      <c r="J2258" s="353"/>
    </row>
    <row r="2259" spans="1:10" s="406" customFormat="1">
      <c r="A2259" s="360" t="s">
        <v>337</v>
      </c>
      <c r="B2259" s="360">
        <v>15</v>
      </c>
      <c r="C2259" s="391">
        <v>8.5500000000000007</v>
      </c>
      <c r="D2259" s="392"/>
      <c r="E2259" s="355"/>
      <c r="F2259" s="392"/>
      <c r="G2259" s="392"/>
      <c r="H2259" s="392"/>
      <c r="I2259" s="393"/>
      <c r="J2259" s="353"/>
    </row>
    <row r="2260" spans="1:10" s="406" customFormat="1">
      <c r="A2260" s="350" t="s">
        <v>385</v>
      </c>
      <c r="B2260" s="351">
        <v>7</v>
      </c>
      <c r="C2260" s="391">
        <v>3.78</v>
      </c>
      <c r="D2260" s="392">
        <f>C2260*0.22</f>
        <v>0.83160000000000001</v>
      </c>
      <c r="E2260" s="355"/>
      <c r="F2260" s="392">
        <f t="shared" ref="F2260:F2262" si="393">C2260*0.9</f>
        <v>3.4019999999999997</v>
      </c>
      <c r="G2260" s="392">
        <f>C2260+D2260+E2260+F2260</f>
        <v>8.0136000000000003</v>
      </c>
      <c r="H2260" s="392">
        <f t="shared" ref="H2260:H2262" si="394">G2260*0.35</f>
        <v>2.8047599999999999</v>
      </c>
      <c r="I2260" s="393">
        <f>G2260+H2260</f>
        <v>10.81836</v>
      </c>
      <c r="J2260" s="353"/>
    </row>
    <row r="2261" spans="1:10" s="406" customFormat="1">
      <c r="A2261" s="350"/>
      <c r="B2261" s="351"/>
      <c r="C2261" s="391"/>
      <c r="D2261" s="392"/>
      <c r="E2261" s="355"/>
      <c r="F2261" s="392"/>
      <c r="G2261" s="392"/>
      <c r="H2261" s="392"/>
      <c r="I2261" s="393"/>
      <c r="J2261" s="353"/>
    </row>
    <row r="2262" spans="1:10" s="406" customFormat="1">
      <c r="A2262" s="358" t="s">
        <v>1582</v>
      </c>
      <c r="B2262" s="359"/>
      <c r="C2262" s="412">
        <f>C2263+C2264</f>
        <v>22.55</v>
      </c>
      <c r="D2262" s="412">
        <f>C2262*0.22</f>
        <v>4.9610000000000003</v>
      </c>
      <c r="E2262" s="412">
        <v>0.18</v>
      </c>
      <c r="F2262" s="412">
        <f t="shared" si="393"/>
        <v>20.295000000000002</v>
      </c>
      <c r="G2262" s="412">
        <f>C2262+D2262+E2262+F2262</f>
        <v>47.986000000000004</v>
      </c>
      <c r="H2262" s="412">
        <f t="shared" si="394"/>
        <v>16.795100000000001</v>
      </c>
      <c r="I2262" s="413">
        <f>G2262+H2262</f>
        <v>64.781100000000009</v>
      </c>
      <c r="J2262" s="349">
        <f>I2262+I2265+I2266</f>
        <v>75.599460000000008</v>
      </c>
    </row>
    <row r="2263" spans="1:10" s="406" customFormat="1">
      <c r="A2263" s="360" t="s">
        <v>258</v>
      </c>
      <c r="B2263" s="360">
        <v>15</v>
      </c>
      <c r="C2263" s="391">
        <v>14</v>
      </c>
      <c r="D2263" s="392"/>
      <c r="E2263" s="392"/>
      <c r="F2263" s="392"/>
      <c r="G2263" s="392"/>
      <c r="H2263" s="392"/>
      <c r="I2263" s="393"/>
      <c r="J2263" s="353"/>
    </row>
    <row r="2264" spans="1:10" s="406" customFormat="1">
      <c r="A2264" s="360" t="s">
        <v>337</v>
      </c>
      <c r="B2264" s="360">
        <v>15</v>
      </c>
      <c r="C2264" s="391">
        <v>8.5500000000000007</v>
      </c>
      <c r="D2264" s="392"/>
      <c r="E2264" s="392"/>
      <c r="F2264" s="392"/>
      <c r="G2264" s="392"/>
      <c r="H2264" s="392"/>
      <c r="I2264" s="393"/>
      <c r="J2264" s="353"/>
    </row>
    <row r="2265" spans="1:10" s="406" customFormat="1">
      <c r="A2265" s="350" t="s">
        <v>385</v>
      </c>
      <c r="B2265" s="351">
        <v>7</v>
      </c>
      <c r="C2265" s="391">
        <v>3.78</v>
      </c>
      <c r="D2265" s="392">
        <f>C2265*0.22</f>
        <v>0.83160000000000001</v>
      </c>
      <c r="E2265" s="355"/>
      <c r="F2265" s="392">
        <f t="shared" ref="F2265" si="395">C2265*0.9</f>
        <v>3.4019999999999997</v>
      </c>
      <c r="G2265" s="392">
        <f>C2265+D2265+E2265+F2265</f>
        <v>8.0136000000000003</v>
      </c>
      <c r="H2265" s="392">
        <f t="shared" ref="H2265:H2267" si="396">G2265*0.35</f>
        <v>2.8047599999999999</v>
      </c>
      <c r="I2265" s="393">
        <f>G2265+H2265</f>
        <v>10.81836</v>
      </c>
      <c r="J2265" s="353"/>
    </row>
    <row r="2266" spans="1:10" s="406" customFormat="1">
      <c r="A2266" s="350"/>
      <c r="B2266" s="351"/>
      <c r="C2266" s="391"/>
      <c r="D2266" s="392"/>
      <c r="E2266" s="355"/>
      <c r="F2266" s="392"/>
      <c r="G2266" s="392"/>
      <c r="H2266" s="392"/>
      <c r="I2266" s="393"/>
      <c r="J2266" s="353"/>
    </row>
    <row r="2267" spans="1:10" s="406" customFormat="1">
      <c r="A2267" s="358" t="s">
        <v>1583</v>
      </c>
      <c r="B2267" s="359"/>
      <c r="C2267" s="412">
        <f>C2268+C2269</f>
        <v>16.490000000000002</v>
      </c>
      <c r="D2267" s="412">
        <f>C2267*0.22</f>
        <v>3.6278000000000006</v>
      </c>
      <c r="E2267" s="359">
        <v>0.18</v>
      </c>
      <c r="F2267" s="412">
        <f>C2267*0.5</f>
        <v>8.245000000000001</v>
      </c>
      <c r="G2267" s="412">
        <f>C2267+D2267+E2267+F2267</f>
        <v>28.542800000000003</v>
      </c>
      <c r="H2267" s="412">
        <f t="shared" si="396"/>
        <v>9.989980000000001</v>
      </c>
      <c r="I2267" s="413">
        <f>G2267+H2267</f>
        <v>38.532780000000002</v>
      </c>
      <c r="J2267" s="349">
        <f>I2267+I2270+I2271</f>
        <v>49.351140000000001</v>
      </c>
    </row>
    <row r="2268" spans="1:10" s="406" customFormat="1">
      <c r="A2268" s="360" t="s">
        <v>258</v>
      </c>
      <c r="B2268" s="360">
        <v>15</v>
      </c>
      <c r="C2268" s="391">
        <v>7.94</v>
      </c>
      <c r="D2268" s="392"/>
      <c r="E2268" s="355"/>
      <c r="F2268" s="392"/>
      <c r="G2268" s="392"/>
      <c r="H2268" s="392"/>
      <c r="I2268" s="393"/>
      <c r="J2268" s="355"/>
    </row>
    <row r="2269" spans="1:10" s="406" customFormat="1">
      <c r="A2269" s="360" t="s">
        <v>337</v>
      </c>
      <c r="B2269" s="360">
        <v>15</v>
      </c>
      <c r="C2269" s="391">
        <v>8.5500000000000007</v>
      </c>
      <c r="D2269" s="392"/>
      <c r="E2269" s="355"/>
      <c r="F2269" s="392"/>
      <c r="G2269" s="392"/>
      <c r="H2269" s="392"/>
      <c r="I2269" s="393"/>
      <c r="J2269" s="355"/>
    </row>
    <row r="2270" spans="1:10" s="406" customFormat="1">
      <c r="A2270" s="350" t="s">
        <v>385</v>
      </c>
      <c r="B2270" s="351">
        <v>7</v>
      </c>
      <c r="C2270" s="391">
        <v>3.78</v>
      </c>
      <c r="D2270" s="392">
        <f>C2270*0.22</f>
        <v>0.83160000000000001</v>
      </c>
      <c r="E2270" s="355"/>
      <c r="F2270" s="392">
        <f t="shared" ref="F2270" si="397">C2270*0.9</f>
        <v>3.4019999999999997</v>
      </c>
      <c r="G2270" s="392">
        <f>C2270+D2270+E2270+F2270</f>
        <v>8.0136000000000003</v>
      </c>
      <c r="H2270" s="392">
        <f t="shared" ref="H2270" si="398">G2270*0.35</f>
        <v>2.8047599999999999</v>
      </c>
      <c r="I2270" s="393">
        <f>G2270+H2270</f>
        <v>10.81836</v>
      </c>
      <c r="J2270" s="355"/>
    </row>
    <row r="2271" spans="1:10" s="406" customFormat="1">
      <c r="A2271" s="350"/>
      <c r="B2271" s="351"/>
      <c r="C2271" s="391"/>
      <c r="D2271" s="392"/>
      <c r="E2271" s="355"/>
      <c r="F2271" s="392"/>
      <c r="G2271" s="392"/>
      <c r="H2271" s="392"/>
      <c r="I2271" s="393"/>
      <c r="J2271" s="355"/>
    </row>
    <row r="2272" spans="1:10" s="406" customFormat="1">
      <c r="A2272" s="358" t="s">
        <v>1584</v>
      </c>
      <c r="B2272" s="359"/>
      <c r="C2272" s="412">
        <f>C2273+C2274</f>
        <v>18.899999999999999</v>
      </c>
      <c r="D2272" s="412">
        <f>C2272*0.22</f>
        <v>4.1579999999999995</v>
      </c>
      <c r="E2272" s="359">
        <v>0.18</v>
      </c>
      <c r="F2272" s="412">
        <f t="shared" ref="F2272" si="399">C2272*0.9</f>
        <v>17.009999999999998</v>
      </c>
      <c r="G2272" s="412">
        <f>C2272+D2272+E2272+F2272</f>
        <v>40.247999999999998</v>
      </c>
      <c r="H2272" s="412">
        <f t="shared" ref="H2272" si="400">G2272*0.35</f>
        <v>14.086799999999998</v>
      </c>
      <c r="I2272" s="413">
        <f>G2272+H2272</f>
        <v>54.334799999999994</v>
      </c>
      <c r="J2272" s="349">
        <f>I2272+I2275+I2276</f>
        <v>65.15316</v>
      </c>
    </row>
    <row r="2273" spans="1:10" s="406" customFormat="1">
      <c r="A2273" s="360" t="s">
        <v>258</v>
      </c>
      <c r="B2273" s="360">
        <v>15</v>
      </c>
      <c r="C2273" s="391">
        <v>10.35</v>
      </c>
      <c r="D2273" s="392"/>
      <c r="E2273" s="360"/>
      <c r="F2273" s="392"/>
      <c r="G2273" s="392"/>
      <c r="H2273" s="392"/>
      <c r="I2273" s="393"/>
      <c r="J2273" s="353"/>
    </row>
    <row r="2274" spans="1:10" s="406" customFormat="1">
      <c r="A2274" s="360" t="s">
        <v>337</v>
      </c>
      <c r="B2274" s="360">
        <v>15</v>
      </c>
      <c r="C2274" s="391">
        <v>8.5500000000000007</v>
      </c>
      <c r="D2274" s="392"/>
      <c r="E2274" s="360"/>
      <c r="F2274" s="392"/>
      <c r="G2274" s="392"/>
      <c r="H2274" s="392"/>
      <c r="I2274" s="393"/>
      <c r="J2274" s="353"/>
    </row>
    <row r="2275" spans="1:10" s="406" customFormat="1">
      <c r="A2275" s="350" t="s">
        <v>385</v>
      </c>
      <c r="B2275" s="351">
        <v>7</v>
      </c>
      <c r="C2275" s="391">
        <v>3.78</v>
      </c>
      <c r="D2275" s="392">
        <f>C2275*0.22</f>
        <v>0.83160000000000001</v>
      </c>
      <c r="E2275" s="355"/>
      <c r="F2275" s="392">
        <f t="shared" ref="F2275" si="401">C2275*0.9</f>
        <v>3.4019999999999997</v>
      </c>
      <c r="G2275" s="392">
        <f>C2275+D2275+E2275+F2275</f>
        <v>8.0136000000000003</v>
      </c>
      <c r="H2275" s="392">
        <f t="shared" ref="H2275" si="402">G2275*0.35</f>
        <v>2.8047599999999999</v>
      </c>
      <c r="I2275" s="393">
        <f>G2275+H2275</f>
        <v>10.81836</v>
      </c>
      <c r="J2275" s="353"/>
    </row>
    <row r="2276" spans="1:10" s="406" customFormat="1">
      <c r="A2276" s="350"/>
      <c r="B2276" s="351"/>
      <c r="C2276" s="391"/>
      <c r="D2276" s="424"/>
      <c r="E2276" s="389"/>
      <c r="F2276" s="424"/>
      <c r="G2276" s="424"/>
      <c r="H2276" s="424"/>
      <c r="I2276" s="425"/>
      <c r="J2276" s="353"/>
    </row>
    <row r="2277" spans="1:10" s="406" customFormat="1">
      <c r="A2277" s="358" t="s">
        <v>1585</v>
      </c>
      <c r="B2277" s="359"/>
      <c r="C2277" s="412">
        <f>C2278+C2279</f>
        <v>22.950000000000003</v>
      </c>
      <c r="D2277" s="412">
        <f>C2277*0.22</f>
        <v>5.0490000000000004</v>
      </c>
      <c r="E2277" s="359">
        <v>0.18</v>
      </c>
      <c r="F2277" s="412">
        <f t="shared" ref="F2277" si="403">C2277*0.9</f>
        <v>20.655000000000005</v>
      </c>
      <c r="G2277" s="412">
        <f>C2277+D2277+E2277+F2277</f>
        <v>48.834000000000003</v>
      </c>
      <c r="H2277" s="412">
        <f t="shared" ref="H2277" si="404">G2277*0.35</f>
        <v>17.091899999999999</v>
      </c>
      <c r="I2277" s="413">
        <f>G2277+H2277</f>
        <v>65.925899999999999</v>
      </c>
      <c r="J2277" s="349">
        <f>I2277+I2280+I2281</f>
        <v>76.744259999999997</v>
      </c>
    </row>
    <row r="2278" spans="1:10" s="406" customFormat="1">
      <c r="A2278" s="360" t="s">
        <v>258</v>
      </c>
      <c r="B2278" s="360">
        <v>15</v>
      </c>
      <c r="C2278" s="391">
        <v>14.4</v>
      </c>
      <c r="D2278" s="392"/>
      <c r="E2278" s="355"/>
      <c r="F2278" s="392"/>
      <c r="G2278" s="392"/>
      <c r="H2278" s="392"/>
      <c r="I2278" s="393"/>
      <c r="J2278" s="355"/>
    </row>
    <row r="2279" spans="1:10" s="406" customFormat="1">
      <c r="A2279" s="360" t="s">
        <v>337</v>
      </c>
      <c r="B2279" s="360">
        <v>15</v>
      </c>
      <c r="C2279" s="391">
        <v>8.5500000000000007</v>
      </c>
      <c r="D2279" s="392"/>
      <c r="E2279" s="355"/>
      <c r="F2279" s="392"/>
      <c r="G2279" s="392"/>
      <c r="H2279" s="392"/>
      <c r="I2279" s="393"/>
      <c r="J2279" s="355"/>
    </row>
    <row r="2280" spans="1:10" s="406" customFormat="1">
      <c r="A2280" s="350" t="s">
        <v>385</v>
      </c>
      <c r="B2280" s="351">
        <v>7</v>
      </c>
      <c r="C2280" s="391">
        <v>3.78</v>
      </c>
      <c r="D2280" s="392">
        <f>C2280*0.22</f>
        <v>0.83160000000000001</v>
      </c>
      <c r="E2280" s="355"/>
      <c r="F2280" s="392">
        <f t="shared" ref="F2280" si="405">C2280*0.9</f>
        <v>3.4019999999999997</v>
      </c>
      <c r="G2280" s="392">
        <f>C2280+D2280+E2280+F2280</f>
        <v>8.0136000000000003</v>
      </c>
      <c r="H2280" s="392">
        <f t="shared" ref="H2280" si="406">G2280*0.35</f>
        <v>2.8047599999999999</v>
      </c>
      <c r="I2280" s="393">
        <f>G2280+H2280</f>
        <v>10.81836</v>
      </c>
      <c r="J2280" s="355"/>
    </row>
    <row r="2281" spans="1:10" s="406" customFormat="1">
      <c r="A2281" s="350"/>
      <c r="B2281" s="351"/>
      <c r="C2281" s="391"/>
      <c r="D2281" s="392"/>
      <c r="E2281" s="355"/>
      <c r="F2281" s="392"/>
      <c r="G2281" s="392"/>
      <c r="H2281" s="392"/>
      <c r="I2281" s="393"/>
      <c r="J2281" s="355"/>
    </row>
    <row r="2282" spans="1:10" s="406" customFormat="1" ht="12.75">
      <c r="A2282" s="368" t="s">
        <v>1586</v>
      </c>
      <c r="B2282" s="369"/>
      <c r="C2282" s="369"/>
      <c r="D2282" s="369"/>
      <c r="E2282" s="369"/>
      <c r="F2282" s="369"/>
      <c r="G2282" s="369"/>
      <c r="H2282" s="369"/>
      <c r="I2282" s="369"/>
      <c r="J2282" s="370"/>
    </row>
    <row r="2283" spans="1:10" s="406" customFormat="1">
      <c r="A2283" s="345" t="s">
        <v>998</v>
      </c>
      <c r="B2283" s="346"/>
      <c r="C2283" s="412">
        <f>C2284+C2285</f>
        <v>42</v>
      </c>
      <c r="D2283" s="412">
        <f t="shared" ref="D2283:D2306" si="407">C2283*0.22</f>
        <v>9.24</v>
      </c>
      <c r="E2283" s="412">
        <v>0.21</v>
      </c>
      <c r="F2283" s="412">
        <f t="shared" ref="F2283" si="408">C2283*0.9</f>
        <v>37.800000000000004</v>
      </c>
      <c r="G2283" s="412">
        <f>C2283+D2283+E2283+F2283</f>
        <v>89.25</v>
      </c>
      <c r="H2283" s="412">
        <f t="shared" ref="H2283" si="409">G2283*0.35</f>
        <v>31.237499999999997</v>
      </c>
      <c r="I2283" s="413">
        <f>G2283+H2283</f>
        <v>120.4875</v>
      </c>
      <c r="J2283" s="349">
        <f>I2283+I2286+I2287</f>
        <v>151.39709999999999</v>
      </c>
    </row>
    <row r="2284" spans="1:10" s="406" customFormat="1">
      <c r="A2284" s="350" t="s">
        <v>258</v>
      </c>
      <c r="B2284" s="350">
        <v>40</v>
      </c>
      <c r="C2284" s="391">
        <v>23.2</v>
      </c>
      <c r="D2284" s="392">
        <f t="shared" si="407"/>
        <v>5.1040000000000001</v>
      </c>
      <c r="E2284" s="392"/>
      <c r="F2284" s="392"/>
      <c r="G2284" s="392"/>
      <c r="H2284" s="392"/>
      <c r="I2284" s="393"/>
      <c r="J2284" s="353"/>
    </row>
    <row r="2285" spans="1:10" s="406" customFormat="1">
      <c r="A2285" s="350" t="s">
        <v>337</v>
      </c>
      <c r="B2285" s="350">
        <v>40</v>
      </c>
      <c r="C2285" s="391">
        <v>18.8</v>
      </c>
      <c r="D2285" s="392">
        <f t="shared" si="407"/>
        <v>4.1360000000000001</v>
      </c>
      <c r="E2285" s="392"/>
      <c r="F2285" s="392"/>
      <c r="G2285" s="392"/>
      <c r="H2285" s="392"/>
      <c r="I2285" s="393"/>
      <c r="J2285" s="353"/>
    </row>
    <row r="2286" spans="1:10" s="406" customFormat="1">
      <c r="A2286" s="350" t="s">
        <v>385</v>
      </c>
      <c r="B2286" s="351">
        <v>20</v>
      </c>
      <c r="C2286" s="391">
        <v>10.8</v>
      </c>
      <c r="D2286" s="392">
        <f t="shared" si="407"/>
        <v>2.3760000000000003</v>
      </c>
      <c r="E2286" s="355"/>
      <c r="F2286" s="392">
        <f t="shared" ref="F2286:F2288" si="410">C2286*0.9</f>
        <v>9.7200000000000006</v>
      </c>
      <c r="G2286" s="392">
        <f>C2286+D2286+E2286+F2286</f>
        <v>22.896000000000001</v>
      </c>
      <c r="H2286" s="392">
        <f t="shared" ref="H2286:H2288" si="411">G2286*0.35</f>
        <v>8.0136000000000003</v>
      </c>
      <c r="I2286" s="393">
        <f>G2286+H2286</f>
        <v>30.909600000000001</v>
      </c>
      <c r="J2286" s="353"/>
    </row>
    <row r="2287" spans="1:10" s="406" customFormat="1">
      <c r="A2287" s="350"/>
      <c r="B2287" s="351"/>
      <c r="C2287" s="391"/>
      <c r="D2287" s="392"/>
      <c r="E2287" s="355"/>
      <c r="F2287" s="392"/>
      <c r="G2287" s="392"/>
      <c r="H2287" s="392"/>
      <c r="I2287" s="393"/>
      <c r="J2287" s="353"/>
    </row>
    <row r="2288" spans="1:10" s="406" customFormat="1">
      <c r="A2288" s="345" t="s">
        <v>1479</v>
      </c>
      <c r="B2288" s="346"/>
      <c r="C2288" s="412">
        <f>C2289+C2290</f>
        <v>21</v>
      </c>
      <c r="D2288" s="412">
        <f t="shared" si="407"/>
        <v>4.62</v>
      </c>
      <c r="E2288" s="412">
        <v>0.21</v>
      </c>
      <c r="F2288" s="412">
        <f t="shared" si="410"/>
        <v>18.900000000000002</v>
      </c>
      <c r="G2288" s="412">
        <f>C2288+D2288+E2288+F2288</f>
        <v>44.730000000000004</v>
      </c>
      <c r="H2288" s="412">
        <f t="shared" si="411"/>
        <v>15.6555</v>
      </c>
      <c r="I2288" s="413">
        <f>G2288+H2288</f>
        <v>60.385500000000008</v>
      </c>
      <c r="J2288" s="349">
        <f>I2288+I2291+I2292</f>
        <v>91.295100000000005</v>
      </c>
    </row>
    <row r="2289" spans="1:12" s="406" customFormat="1">
      <c r="A2289" s="350" t="s">
        <v>258</v>
      </c>
      <c r="B2289" s="350">
        <v>20</v>
      </c>
      <c r="C2289" s="391">
        <v>11.6</v>
      </c>
      <c r="D2289" s="392">
        <f t="shared" si="407"/>
        <v>2.552</v>
      </c>
      <c r="E2289" s="392"/>
      <c r="F2289" s="392"/>
      <c r="G2289" s="392"/>
      <c r="H2289" s="392"/>
      <c r="I2289" s="393"/>
      <c r="J2289" s="353"/>
    </row>
    <row r="2290" spans="1:12" s="406" customFormat="1">
      <c r="A2290" s="350" t="s">
        <v>337</v>
      </c>
      <c r="B2290" s="350">
        <v>20</v>
      </c>
      <c r="C2290" s="391">
        <v>9.4</v>
      </c>
      <c r="D2290" s="392">
        <f t="shared" si="407"/>
        <v>2.0680000000000001</v>
      </c>
      <c r="E2290" s="392"/>
      <c r="F2290" s="392"/>
      <c r="G2290" s="392"/>
      <c r="H2290" s="392"/>
      <c r="I2290" s="393"/>
      <c r="J2290" s="353"/>
    </row>
    <row r="2291" spans="1:12" s="406" customFormat="1">
      <c r="A2291" s="350" t="s">
        <v>385</v>
      </c>
      <c r="B2291" s="351">
        <v>10</v>
      </c>
      <c r="C2291" s="391">
        <v>10.8</v>
      </c>
      <c r="D2291" s="392">
        <f t="shared" si="407"/>
        <v>2.3760000000000003</v>
      </c>
      <c r="E2291" s="355"/>
      <c r="F2291" s="392">
        <f t="shared" ref="F2291:F2293" si="412">C2291*0.9</f>
        <v>9.7200000000000006</v>
      </c>
      <c r="G2291" s="392">
        <f>C2291+D2291+E2291+F2291</f>
        <v>22.896000000000001</v>
      </c>
      <c r="H2291" s="392">
        <f t="shared" ref="H2291:H2293" si="413">G2291*0.35</f>
        <v>8.0136000000000003</v>
      </c>
      <c r="I2291" s="393">
        <f>G2291+H2291</f>
        <v>30.909600000000001</v>
      </c>
      <c r="J2291" s="353"/>
    </row>
    <row r="2292" spans="1:12" s="406" customFormat="1">
      <c r="A2292" s="350"/>
      <c r="B2292" s="351"/>
      <c r="C2292" s="391"/>
      <c r="D2292" s="392"/>
      <c r="E2292" s="355"/>
      <c r="F2292" s="392"/>
      <c r="G2292" s="392"/>
      <c r="H2292" s="392"/>
      <c r="I2292" s="393"/>
      <c r="J2292" s="353"/>
    </row>
    <row r="2293" spans="1:12" s="406" customFormat="1" ht="21">
      <c r="A2293" s="345" t="s">
        <v>1587</v>
      </c>
      <c r="B2293" s="346"/>
      <c r="C2293" s="412">
        <f>C2294+C2295</f>
        <v>15.75</v>
      </c>
      <c r="D2293" s="412">
        <f t="shared" si="407"/>
        <v>3.4649999999999999</v>
      </c>
      <c r="E2293" s="412">
        <v>0.21</v>
      </c>
      <c r="F2293" s="412">
        <f t="shared" si="412"/>
        <v>14.175000000000001</v>
      </c>
      <c r="G2293" s="412">
        <f>C2293+D2293+E2293+F2293</f>
        <v>33.6</v>
      </c>
      <c r="H2293" s="412">
        <f t="shared" si="413"/>
        <v>11.76</v>
      </c>
      <c r="I2293" s="413">
        <f>G2293+H2293</f>
        <v>45.36</v>
      </c>
      <c r="J2293" s="349">
        <f>I2293+I2296+I2297</f>
        <v>56.178359999999998</v>
      </c>
    </row>
    <row r="2294" spans="1:12" s="406" customFormat="1">
      <c r="A2294" s="350" t="s">
        <v>258</v>
      </c>
      <c r="B2294" s="350">
        <v>15</v>
      </c>
      <c r="C2294" s="391">
        <v>8.6999999999999993</v>
      </c>
      <c r="D2294" s="392">
        <f t="shared" si="407"/>
        <v>1.9139999999999999</v>
      </c>
      <c r="E2294" s="392"/>
      <c r="F2294" s="392"/>
      <c r="G2294" s="392"/>
      <c r="H2294" s="392"/>
      <c r="I2294" s="393"/>
      <c r="J2294" s="353"/>
    </row>
    <row r="2295" spans="1:12" s="406" customFormat="1">
      <c r="A2295" s="350" t="s">
        <v>337</v>
      </c>
      <c r="B2295" s="350">
        <v>15</v>
      </c>
      <c r="C2295" s="391">
        <v>7.05</v>
      </c>
      <c r="D2295" s="392">
        <f t="shared" si="407"/>
        <v>1.5509999999999999</v>
      </c>
      <c r="E2295" s="392"/>
      <c r="F2295" s="392"/>
      <c r="G2295" s="392"/>
      <c r="H2295" s="392"/>
      <c r="I2295" s="393"/>
      <c r="J2295" s="353"/>
    </row>
    <row r="2296" spans="1:12" s="406" customFormat="1">
      <c r="A2296" s="350" t="s">
        <v>385</v>
      </c>
      <c r="B2296" s="351">
        <v>7</v>
      </c>
      <c r="C2296" s="391">
        <v>3.78</v>
      </c>
      <c r="D2296" s="392">
        <f t="shared" si="407"/>
        <v>0.83160000000000001</v>
      </c>
      <c r="E2296" s="355"/>
      <c r="F2296" s="392">
        <f t="shared" ref="F2296" si="414">C2296*0.9</f>
        <v>3.4019999999999997</v>
      </c>
      <c r="G2296" s="392">
        <f>C2296+D2296+E2296+F2296</f>
        <v>8.0136000000000003</v>
      </c>
      <c r="H2296" s="392">
        <f t="shared" ref="H2296" si="415">G2296*0.35</f>
        <v>2.8047599999999999</v>
      </c>
      <c r="I2296" s="393">
        <f>G2296+H2296</f>
        <v>10.81836</v>
      </c>
      <c r="J2296" s="353"/>
    </row>
    <row r="2297" spans="1:12" s="406" customFormat="1">
      <c r="A2297" s="350"/>
      <c r="B2297" s="351"/>
      <c r="C2297" s="391"/>
      <c r="D2297" s="392"/>
      <c r="E2297" s="355"/>
      <c r="F2297" s="392"/>
      <c r="G2297" s="392"/>
      <c r="H2297" s="392"/>
      <c r="I2297" s="393"/>
      <c r="J2297" s="353"/>
    </row>
    <row r="2298" spans="1:12" s="406" customFormat="1">
      <c r="A2298" s="345" t="s">
        <v>1588</v>
      </c>
      <c r="B2298" s="346"/>
      <c r="C2298" s="412">
        <f>C2299+C2300</f>
        <v>10.5</v>
      </c>
      <c r="D2298" s="412">
        <f t="shared" ref="D2298:D2301" si="416">C2298*0.22</f>
        <v>2.31</v>
      </c>
      <c r="E2298" s="412">
        <v>0.21</v>
      </c>
      <c r="F2298" s="412">
        <f t="shared" ref="F2298" si="417">C2298*0.9</f>
        <v>9.4500000000000011</v>
      </c>
      <c r="G2298" s="412">
        <f>C2298+D2298+E2298+F2298</f>
        <v>22.470000000000002</v>
      </c>
      <c r="H2298" s="412">
        <f t="shared" ref="H2298" si="418">G2298*0.35</f>
        <v>7.8645000000000005</v>
      </c>
      <c r="I2298" s="413">
        <f>G2298+H2298</f>
        <v>30.334500000000002</v>
      </c>
      <c r="J2298" s="349">
        <f>I2298+I2301+I2302</f>
        <v>38.061900000000001</v>
      </c>
    </row>
    <row r="2299" spans="1:12" s="406" customFormat="1">
      <c r="A2299" s="350" t="s">
        <v>258</v>
      </c>
      <c r="B2299" s="350">
        <v>10</v>
      </c>
      <c r="C2299" s="391">
        <v>5.8</v>
      </c>
      <c r="D2299" s="392">
        <f t="shared" si="416"/>
        <v>1.276</v>
      </c>
      <c r="E2299" s="392"/>
      <c r="F2299" s="392"/>
      <c r="G2299" s="392"/>
      <c r="H2299" s="392"/>
      <c r="I2299" s="393"/>
      <c r="J2299" s="353"/>
    </row>
    <row r="2300" spans="1:12">
      <c r="A2300" s="350" t="s">
        <v>337</v>
      </c>
      <c r="B2300" s="350">
        <v>10</v>
      </c>
      <c r="C2300" s="391">
        <v>4.7</v>
      </c>
      <c r="D2300" s="392">
        <f t="shared" si="416"/>
        <v>1.034</v>
      </c>
      <c r="E2300" s="392"/>
      <c r="F2300" s="392"/>
      <c r="G2300" s="392"/>
      <c r="H2300" s="392"/>
      <c r="I2300" s="393"/>
      <c r="J2300" s="353"/>
      <c r="K2300" s="371"/>
      <c r="L2300" s="371"/>
    </row>
    <row r="2301" spans="1:12">
      <c r="A2301" s="350" t="s">
        <v>385</v>
      </c>
      <c r="B2301" s="351">
        <v>5</v>
      </c>
      <c r="C2301" s="391">
        <v>2.7</v>
      </c>
      <c r="D2301" s="392">
        <f t="shared" si="416"/>
        <v>0.59400000000000008</v>
      </c>
      <c r="E2301" s="355"/>
      <c r="F2301" s="392">
        <f t="shared" ref="F2301" si="419">C2301*0.9</f>
        <v>2.4300000000000002</v>
      </c>
      <c r="G2301" s="392">
        <f>C2301+D2301+E2301+F2301</f>
        <v>5.7240000000000002</v>
      </c>
      <c r="H2301" s="392">
        <f t="shared" ref="H2301" si="420">G2301*0.35</f>
        <v>2.0034000000000001</v>
      </c>
      <c r="I2301" s="393">
        <f>G2301+H2301</f>
        <v>7.7274000000000003</v>
      </c>
      <c r="J2301" s="353"/>
      <c r="K2301" s="371"/>
      <c r="L2301" s="371"/>
    </row>
    <row r="2302" spans="1:12">
      <c r="A2302" s="350"/>
      <c r="B2302" s="351"/>
      <c r="C2302" s="391"/>
      <c r="D2302" s="392"/>
      <c r="E2302" s="355"/>
      <c r="F2302" s="392"/>
      <c r="G2302" s="392"/>
      <c r="H2302" s="392"/>
      <c r="I2302" s="393"/>
      <c r="J2302" s="353"/>
      <c r="K2302" s="371"/>
      <c r="L2302" s="371"/>
    </row>
    <row r="2303" spans="1:12">
      <c r="A2303" s="345" t="s">
        <v>1483</v>
      </c>
      <c r="B2303" s="346"/>
      <c r="C2303" s="412">
        <f>C2304+C2305</f>
        <v>21</v>
      </c>
      <c r="D2303" s="412">
        <f t="shared" si="407"/>
        <v>4.62</v>
      </c>
      <c r="E2303" s="412">
        <v>0.21</v>
      </c>
      <c r="F2303" s="412">
        <f t="shared" ref="F2303" si="421">C2303*0.9</f>
        <v>18.900000000000002</v>
      </c>
      <c r="G2303" s="412">
        <f>C2303+D2303+E2303+F2303</f>
        <v>44.730000000000004</v>
      </c>
      <c r="H2303" s="412">
        <f t="shared" ref="H2303" si="422">G2303*0.35</f>
        <v>15.6555</v>
      </c>
      <c r="I2303" s="413">
        <f>G2303+H2303</f>
        <v>60.385500000000008</v>
      </c>
      <c r="J2303" s="349">
        <f>I2303+I2306+I2307</f>
        <v>75.840300000000013</v>
      </c>
      <c r="K2303" s="371"/>
      <c r="L2303" s="371"/>
    </row>
    <row r="2304" spans="1:12">
      <c r="A2304" s="350" t="s">
        <v>258</v>
      </c>
      <c r="B2304" s="350">
        <v>20</v>
      </c>
      <c r="C2304" s="391">
        <v>11.6</v>
      </c>
      <c r="D2304" s="392">
        <f t="shared" si="407"/>
        <v>2.552</v>
      </c>
      <c r="E2304" s="392"/>
      <c r="F2304" s="392"/>
      <c r="G2304" s="392"/>
      <c r="H2304" s="392"/>
      <c r="I2304" s="393"/>
      <c r="J2304" s="353"/>
      <c r="K2304" s="371"/>
      <c r="L2304" s="371"/>
    </row>
    <row r="2305" spans="1:12">
      <c r="A2305" s="350" t="s">
        <v>337</v>
      </c>
      <c r="B2305" s="350">
        <v>20</v>
      </c>
      <c r="C2305" s="391">
        <v>9.4</v>
      </c>
      <c r="D2305" s="392">
        <f t="shared" si="407"/>
        <v>2.0680000000000001</v>
      </c>
      <c r="E2305" s="392"/>
      <c r="F2305" s="392"/>
      <c r="G2305" s="392"/>
      <c r="H2305" s="392"/>
      <c r="I2305" s="393"/>
      <c r="J2305" s="353"/>
      <c r="K2305" s="371"/>
      <c r="L2305" s="371"/>
    </row>
    <row r="2306" spans="1:12">
      <c r="A2306" s="350" t="s">
        <v>385</v>
      </c>
      <c r="B2306" s="351">
        <v>10</v>
      </c>
      <c r="C2306" s="391">
        <v>5.4</v>
      </c>
      <c r="D2306" s="392">
        <f t="shared" si="407"/>
        <v>1.1880000000000002</v>
      </c>
      <c r="E2306" s="355"/>
      <c r="F2306" s="392">
        <f t="shared" ref="F2306" si="423">C2306*0.9</f>
        <v>4.8600000000000003</v>
      </c>
      <c r="G2306" s="392">
        <f>C2306+D2306+E2306+F2306</f>
        <v>11.448</v>
      </c>
      <c r="H2306" s="392">
        <f t="shared" ref="H2306" si="424">G2306*0.35</f>
        <v>4.0068000000000001</v>
      </c>
      <c r="I2306" s="393">
        <f>G2306+H2306</f>
        <v>15.454800000000001</v>
      </c>
      <c r="J2306" s="353"/>
      <c r="K2306" s="371"/>
      <c r="L2306" s="371"/>
    </row>
    <row r="2307" spans="1:12">
      <c r="A2307" s="350"/>
      <c r="B2307" s="351"/>
      <c r="C2307" s="391"/>
      <c r="D2307" s="392"/>
      <c r="E2307" s="355"/>
      <c r="F2307" s="392"/>
      <c r="G2307" s="392"/>
      <c r="H2307" s="392"/>
      <c r="I2307" s="393"/>
      <c r="J2307" s="353"/>
      <c r="K2307" s="371"/>
      <c r="L2307" s="371"/>
    </row>
    <row r="2308" spans="1:12">
      <c r="A2308" s="445" t="s">
        <v>1490</v>
      </c>
      <c r="B2308" s="384"/>
      <c r="C2308" s="412">
        <f>C2309+C2310</f>
        <v>22.63</v>
      </c>
      <c r="D2308" s="412">
        <f t="shared" ref="D2308" si="425">C2308*0.22</f>
        <v>4.9786000000000001</v>
      </c>
      <c r="E2308" s="384">
        <v>0.21</v>
      </c>
      <c r="F2308" s="412">
        <f t="shared" ref="F2308" si="426">C2308*0.9</f>
        <v>20.367000000000001</v>
      </c>
      <c r="G2308" s="412">
        <f t="shared" ref="G2308" si="427">C2308+D2308+E2308+F2308</f>
        <v>48.185600000000001</v>
      </c>
      <c r="H2308" s="412">
        <f t="shared" ref="H2308" si="428">G2308*0.35</f>
        <v>16.86496</v>
      </c>
      <c r="I2308" s="413">
        <f t="shared" ref="I2308" si="429">+G2308+H2308</f>
        <v>65.050560000000004</v>
      </c>
      <c r="J2308" s="349">
        <f>I2308+I2312+I2311</f>
        <v>75.868920000000003</v>
      </c>
      <c r="K2308" s="371"/>
      <c r="L2308" s="371"/>
    </row>
    <row r="2309" spans="1:12">
      <c r="A2309" s="423" t="s">
        <v>258</v>
      </c>
      <c r="B2309" s="423">
        <v>15</v>
      </c>
      <c r="C2309" s="423">
        <v>15.58</v>
      </c>
      <c r="D2309" s="424"/>
      <c r="E2309" s="423"/>
      <c r="F2309" s="424"/>
      <c r="G2309" s="424"/>
      <c r="H2309" s="424"/>
      <c r="I2309" s="425"/>
      <c r="J2309" s="379"/>
      <c r="K2309" s="371"/>
      <c r="L2309" s="371"/>
    </row>
    <row r="2310" spans="1:12">
      <c r="A2310" s="350" t="s">
        <v>337</v>
      </c>
      <c r="B2310" s="386">
        <v>15</v>
      </c>
      <c r="C2310" s="386">
        <v>7.05</v>
      </c>
      <c r="D2310" s="392"/>
      <c r="E2310" s="386"/>
      <c r="F2310" s="392"/>
      <c r="G2310" s="392"/>
      <c r="H2310" s="392"/>
      <c r="I2310" s="446"/>
      <c r="J2310" s="355"/>
      <c r="K2310" s="371"/>
      <c r="L2310" s="371"/>
    </row>
    <row r="2311" spans="1:12">
      <c r="A2311" s="350" t="s">
        <v>385</v>
      </c>
      <c r="B2311" s="351">
        <v>7</v>
      </c>
      <c r="C2311" s="391">
        <v>3.78</v>
      </c>
      <c r="D2311" s="392">
        <f>C2311*0.22</f>
        <v>0.83160000000000001</v>
      </c>
      <c r="E2311" s="355"/>
      <c r="F2311" s="392">
        <f t="shared" ref="F2311:F2313" si="430">C2311*0.9</f>
        <v>3.4019999999999997</v>
      </c>
      <c r="G2311" s="392">
        <f>C2311+D2311+E2311+F2311</f>
        <v>8.0136000000000003</v>
      </c>
      <c r="H2311" s="392">
        <f t="shared" ref="H2311:H2313" si="431">G2311*0.35</f>
        <v>2.8047599999999999</v>
      </c>
      <c r="I2311" s="393">
        <f>G2311+H2311</f>
        <v>10.81836</v>
      </c>
      <c r="J2311" s="355"/>
      <c r="K2311" s="371"/>
      <c r="L2311" s="371"/>
    </row>
    <row r="2312" spans="1:12">
      <c r="A2312" s="350"/>
      <c r="B2312" s="351"/>
      <c r="C2312" s="391"/>
      <c r="D2312" s="392"/>
      <c r="E2312" s="355"/>
      <c r="F2312" s="392"/>
      <c r="G2312" s="392"/>
      <c r="H2312" s="392"/>
      <c r="I2312" s="393"/>
      <c r="J2312" s="355"/>
      <c r="K2312" s="371"/>
      <c r="L2312" s="371"/>
    </row>
    <row r="2313" spans="1:12">
      <c r="A2313" s="445" t="s">
        <v>1491</v>
      </c>
      <c r="B2313" s="384"/>
      <c r="C2313" s="412">
        <f>C2314+C2315</f>
        <v>15.75</v>
      </c>
      <c r="D2313" s="412">
        <f t="shared" ref="D2313" si="432">C2313*0.22</f>
        <v>3.4649999999999999</v>
      </c>
      <c r="E2313" s="384">
        <v>0.21</v>
      </c>
      <c r="F2313" s="412">
        <f t="shared" si="430"/>
        <v>14.175000000000001</v>
      </c>
      <c r="G2313" s="412">
        <f t="shared" ref="G2313" si="433">C2313+D2313+E2313+F2313</f>
        <v>33.6</v>
      </c>
      <c r="H2313" s="412">
        <f t="shared" si="431"/>
        <v>11.76</v>
      </c>
      <c r="I2313" s="413">
        <f t="shared" ref="I2313" si="434">+G2313+H2313</f>
        <v>45.36</v>
      </c>
      <c r="J2313" s="349">
        <f>I2313+I2317+I2316</f>
        <v>56.178359999999998</v>
      </c>
      <c r="K2313" s="371"/>
      <c r="L2313" s="371"/>
    </row>
    <row r="2314" spans="1:12">
      <c r="A2314" s="423" t="s">
        <v>258</v>
      </c>
      <c r="B2314" s="423">
        <v>15</v>
      </c>
      <c r="C2314" s="423">
        <v>8.6999999999999993</v>
      </c>
      <c r="D2314" s="424"/>
      <c r="E2314" s="423"/>
      <c r="F2314" s="424"/>
      <c r="G2314" s="424"/>
      <c r="H2314" s="424"/>
      <c r="I2314" s="425"/>
      <c r="J2314" s="380"/>
      <c r="K2314" s="371"/>
      <c r="L2314" s="371"/>
    </row>
    <row r="2315" spans="1:12" s="429" customFormat="1">
      <c r="A2315" s="350" t="s">
        <v>337</v>
      </c>
      <c r="B2315" s="386">
        <v>15</v>
      </c>
      <c r="C2315" s="386">
        <v>7.05</v>
      </c>
      <c r="D2315" s="392"/>
      <c r="E2315" s="386"/>
      <c r="F2315" s="392"/>
      <c r="G2315" s="392"/>
      <c r="H2315" s="392"/>
      <c r="I2315" s="446"/>
      <c r="J2315" s="353"/>
      <c r="K2315" s="428"/>
      <c r="L2315" s="428"/>
    </row>
    <row r="2316" spans="1:12" s="429" customFormat="1">
      <c r="A2316" s="350" t="s">
        <v>385</v>
      </c>
      <c r="B2316" s="351">
        <v>7</v>
      </c>
      <c r="C2316" s="391">
        <v>3.78</v>
      </c>
      <c r="D2316" s="392">
        <f>C2316*0.22</f>
        <v>0.83160000000000001</v>
      </c>
      <c r="E2316" s="355"/>
      <c r="F2316" s="392">
        <f t="shared" ref="F2316:F2318" si="435">C2316*0.9</f>
        <v>3.4019999999999997</v>
      </c>
      <c r="G2316" s="392">
        <f>C2316+D2316+E2316+F2316</f>
        <v>8.0136000000000003</v>
      </c>
      <c r="H2316" s="392">
        <f t="shared" ref="H2316:H2318" si="436">G2316*0.35</f>
        <v>2.8047599999999999</v>
      </c>
      <c r="I2316" s="393">
        <f>G2316+H2316</f>
        <v>10.81836</v>
      </c>
      <c r="J2316" s="353"/>
      <c r="K2316" s="428"/>
      <c r="L2316" s="428"/>
    </row>
    <row r="2317" spans="1:12" s="429" customFormat="1">
      <c r="A2317" s="350"/>
      <c r="B2317" s="351"/>
      <c r="C2317" s="391"/>
      <c r="D2317" s="392"/>
      <c r="E2317" s="355"/>
      <c r="F2317" s="392"/>
      <c r="G2317" s="392"/>
      <c r="H2317" s="392"/>
      <c r="I2317" s="393"/>
      <c r="J2317" s="353"/>
      <c r="K2317" s="428"/>
      <c r="L2317" s="428"/>
    </row>
    <row r="2318" spans="1:12" s="429" customFormat="1">
      <c r="A2318" s="445" t="s">
        <v>1589</v>
      </c>
      <c r="B2318" s="384"/>
      <c r="C2318" s="412">
        <f>C2319+C2320</f>
        <v>31.5</v>
      </c>
      <c r="D2318" s="412">
        <f t="shared" ref="D2318" si="437">C2318*0.22</f>
        <v>6.93</v>
      </c>
      <c r="E2318" s="384">
        <v>0.21</v>
      </c>
      <c r="F2318" s="412">
        <f t="shared" si="435"/>
        <v>28.35</v>
      </c>
      <c r="G2318" s="412">
        <f t="shared" ref="G2318" si="438">C2318+D2318+E2318+F2318</f>
        <v>66.990000000000009</v>
      </c>
      <c r="H2318" s="412">
        <f t="shared" si="436"/>
        <v>23.4465</v>
      </c>
      <c r="I2318" s="413">
        <f t="shared" ref="I2318" si="439">+G2318+H2318</f>
        <v>90.436500000000009</v>
      </c>
      <c r="J2318" s="349">
        <f>I2318+I2322+I2321</f>
        <v>113.61870000000002</v>
      </c>
      <c r="K2318" s="428"/>
      <c r="L2318" s="428"/>
    </row>
    <row r="2319" spans="1:12" s="429" customFormat="1">
      <c r="A2319" s="423" t="s">
        <v>258</v>
      </c>
      <c r="B2319" s="423">
        <v>30</v>
      </c>
      <c r="C2319" s="423">
        <v>17.399999999999999</v>
      </c>
      <c r="D2319" s="424"/>
      <c r="E2319" s="423"/>
      <c r="F2319" s="424"/>
      <c r="G2319" s="424"/>
      <c r="H2319" s="424"/>
      <c r="I2319" s="425"/>
      <c r="J2319" s="380"/>
      <c r="K2319" s="428"/>
      <c r="L2319" s="428"/>
    </row>
    <row r="2320" spans="1:12" s="429" customFormat="1">
      <c r="A2320" s="350" t="s">
        <v>337</v>
      </c>
      <c r="B2320" s="386">
        <v>30</v>
      </c>
      <c r="C2320" s="386">
        <v>14.1</v>
      </c>
      <c r="D2320" s="392"/>
      <c r="E2320" s="386"/>
      <c r="F2320" s="392"/>
      <c r="G2320" s="392"/>
      <c r="H2320" s="392"/>
      <c r="I2320" s="446"/>
      <c r="J2320" s="353"/>
      <c r="K2320" s="428"/>
      <c r="L2320" s="428"/>
    </row>
    <row r="2321" spans="1:12" s="429" customFormat="1">
      <c r="A2321" s="350" t="s">
        <v>385</v>
      </c>
      <c r="B2321" s="351">
        <v>15</v>
      </c>
      <c r="C2321" s="391">
        <v>8.1</v>
      </c>
      <c r="D2321" s="392">
        <f>C2321*0.22</f>
        <v>1.782</v>
      </c>
      <c r="E2321" s="355"/>
      <c r="F2321" s="392">
        <f t="shared" ref="F2321:F2323" si="440">C2321*0.9</f>
        <v>7.29</v>
      </c>
      <c r="G2321" s="392">
        <f>C2321+D2321+E2321+F2321</f>
        <v>17.172000000000001</v>
      </c>
      <c r="H2321" s="392">
        <f t="shared" ref="H2321:H2323" si="441">G2321*0.35</f>
        <v>6.0102000000000002</v>
      </c>
      <c r="I2321" s="393">
        <f>G2321+H2321</f>
        <v>23.182200000000002</v>
      </c>
      <c r="J2321" s="353"/>
      <c r="K2321" s="428"/>
      <c r="L2321" s="428"/>
    </row>
    <row r="2322" spans="1:12" s="429" customFormat="1">
      <c r="A2322" s="350"/>
      <c r="B2322" s="351"/>
      <c r="C2322" s="391"/>
      <c r="D2322" s="392"/>
      <c r="E2322" s="355"/>
      <c r="F2322" s="392"/>
      <c r="G2322" s="392"/>
      <c r="H2322" s="392"/>
      <c r="I2322" s="393"/>
      <c r="J2322" s="353"/>
      <c r="K2322" s="428"/>
      <c r="L2322" s="428"/>
    </row>
    <row r="2323" spans="1:12" s="429" customFormat="1">
      <c r="A2323" s="445" t="s">
        <v>1486</v>
      </c>
      <c r="B2323" s="384"/>
      <c r="C2323" s="412">
        <f>C2324+C2325</f>
        <v>15.75</v>
      </c>
      <c r="D2323" s="412">
        <f t="shared" ref="D2323" si="442">C2323*0.22</f>
        <v>3.4649999999999999</v>
      </c>
      <c r="E2323" s="384">
        <v>0.21</v>
      </c>
      <c r="F2323" s="412">
        <f t="shared" si="440"/>
        <v>14.175000000000001</v>
      </c>
      <c r="G2323" s="412">
        <f t="shared" ref="G2323" si="443">C2323+D2323+E2323+F2323</f>
        <v>33.6</v>
      </c>
      <c r="H2323" s="412">
        <f t="shared" si="441"/>
        <v>11.76</v>
      </c>
      <c r="I2323" s="413">
        <f t="shared" ref="I2323" si="444">+G2323+H2323</f>
        <v>45.36</v>
      </c>
      <c r="J2323" s="349">
        <f>I2323+I2327+I2326</f>
        <v>56.178359999999998</v>
      </c>
      <c r="K2323" s="428"/>
      <c r="L2323" s="428"/>
    </row>
    <row r="2324" spans="1:12" s="429" customFormat="1">
      <c r="A2324" s="386" t="s">
        <v>258</v>
      </c>
      <c r="B2324" s="386">
        <v>15</v>
      </c>
      <c r="C2324" s="386">
        <v>8.6999999999999993</v>
      </c>
      <c r="D2324" s="392"/>
      <c r="E2324" s="386"/>
      <c r="F2324" s="392"/>
      <c r="G2324" s="392"/>
      <c r="H2324" s="392"/>
      <c r="I2324" s="446"/>
      <c r="J2324" s="380"/>
      <c r="K2324" s="428"/>
      <c r="L2324" s="428"/>
    </row>
    <row r="2325" spans="1:12" s="429" customFormat="1">
      <c r="A2325" s="350" t="s">
        <v>337</v>
      </c>
      <c r="B2325" s="386">
        <v>15</v>
      </c>
      <c r="C2325" s="386">
        <v>7.05</v>
      </c>
      <c r="D2325" s="392"/>
      <c r="E2325" s="386"/>
      <c r="F2325" s="392"/>
      <c r="G2325" s="392"/>
      <c r="H2325" s="392"/>
      <c r="I2325" s="446"/>
      <c r="J2325" s="353"/>
      <c r="K2325" s="428"/>
      <c r="L2325" s="428"/>
    </row>
    <row r="2326" spans="1:12" s="429" customFormat="1">
      <c r="A2326" s="350" t="s">
        <v>385</v>
      </c>
      <c r="B2326" s="351">
        <v>7</v>
      </c>
      <c r="C2326" s="391">
        <v>3.78</v>
      </c>
      <c r="D2326" s="392">
        <f>C2326*0.22</f>
        <v>0.83160000000000001</v>
      </c>
      <c r="E2326" s="355"/>
      <c r="F2326" s="392">
        <f t="shared" ref="F2326:F2333" si="445">C2326*0.9</f>
        <v>3.4019999999999997</v>
      </c>
      <c r="G2326" s="392">
        <f>C2326+D2326+E2326+F2326</f>
        <v>8.0136000000000003</v>
      </c>
      <c r="H2326" s="392">
        <f t="shared" ref="H2326:H2333" si="446">G2326*0.35</f>
        <v>2.8047599999999999</v>
      </c>
      <c r="I2326" s="393">
        <f>G2326+H2326</f>
        <v>10.81836</v>
      </c>
      <c r="J2326" s="353"/>
      <c r="K2326" s="428"/>
      <c r="L2326" s="428"/>
    </row>
    <row r="2327" spans="1:12" s="429" customFormat="1">
      <c r="A2327" s="350"/>
      <c r="B2327" s="351"/>
      <c r="C2327" s="391"/>
      <c r="D2327" s="392"/>
      <c r="E2327" s="355"/>
      <c r="F2327" s="392"/>
      <c r="G2327" s="392"/>
      <c r="H2327" s="392"/>
      <c r="I2327" s="393"/>
      <c r="J2327" s="353"/>
      <c r="K2327" s="428"/>
      <c r="L2327" s="428"/>
    </row>
    <row r="2328" spans="1:12" s="429" customFormat="1">
      <c r="A2328" s="445" t="s">
        <v>1590</v>
      </c>
      <c r="B2328" s="384"/>
      <c r="C2328" s="412">
        <f>C2329+C2330</f>
        <v>15.75</v>
      </c>
      <c r="D2328" s="412">
        <f t="shared" ref="D2328" si="447">C2328*0.22</f>
        <v>3.4649999999999999</v>
      </c>
      <c r="E2328" s="384">
        <v>0.21</v>
      </c>
      <c r="F2328" s="412">
        <f t="shared" si="445"/>
        <v>14.175000000000001</v>
      </c>
      <c r="G2328" s="412">
        <f t="shared" ref="G2328" si="448">C2328+D2328+E2328+F2328</f>
        <v>33.6</v>
      </c>
      <c r="H2328" s="412">
        <f t="shared" si="446"/>
        <v>11.76</v>
      </c>
      <c r="I2328" s="413">
        <f t="shared" ref="I2328" si="449">+G2328+H2328</f>
        <v>45.36</v>
      </c>
      <c r="J2328" s="349">
        <f>I2328+I2332+I2331</f>
        <v>56.178359999999998</v>
      </c>
      <c r="K2328" s="428"/>
      <c r="L2328" s="428"/>
    </row>
    <row r="2329" spans="1:12" s="429" customFormat="1">
      <c r="A2329" s="386" t="s">
        <v>258</v>
      </c>
      <c r="B2329" s="386">
        <v>15</v>
      </c>
      <c r="C2329" s="386">
        <v>8.6999999999999993</v>
      </c>
      <c r="D2329" s="392"/>
      <c r="E2329" s="386"/>
      <c r="F2329" s="392"/>
      <c r="G2329" s="392"/>
      <c r="H2329" s="392"/>
      <c r="I2329" s="446"/>
      <c r="J2329" s="380"/>
      <c r="K2329" s="428"/>
      <c r="L2329" s="428"/>
    </row>
    <row r="2330" spans="1:12" s="429" customFormat="1">
      <c r="A2330" s="350" t="s">
        <v>337</v>
      </c>
      <c r="B2330" s="386">
        <v>15</v>
      </c>
      <c r="C2330" s="386">
        <v>7.05</v>
      </c>
      <c r="D2330" s="392"/>
      <c r="E2330" s="386"/>
      <c r="F2330" s="392"/>
      <c r="G2330" s="392"/>
      <c r="H2330" s="392"/>
      <c r="I2330" s="446"/>
      <c r="J2330" s="353"/>
      <c r="K2330" s="428"/>
      <c r="L2330" s="428"/>
    </row>
    <row r="2331" spans="1:12" s="429" customFormat="1">
      <c r="A2331" s="350" t="s">
        <v>385</v>
      </c>
      <c r="B2331" s="351">
        <v>7</v>
      </c>
      <c r="C2331" s="391">
        <v>3.78</v>
      </c>
      <c r="D2331" s="392">
        <f>C2331*0.22</f>
        <v>0.83160000000000001</v>
      </c>
      <c r="E2331" s="355"/>
      <c r="F2331" s="392">
        <f t="shared" ref="F2331" si="450">C2331*0.9</f>
        <v>3.4019999999999997</v>
      </c>
      <c r="G2331" s="392">
        <f>C2331+D2331+E2331+F2331</f>
        <v>8.0136000000000003</v>
      </c>
      <c r="H2331" s="392">
        <f t="shared" ref="H2331" si="451">G2331*0.35</f>
        <v>2.8047599999999999</v>
      </c>
      <c r="I2331" s="393">
        <f>G2331+H2331</f>
        <v>10.81836</v>
      </c>
      <c r="J2331" s="353"/>
      <c r="K2331" s="428"/>
      <c r="L2331" s="428"/>
    </row>
    <row r="2332" spans="1:12" s="429" customFormat="1">
      <c r="A2332" s="350"/>
      <c r="B2332" s="351"/>
      <c r="C2332" s="391"/>
      <c r="D2332" s="392"/>
      <c r="E2332" s="355"/>
      <c r="F2332" s="392"/>
      <c r="G2332" s="392"/>
      <c r="H2332" s="392"/>
      <c r="I2332" s="393"/>
      <c r="J2332" s="353"/>
      <c r="K2332" s="428"/>
      <c r="L2332" s="428"/>
    </row>
    <row r="2333" spans="1:12" s="429" customFormat="1">
      <c r="A2333" s="445" t="s">
        <v>1493</v>
      </c>
      <c r="B2333" s="384"/>
      <c r="C2333" s="412">
        <f>C2334+C2335</f>
        <v>21</v>
      </c>
      <c r="D2333" s="412">
        <f t="shared" ref="D2333" si="452">C2333*0.22</f>
        <v>4.62</v>
      </c>
      <c r="E2333" s="384">
        <v>0.21</v>
      </c>
      <c r="F2333" s="412">
        <f t="shared" si="445"/>
        <v>18.900000000000002</v>
      </c>
      <c r="G2333" s="412">
        <f t="shared" ref="G2333" si="453">C2333+D2333+E2333+F2333</f>
        <v>44.730000000000004</v>
      </c>
      <c r="H2333" s="412">
        <f t="shared" si="446"/>
        <v>15.6555</v>
      </c>
      <c r="I2333" s="413">
        <f t="shared" ref="I2333" si="454">+G2333+H2333</f>
        <v>60.385500000000008</v>
      </c>
      <c r="J2333" s="349">
        <f>I2333+I2337+I2336</f>
        <v>75.840300000000013</v>
      </c>
      <c r="K2333" s="428"/>
      <c r="L2333" s="428"/>
    </row>
    <row r="2334" spans="1:12" s="429" customFormat="1">
      <c r="A2334" s="386" t="s">
        <v>258</v>
      </c>
      <c r="B2334" s="386">
        <v>20</v>
      </c>
      <c r="C2334" s="386">
        <v>11.6</v>
      </c>
      <c r="D2334" s="392"/>
      <c r="E2334" s="386"/>
      <c r="F2334" s="392"/>
      <c r="G2334" s="392"/>
      <c r="H2334" s="392"/>
      <c r="I2334" s="446"/>
      <c r="J2334" s="380"/>
      <c r="K2334" s="428"/>
      <c r="L2334" s="428"/>
    </row>
    <row r="2335" spans="1:12" s="429" customFormat="1">
      <c r="A2335" s="350" t="s">
        <v>337</v>
      </c>
      <c r="B2335" s="386">
        <v>20</v>
      </c>
      <c r="C2335" s="386">
        <v>9.4</v>
      </c>
      <c r="D2335" s="392"/>
      <c r="E2335" s="386"/>
      <c r="F2335" s="392"/>
      <c r="G2335" s="392"/>
      <c r="H2335" s="392"/>
      <c r="I2335" s="446"/>
      <c r="J2335" s="353"/>
      <c r="K2335" s="428"/>
      <c r="L2335" s="428"/>
    </row>
    <row r="2336" spans="1:12" s="429" customFormat="1">
      <c r="A2336" s="350" t="s">
        <v>385</v>
      </c>
      <c r="B2336" s="351">
        <v>10</v>
      </c>
      <c r="C2336" s="391">
        <v>5.4</v>
      </c>
      <c r="D2336" s="392">
        <f>C2336*0.22</f>
        <v>1.1880000000000002</v>
      </c>
      <c r="E2336" s="355"/>
      <c r="F2336" s="392">
        <f t="shared" ref="F2336" si="455">C2336*0.9</f>
        <v>4.8600000000000003</v>
      </c>
      <c r="G2336" s="392">
        <f>C2336+D2336+E2336+F2336</f>
        <v>11.448</v>
      </c>
      <c r="H2336" s="392">
        <f t="shared" ref="H2336" si="456">G2336*0.35</f>
        <v>4.0068000000000001</v>
      </c>
      <c r="I2336" s="393">
        <f>G2336+H2336</f>
        <v>15.454800000000001</v>
      </c>
      <c r="J2336" s="353"/>
      <c r="K2336" s="428"/>
      <c r="L2336" s="428"/>
    </row>
    <row r="2337" spans="1:12" s="429" customFormat="1">
      <c r="A2337" s="350"/>
      <c r="B2337" s="351"/>
      <c r="C2337" s="391"/>
      <c r="D2337" s="392"/>
      <c r="E2337" s="355"/>
      <c r="F2337" s="392"/>
      <c r="G2337" s="392"/>
      <c r="H2337" s="392"/>
      <c r="I2337" s="393"/>
      <c r="J2337" s="353"/>
      <c r="K2337" s="428"/>
      <c r="L2337" s="428"/>
    </row>
    <row r="2338" spans="1:12" s="429" customFormat="1" ht="21.75">
      <c r="A2338" s="383" t="s">
        <v>1498</v>
      </c>
      <c r="B2338" s="384"/>
      <c r="C2338" s="412">
        <f>C2339+C2340</f>
        <v>63</v>
      </c>
      <c r="D2338" s="412">
        <f t="shared" ref="D2338" si="457">C2338*0.22</f>
        <v>13.86</v>
      </c>
      <c r="E2338" s="384">
        <v>0.21</v>
      </c>
      <c r="F2338" s="412">
        <f t="shared" ref="F2338" si="458">C2338*0.9</f>
        <v>56.7</v>
      </c>
      <c r="G2338" s="412">
        <f t="shared" ref="G2338" si="459">C2338+D2338+E2338+F2338</f>
        <v>133.76999999999998</v>
      </c>
      <c r="H2338" s="412">
        <f t="shared" ref="H2338" si="460">G2338*0.35</f>
        <v>46.819499999999991</v>
      </c>
      <c r="I2338" s="413">
        <f t="shared" ref="I2338" si="461">+G2338+H2338</f>
        <v>180.58949999999999</v>
      </c>
      <c r="J2338" s="349">
        <f>I2338+I2342+I2341</f>
        <v>226.95389999999998</v>
      </c>
      <c r="K2338" s="428"/>
      <c r="L2338" s="428"/>
    </row>
    <row r="2339" spans="1:12" s="429" customFormat="1">
      <c r="A2339" s="423" t="s">
        <v>258</v>
      </c>
      <c r="B2339" s="386">
        <v>60</v>
      </c>
      <c r="C2339" s="386">
        <v>34.799999999999997</v>
      </c>
      <c r="D2339" s="392"/>
      <c r="E2339" s="386"/>
      <c r="F2339" s="392"/>
      <c r="G2339" s="392"/>
      <c r="H2339" s="392"/>
      <c r="I2339" s="425"/>
      <c r="J2339" s="380"/>
      <c r="K2339" s="428"/>
      <c r="L2339" s="428"/>
    </row>
    <row r="2340" spans="1:12">
      <c r="A2340" s="350" t="s">
        <v>337</v>
      </c>
      <c r="B2340" s="386">
        <v>60</v>
      </c>
      <c r="C2340" s="386">
        <v>28.2</v>
      </c>
      <c r="D2340" s="392"/>
      <c r="E2340" s="386"/>
      <c r="F2340" s="392"/>
      <c r="G2340" s="392"/>
      <c r="H2340" s="392"/>
      <c r="I2340" s="446"/>
      <c r="J2340" s="353"/>
    </row>
    <row r="2341" spans="1:12">
      <c r="A2341" s="350" t="s">
        <v>385</v>
      </c>
      <c r="B2341" s="351">
        <v>30</v>
      </c>
      <c r="C2341" s="391">
        <v>16.2</v>
      </c>
      <c r="D2341" s="392">
        <f>C2341*0.22</f>
        <v>3.5640000000000001</v>
      </c>
      <c r="E2341" s="355"/>
      <c r="F2341" s="392">
        <f t="shared" ref="F2341:F2343" si="462">C2341*0.9</f>
        <v>14.58</v>
      </c>
      <c r="G2341" s="392">
        <f>C2341+D2341+E2341+F2341</f>
        <v>34.344000000000001</v>
      </c>
      <c r="H2341" s="392">
        <f t="shared" ref="H2341:H2343" si="463">G2341*0.35</f>
        <v>12.0204</v>
      </c>
      <c r="I2341" s="393">
        <f>G2341+H2341</f>
        <v>46.364400000000003</v>
      </c>
      <c r="J2341" s="353"/>
    </row>
    <row r="2342" spans="1:12">
      <c r="A2342" s="350"/>
      <c r="B2342" s="351"/>
      <c r="C2342" s="391"/>
      <c r="D2342" s="392"/>
      <c r="E2342" s="355"/>
      <c r="F2342" s="392"/>
      <c r="G2342" s="392"/>
      <c r="H2342" s="392"/>
      <c r="I2342" s="393"/>
      <c r="J2342" s="353"/>
    </row>
    <row r="2343" spans="1:12">
      <c r="A2343" s="445" t="s">
        <v>1499</v>
      </c>
      <c r="B2343" s="384"/>
      <c r="C2343" s="412">
        <f>C2344+C2345</f>
        <v>21</v>
      </c>
      <c r="D2343" s="412">
        <f t="shared" ref="D2343" si="464">C2343*0.22</f>
        <v>4.62</v>
      </c>
      <c r="E2343" s="384">
        <v>0.21</v>
      </c>
      <c r="F2343" s="412">
        <f t="shared" si="462"/>
        <v>18.900000000000002</v>
      </c>
      <c r="G2343" s="412">
        <f t="shared" ref="G2343" si="465">C2343+D2343+E2343+F2343</f>
        <v>44.730000000000004</v>
      </c>
      <c r="H2343" s="412">
        <f t="shared" si="463"/>
        <v>15.6555</v>
      </c>
      <c r="I2343" s="413">
        <f t="shared" ref="I2343" si="466">+G2343+H2343</f>
        <v>60.385500000000008</v>
      </c>
      <c r="J2343" s="349">
        <f>I2343+I2347+I2346</f>
        <v>75.840300000000013</v>
      </c>
    </row>
    <row r="2344" spans="1:12">
      <c r="A2344" s="386" t="s">
        <v>258</v>
      </c>
      <c r="B2344" s="386">
        <v>20</v>
      </c>
      <c r="C2344" s="386">
        <v>11.6</v>
      </c>
      <c r="D2344" s="392"/>
      <c r="E2344" s="386"/>
      <c r="F2344" s="392"/>
      <c r="G2344" s="392"/>
      <c r="H2344" s="392"/>
      <c r="I2344" s="446"/>
      <c r="J2344" s="380"/>
    </row>
    <row r="2345" spans="1:12">
      <c r="A2345" s="350" t="s">
        <v>337</v>
      </c>
      <c r="B2345" s="386">
        <v>20</v>
      </c>
      <c r="C2345" s="386">
        <v>9.4</v>
      </c>
      <c r="D2345" s="392"/>
      <c r="E2345" s="386"/>
      <c r="F2345" s="392"/>
      <c r="G2345" s="392"/>
      <c r="H2345" s="392"/>
      <c r="I2345" s="446"/>
      <c r="J2345" s="353"/>
    </row>
    <row r="2346" spans="1:12">
      <c r="A2346" s="350" t="s">
        <v>385</v>
      </c>
      <c r="B2346" s="351">
        <v>10</v>
      </c>
      <c r="C2346" s="391">
        <v>5.4</v>
      </c>
      <c r="D2346" s="392">
        <f>C2346*0.22</f>
        <v>1.1880000000000002</v>
      </c>
      <c r="E2346" s="355"/>
      <c r="F2346" s="392">
        <f t="shared" ref="F2346:F2348" si="467">C2346*0.9</f>
        <v>4.8600000000000003</v>
      </c>
      <c r="G2346" s="392">
        <f>C2346+D2346+E2346+F2346</f>
        <v>11.448</v>
      </c>
      <c r="H2346" s="392">
        <f t="shared" ref="H2346:H2348" si="468">G2346*0.35</f>
        <v>4.0068000000000001</v>
      </c>
      <c r="I2346" s="393">
        <f>G2346+H2346</f>
        <v>15.454800000000001</v>
      </c>
      <c r="J2346" s="353"/>
    </row>
    <row r="2347" spans="1:12">
      <c r="A2347" s="350"/>
      <c r="B2347" s="351"/>
      <c r="C2347" s="391"/>
      <c r="D2347" s="392"/>
      <c r="E2347" s="355"/>
      <c r="F2347" s="392"/>
      <c r="G2347" s="392"/>
      <c r="H2347" s="392"/>
      <c r="I2347" s="393"/>
      <c r="J2347" s="353"/>
    </row>
    <row r="2348" spans="1:12">
      <c r="A2348" s="445" t="s">
        <v>1500</v>
      </c>
      <c r="B2348" s="384"/>
      <c r="C2348" s="412">
        <f>C2349+C2350</f>
        <v>21</v>
      </c>
      <c r="D2348" s="412">
        <f t="shared" ref="D2348" si="469">C2348*0.22</f>
        <v>4.62</v>
      </c>
      <c r="E2348" s="384">
        <v>0.21</v>
      </c>
      <c r="F2348" s="412">
        <f t="shared" si="467"/>
        <v>18.900000000000002</v>
      </c>
      <c r="G2348" s="412">
        <f t="shared" ref="G2348" si="470">C2348+D2348+E2348+F2348</f>
        <v>44.730000000000004</v>
      </c>
      <c r="H2348" s="412">
        <f t="shared" si="468"/>
        <v>15.6555</v>
      </c>
      <c r="I2348" s="413">
        <f t="shared" ref="I2348" si="471">+G2348+H2348</f>
        <v>60.385500000000008</v>
      </c>
      <c r="J2348" s="349">
        <f>I2348+I2352+I2351</f>
        <v>75.840300000000013</v>
      </c>
    </row>
    <row r="2349" spans="1:12">
      <c r="A2349" s="386" t="s">
        <v>258</v>
      </c>
      <c r="B2349" s="386">
        <v>20</v>
      </c>
      <c r="C2349" s="386">
        <v>11.6</v>
      </c>
      <c r="D2349" s="392"/>
      <c r="E2349" s="386"/>
      <c r="F2349" s="392"/>
      <c r="G2349" s="392"/>
      <c r="H2349" s="392"/>
      <c r="I2349" s="446"/>
      <c r="J2349" s="379"/>
    </row>
    <row r="2350" spans="1:12">
      <c r="A2350" s="350" t="s">
        <v>337</v>
      </c>
      <c r="B2350" s="386">
        <v>20</v>
      </c>
      <c r="C2350" s="386">
        <v>9.4</v>
      </c>
      <c r="D2350" s="392"/>
      <c r="E2350" s="386"/>
      <c r="F2350" s="392"/>
      <c r="G2350" s="392"/>
      <c r="H2350" s="392"/>
      <c r="I2350" s="446"/>
      <c r="J2350" s="355"/>
    </row>
    <row r="2351" spans="1:12">
      <c r="A2351" s="350" t="s">
        <v>385</v>
      </c>
      <c r="B2351" s="351">
        <v>10</v>
      </c>
      <c r="C2351" s="391">
        <v>5.4</v>
      </c>
      <c r="D2351" s="392">
        <f>C2351*0.22</f>
        <v>1.1880000000000002</v>
      </c>
      <c r="E2351" s="355"/>
      <c r="F2351" s="392">
        <f t="shared" ref="F2351:F2353" si="472">C2351*0.9</f>
        <v>4.8600000000000003</v>
      </c>
      <c r="G2351" s="392">
        <f>C2351+D2351+E2351+F2351</f>
        <v>11.448</v>
      </c>
      <c r="H2351" s="392">
        <f t="shared" ref="H2351:H2353" si="473">G2351*0.35</f>
        <v>4.0068000000000001</v>
      </c>
      <c r="I2351" s="393">
        <f>G2351+H2351</f>
        <v>15.454800000000001</v>
      </c>
      <c r="J2351" s="355"/>
    </row>
    <row r="2352" spans="1:12">
      <c r="A2352" s="350"/>
      <c r="B2352" s="351"/>
      <c r="C2352" s="391"/>
      <c r="D2352" s="392"/>
      <c r="E2352" s="355"/>
      <c r="F2352" s="392"/>
      <c r="G2352" s="392"/>
      <c r="H2352" s="392"/>
      <c r="I2352" s="393"/>
      <c r="J2352" s="355"/>
    </row>
    <row r="2353" spans="1:10">
      <c r="A2353" s="445" t="s">
        <v>1501</v>
      </c>
      <c r="B2353" s="384"/>
      <c r="C2353" s="412">
        <f>C2354+C2355</f>
        <v>31.5</v>
      </c>
      <c r="D2353" s="412">
        <f t="shared" ref="D2353" si="474">C2353*0.22</f>
        <v>6.93</v>
      </c>
      <c r="E2353" s="384">
        <v>0.21</v>
      </c>
      <c r="F2353" s="412">
        <f t="shared" si="472"/>
        <v>28.35</v>
      </c>
      <c r="G2353" s="412">
        <f t="shared" ref="G2353" si="475">C2353+D2353+E2353+F2353</f>
        <v>66.990000000000009</v>
      </c>
      <c r="H2353" s="412">
        <f t="shared" si="473"/>
        <v>23.4465</v>
      </c>
      <c r="I2353" s="413">
        <f t="shared" ref="I2353" si="476">+G2353+H2353</f>
        <v>90.436500000000009</v>
      </c>
      <c r="J2353" s="349">
        <f>I2353+I2357+I2356</f>
        <v>113.61870000000002</v>
      </c>
    </row>
    <row r="2354" spans="1:10">
      <c r="A2354" s="386" t="s">
        <v>258</v>
      </c>
      <c r="B2354" s="386">
        <v>30</v>
      </c>
      <c r="C2354" s="386">
        <v>17.399999999999999</v>
      </c>
      <c r="D2354" s="392"/>
      <c r="E2354" s="386"/>
      <c r="F2354" s="392"/>
      <c r="G2354" s="392"/>
      <c r="H2354" s="392"/>
      <c r="I2354" s="446"/>
      <c r="J2354" s="380"/>
    </row>
    <row r="2355" spans="1:10">
      <c r="A2355" s="350" t="s">
        <v>337</v>
      </c>
      <c r="B2355" s="386">
        <v>30</v>
      </c>
      <c r="C2355" s="386">
        <v>14.1</v>
      </c>
      <c r="D2355" s="392"/>
      <c r="E2355" s="386"/>
      <c r="F2355" s="392"/>
      <c r="G2355" s="392"/>
      <c r="H2355" s="392"/>
      <c r="I2355" s="446"/>
      <c r="J2355" s="353"/>
    </row>
    <row r="2356" spans="1:10">
      <c r="A2356" s="350" t="s">
        <v>385</v>
      </c>
      <c r="B2356" s="351">
        <v>15</v>
      </c>
      <c r="C2356" s="391">
        <v>8.1</v>
      </c>
      <c r="D2356" s="392">
        <f>C2356*0.22</f>
        <v>1.782</v>
      </c>
      <c r="E2356" s="355"/>
      <c r="F2356" s="392">
        <f t="shared" ref="F2356:F2358" si="477">C2356*0.9</f>
        <v>7.29</v>
      </c>
      <c r="G2356" s="392">
        <f>C2356+D2356+E2356+F2356</f>
        <v>17.172000000000001</v>
      </c>
      <c r="H2356" s="392">
        <f t="shared" ref="H2356:H2358" si="478">G2356*0.35</f>
        <v>6.0102000000000002</v>
      </c>
      <c r="I2356" s="393">
        <f>G2356+H2356</f>
        <v>23.182200000000002</v>
      </c>
      <c r="J2356" s="353"/>
    </row>
    <row r="2357" spans="1:10">
      <c r="A2357" s="350"/>
      <c r="B2357" s="351"/>
      <c r="C2357" s="391"/>
      <c r="D2357" s="392"/>
      <c r="E2357" s="355"/>
      <c r="F2357" s="392"/>
      <c r="G2357" s="392"/>
      <c r="H2357" s="392"/>
      <c r="I2357" s="393"/>
      <c r="J2357" s="353"/>
    </row>
    <row r="2358" spans="1:10">
      <c r="A2358" s="383" t="s">
        <v>1591</v>
      </c>
      <c r="B2358" s="384"/>
      <c r="C2358" s="412">
        <f>C2359+C2360</f>
        <v>47.25</v>
      </c>
      <c r="D2358" s="412">
        <f t="shared" ref="D2358" si="479">C2358*0.22</f>
        <v>10.395</v>
      </c>
      <c r="E2358" s="384">
        <v>0.21</v>
      </c>
      <c r="F2358" s="412">
        <f t="shared" si="477"/>
        <v>42.524999999999999</v>
      </c>
      <c r="G2358" s="412">
        <f t="shared" ref="G2358" si="480">C2358+D2358+E2358+F2358</f>
        <v>100.38</v>
      </c>
      <c r="H2358" s="412">
        <f t="shared" si="478"/>
        <v>35.132999999999996</v>
      </c>
      <c r="I2358" s="413">
        <f t="shared" ref="I2358" si="481">+G2358+H2358</f>
        <v>135.51299999999998</v>
      </c>
      <c r="J2358" s="349">
        <f>I2358+I2362+I2361</f>
        <v>166.42259999999999</v>
      </c>
    </row>
    <row r="2359" spans="1:10">
      <c r="A2359" s="386" t="s">
        <v>258</v>
      </c>
      <c r="B2359" s="386">
        <v>45</v>
      </c>
      <c r="C2359" s="386">
        <v>26.1</v>
      </c>
      <c r="D2359" s="392"/>
      <c r="E2359" s="386"/>
      <c r="F2359" s="392"/>
      <c r="G2359" s="392"/>
      <c r="H2359" s="392"/>
      <c r="I2359" s="446"/>
      <c r="J2359" s="380"/>
    </row>
    <row r="2360" spans="1:10">
      <c r="A2360" s="350" t="s">
        <v>337</v>
      </c>
      <c r="B2360" s="386">
        <v>45</v>
      </c>
      <c r="C2360" s="386">
        <v>21.15</v>
      </c>
      <c r="D2360" s="392"/>
      <c r="E2360" s="386"/>
      <c r="F2360" s="392"/>
      <c r="G2360" s="392"/>
      <c r="H2360" s="392"/>
      <c r="I2360" s="446"/>
      <c r="J2360" s="353"/>
    </row>
    <row r="2361" spans="1:10">
      <c r="A2361" s="350" t="s">
        <v>385</v>
      </c>
      <c r="B2361" s="351">
        <v>20</v>
      </c>
      <c r="C2361" s="391">
        <v>10.8</v>
      </c>
      <c r="D2361" s="392">
        <f>C2361*0.22</f>
        <v>2.3760000000000003</v>
      </c>
      <c r="E2361" s="355"/>
      <c r="F2361" s="392">
        <f t="shared" ref="F2361:F2363" si="482">C2361*0.9</f>
        <v>9.7200000000000006</v>
      </c>
      <c r="G2361" s="392">
        <f>C2361+D2361+E2361+F2361</f>
        <v>22.896000000000001</v>
      </c>
      <c r="H2361" s="392">
        <f t="shared" ref="H2361:H2363" si="483">G2361*0.35</f>
        <v>8.0136000000000003</v>
      </c>
      <c r="I2361" s="393">
        <f>G2361+H2361</f>
        <v>30.909600000000001</v>
      </c>
      <c r="J2361" s="353"/>
    </row>
    <row r="2362" spans="1:10">
      <c r="A2362" s="350"/>
      <c r="B2362" s="351"/>
      <c r="C2362" s="391"/>
      <c r="D2362" s="392"/>
      <c r="E2362" s="355"/>
      <c r="F2362" s="392"/>
      <c r="G2362" s="392"/>
      <c r="H2362" s="392"/>
      <c r="I2362" s="393"/>
      <c r="J2362" s="353"/>
    </row>
    <row r="2363" spans="1:10" ht="21">
      <c r="A2363" s="345" t="s">
        <v>1592</v>
      </c>
      <c r="B2363" s="346"/>
      <c r="C2363" s="412">
        <f>C2364+C2365</f>
        <v>10.5</v>
      </c>
      <c r="D2363" s="412">
        <f t="shared" ref="D2363:D2381" si="484">C2363*0.22</f>
        <v>2.31</v>
      </c>
      <c r="E2363" s="412">
        <v>0.21</v>
      </c>
      <c r="F2363" s="412">
        <f t="shared" si="482"/>
        <v>9.4500000000000011</v>
      </c>
      <c r="G2363" s="412">
        <f>C2363+D2363+E2363+F2363</f>
        <v>22.470000000000002</v>
      </c>
      <c r="H2363" s="412">
        <f t="shared" si="483"/>
        <v>7.8645000000000005</v>
      </c>
      <c r="I2363" s="413">
        <f>G2363+H2363</f>
        <v>30.334500000000002</v>
      </c>
      <c r="J2363" s="349">
        <f>I2363+I2366+I2367</f>
        <v>38.061900000000001</v>
      </c>
    </row>
    <row r="2364" spans="1:10">
      <c r="A2364" s="350" t="s">
        <v>258</v>
      </c>
      <c r="B2364" s="350">
        <v>10</v>
      </c>
      <c r="C2364" s="391">
        <v>5.8</v>
      </c>
      <c r="D2364" s="392">
        <f t="shared" si="484"/>
        <v>1.276</v>
      </c>
      <c r="E2364" s="392"/>
      <c r="F2364" s="392"/>
      <c r="G2364" s="392"/>
      <c r="H2364" s="392"/>
      <c r="I2364" s="393"/>
      <c r="J2364" s="353"/>
    </row>
    <row r="2365" spans="1:10">
      <c r="A2365" s="350" t="s">
        <v>337</v>
      </c>
      <c r="B2365" s="350">
        <v>10</v>
      </c>
      <c r="C2365" s="391">
        <v>4.7</v>
      </c>
      <c r="D2365" s="392">
        <f t="shared" si="484"/>
        <v>1.034</v>
      </c>
      <c r="E2365" s="392"/>
      <c r="F2365" s="392"/>
      <c r="G2365" s="392"/>
      <c r="H2365" s="392"/>
      <c r="I2365" s="393"/>
      <c r="J2365" s="353"/>
    </row>
    <row r="2366" spans="1:10">
      <c r="A2366" s="350" t="s">
        <v>385</v>
      </c>
      <c r="B2366" s="351">
        <v>5</v>
      </c>
      <c r="C2366" s="391">
        <v>2.7</v>
      </c>
      <c r="D2366" s="392">
        <f t="shared" si="484"/>
        <v>0.59400000000000008</v>
      </c>
      <c r="E2366" s="355"/>
      <c r="F2366" s="392">
        <f t="shared" ref="F2366" si="485">C2366*0.9</f>
        <v>2.4300000000000002</v>
      </c>
      <c r="G2366" s="392">
        <f>C2366+D2366+E2366+F2366</f>
        <v>5.7240000000000002</v>
      </c>
      <c r="H2366" s="392">
        <f t="shared" ref="H2366" si="486">G2366*0.35</f>
        <v>2.0034000000000001</v>
      </c>
      <c r="I2366" s="393">
        <f>G2366+H2366</f>
        <v>7.7274000000000003</v>
      </c>
      <c r="J2366" s="353"/>
    </row>
    <row r="2367" spans="1:10">
      <c r="A2367" s="350"/>
      <c r="B2367" s="351"/>
      <c r="C2367" s="391"/>
      <c r="D2367" s="392"/>
      <c r="E2367" s="355"/>
      <c r="F2367" s="392"/>
      <c r="G2367" s="392"/>
      <c r="H2367" s="392"/>
      <c r="I2367" s="393"/>
      <c r="J2367" s="353"/>
    </row>
    <row r="2368" spans="1:10">
      <c r="A2368" s="345" t="s">
        <v>1593</v>
      </c>
      <c r="B2368" s="346"/>
      <c r="C2368" s="412">
        <f>C2369+C2370</f>
        <v>21</v>
      </c>
      <c r="D2368" s="412">
        <f t="shared" ref="D2368" si="487">C2368*0.22</f>
        <v>4.62</v>
      </c>
      <c r="E2368" s="412">
        <v>0.21</v>
      </c>
      <c r="F2368" s="412">
        <f t="shared" ref="F2368" si="488">C2368*0.9</f>
        <v>18.900000000000002</v>
      </c>
      <c r="G2368" s="412">
        <f>C2368+D2368+E2368+F2368</f>
        <v>44.730000000000004</v>
      </c>
      <c r="H2368" s="412">
        <f t="shared" ref="H2368" si="489">G2368*0.35</f>
        <v>15.6555</v>
      </c>
      <c r="I2368" s="413">
        <f>G2368+H2368</f>
        <v>60.385500000000008</v>
      </c>
      <c r="J2368" s="349">
        <f>I2368+I2371+I2372</f>
        <v>75.840300000000013</v>
      </c>
    </row>
    <row r="2369" spans="1:10">
      <c r="A2369" s="350" t="s">
        <v>258</v>
      </c>
      <c r="B2369" s="350">
        <v>20</v>
      </c>
      <c r="C2369" s="391">
        <v>11.6</v>
      </c>
      <c r="D2369" s="392">
        <f t="shared" si="484"/>
        <v>2.552</v>
      </c>
      <c r="E2369" s="392"/>
      <c r="F2369" s="392"/>
      <c r="G2369" s="392"/>
      <c r="H2369" s="392"/>
      <c r="I2369" s="393"/>
      <c r="J2369" s="353"/>
    </row>
    <row r="2370" spans="1:10">
      <c r="A2370" s="350" t="s">
        <v>337</v>
      </c>
      <c r="B2370" s="350">
        <v>20</v>
      </c>
      <c r="C2370" s="391">
        <v>9.4</v>
      </c>
      <c r="D2370" s="392">
        <f t="shared" si="484"/>
        <v>2.0680000000000001</v>
      </c>
      <c r="E2370" s="392"/>
      <c r="F2370" s="392"/>
      <c r="G2370" s="392"/>
      <c r="H2370" s="392"/>
      <c r="I2370" s="393"/>
      <c r="J2370" s="353"/>
    </row>
    <row r="2371" spans="1:10">
      <c r="A2371" s="350" t="s">
        <v>385</v>
      </c>
      <c r="B2371" s="351">
        <v>10</v>
      </c>
      <c r="C2371" s="391">
        <v>5.4</v>
      </c>
      <c r="D2371" s="392">
        <f t="shared" si="484"/>
        <v>1.1880000000000002</v>
      </c>
      <c r="E2371" s="355"/>
      <c r="F2371" s="392">
        <f t="shared" ref="F2371:F2373" si="490">C2371*0.9</f>
        <v>4.8600000000000003</v>
      </c>
      <c r="G2371" s="392">
        <f>C2371+D2371+E2371+F2371</f>
        <v>11.448</v>
      </c>
      <c r="H2371" s="392">
        <f t="shared" ref="H2371:H2373" si="491">G2371*0.35</f>
        <v>4.0068000000000001</v>
      </c>
      <c r="I2371" s="393">
        <f>G2371+H2371</f>
        <v>15.454800000000001</v>
      </c>
      <c r="J2371" s="353"/>
    </row>
    <row r="2372" spans="1:10">
      <c r="A2372" s="350"/>
      <c r="B2372" s="351"/>
      <c r="C2372" s="391"/>
      <c r="D2372" s="392"/>
      <c r="E2372" s="355"/>
      <c r="F2372" s="392"/>
      <c r="G2372" s="392"/>
      <c r="H2372" s="392"/>
      <c r="I2372" s="393"/>
      <c r="J2372" s="353"/>
    </row>
    <row r="2373" spans="1:10">
      <c r="A2373" s="345" t="s">
        <v>1594</v>
      </c>
      <c r="B2373" s="346"/>
      <c r="C2373" s="412">
        <f>C2374+C2375</f>
        <v>10.5</v>
      </c>
      <c r="D2373" s="412">
        <f t="shared" si="484"/>
        <v>2.31</v>
      </c>
      <c r="E2373" s="412">
        <v>0.21</v>
      </c>
      <c r="F2373" s="412">
        <f t="shared" si="490"/>
        <v>9.4500000000000011</v>
      </c>
      <c r="G2373" s="412">
        <f>C2373+D2373+E2373+F2373</f>
        <v>22.470000000000002</v>
      </c>
      <c r="H2373" s="412">
        <f t="shared" si="491"/>
        <v>7.8645000000000005</v>
      </c>
      <c r="I2373" s="413">
        <f>G2373+H2373</f>
        <v>30.334500000000002</v>
      </c>
      <c r="J2373" s="349">
        <f>I2373+I2376+I2377</f>
        <v>38.061900000000001</v>
      </c>
    </row>
    <row r="2374" spans="1:10">
      <c r="A2374" s="350" t="s">
        <v>258</v>
      </c>
      <c r="B2374" s="350">
        <v>10</v>
      </c>
      <c r="C2374" s="391">
        <v>5.8</v>
      </c>
      <c r="D2374" s="392">
        <f t="shared" si="484"/>
        <v>1.276</v>
      </c>
      <c r="E2374" s="392"/>
      <c r="F2374" s="392"/>
      <c r="G2374" s="392"/>
      <c r="H2374" s="392"/>
      <c r="I2374" s="393"/>
      <c r="J2374" s="353"/>
    </row>
    <row r="2375" spans="1:10">
      <c r="A2375" s="350" t="s">
        <v>337</v>
      </c>
      <c r="B2375" s="350">
        <v>10</v>
      </c>
      <c r="C2375" s="391">
        <v>4.7</v>
      </c>
      <c r="D2375" s="392">
        <f t="shared" si="484"/>
        <v>1.034</v>
      </c>
      <c r="E2375" s="392"/>
      <c r="F2375" s="392"/>
      <c r="G2375" s="392"/>
      <c r="H2375" s="392"/>
      <c r="I2375" s="393"/>
      <c r="J2375" s="353"/>
    </row>
    <row r="2376" spans="1:10">
      <c r="A2376" s="350" t="s">
        <v>385</v>
      </c>
      <c r="B2376" s="351">
        <v>5</v>
      </c>
      <c r="C2376" s="391">
        <v>2.7</v>
      </c>
      <c r="D2376" s="392">
        <f t="shared" si="484"/>
        <v>0.59400000000000008</v>
      </c>
      <c r="E2376" s="355"/>
      <c r="F2376" s="392">
        <f t="shared" ref="F2376" si="492">C2376*0.9</f>
        <v>2.4300000000000002</v>
      </c>
      <c r="G2376" s="392">
        <f>C2376+D2376+E2376+F2376</f>
        <v>5.7240000000000002</v>
      </c>
      <c r="H2376" s="392">
        <f t="shared" ref="H2376" si="493">G2376*0.35</f>
        <v>2.0034000000000001</v>
      </c>
      <c r="I2376" s="393">
        <f>G2376+H2376</f>
        <v>7.7274000000000003</v>
      </c>
      <c r="J2376" s="353"/>
    </row>
    <row r="2377" spans="1:10">
      <c r="A2377" s="350"/>
      <c r="B2377" s="351"/>
      <c r="C2377" s="391"/>
      <c r="D2377" s="392"/>
      <c r="E2377" s="355"/>
      <c r="F2377" s="392"/>
      <c r="G2377" s="392"/>
      <c r="H2377" s="392"/>
      <c r="I2377" s="393"/>
      <c r="J2377" s="353"/>
    </row>
    <row r="2378" spans="1:10">
      <c r="A2378" s="345" t="s">
        <v>1595</v>
      </c>
      <c r="B2378" s="346"/>
      <c r="C2378" s="412">
        <f>C2379+C2380</f>
        <v>10.5</v>
      </c>
      <c r="D2378" s="412">
        <f t="shared" si="484"/>
        <v>2.31</v>
      </c>
      <c r="E2378" s="412">
        <v>0.21</v>
      </c>
      <c r="F2378" s="412">
        <f t="shared" ref="F2378" si="494">C2378*0.9</f>
        <v>9.4500000000000011</v>
      </c>
      <c r="G2378" s="412">
        <f>C2378+D2378+E2378+F2378</f>
        <v>22.470000000000002</v>
      </c>
      <c r="H2378" s="412">
        <f t="shared" ref="H2378" si="495">G2378*0.35</f>
        <v>7.8645000000000005</v>
      </c>
      <c r="I2378" s="413">
        <f>G2378+H2378</f>
        <v>30.334500000000002</v>
      </c>
      <c r="J2378" s="349">
        <f>I2378+I2381+I2382</f>
        <v>38.061900000000001</v>
      </c>
    </row>
    <row r="2379" spans="1:10">
      <c r="A2379" s="350" t="s">
        <v>258</v>
      </c>
      <c r="B2379" s="350">
        <v>10</v>
      </c>
      <c r="C2379" s="391">
        <v>5.8</v>
      </c>
      <c r="D2379" s="392">
        <f t="shared" si="484"/>
        <v>1.276</v>
      </c>
      <c r="E2379" s="392"/>
      <c r="F2379" s="392"/>
      <c r="G2379" s="392"/>
      <c r="H2379" s="392"/>
      <c r="I2379" s="393"/>
      <c r="J2379" s="355"/>
    </row>
    <row r="2380" spans="1:10">
      <c r="A2380" s="350" t="s">
        <v>337</v>
      </c>
      <c r="B2380" s="350">
        <v>10</v>
      </c>
      <c r="C2380" s="391">
        <v>4.7</v>
      </c>
      <c r="D2380" s="392">
        <f t="shared" si="484"/>
        <v>1.034</v>
      </c>
      <c r="E2380" s="392"/>
      <c r="F2380" s="392"/>
      <c r="G2380" s="392"/>
      <c r="H2380" s="392"/>
      <c r="I2380" s="393"/>
      <c r="J2380" s="355"/>
    </row>
    <row r="2381" spans="1:10">
      <c r="A2381" s="350" t="s">
        <v>385</v>
      </c>
      <c r="B2381" s="351">
        <v>5</v>
      </c>
      <c r="C2381" s="391">
        <v>2.7</v>
      </c>
      <c r="D2381" s="392">
        <f t="shared" si="484"/>
        <v>0.59400000000000008</v>
      </c>
      <c r="E2381" s="355"/>
      <c r="F2381" s="392">
        <f t="shared" ref="F2381" si="496">C2381*0.9</f>
        <v>2.4300000000000002</v>
      </c>
      <c r="G2381" s="392">
        <f>C2381+D2381+E2381+F2381</f>
        <v>5.7240000000000002</v>
      </c>
      <c r="H2381" s="392">
        <f t="shared" ref="H2381" si="497">G2381*0.35</f>
        <v>2.0034000000000001</v>
      </c>
      <c r="I2381" s="393">
        <f>G2381+H2381</f>
        <v>7.7274000000000003</v>
      </c>
      <c r="J2381" s="355"/>
    </row>
    <row r="2382" spans="1:10">
      <c r="A2382" s="350"/>
      <c r="B2382" s="351"/>
      <c r="C2382" s="391"/>
      <c r="D2382" s="392"/>
      <c r="E2382" s="355"/>
      <c r="F2382" s="392"/>
      <c r="G2382" s="392"/>
      <c r="H2382" s="392"/>
      <c r="I2382" s="393"/>
      <c r="J2382" s="355"/>
    </row>
    <row r="2383" spans="1:10">
      <c r="A2383" s="345" t="s">
        <v>1596</v>
      </c>
      <c r="B2383" s="346"/>
      <c r="C2383" s="412">
        <f>C2384+C2385</f>
        <v>37.33</v>
      </c>
      <c r="D2383" s="412">
        <f t="shared" ref="D2383:D2386" si="498">C2383*0.22</f>
        <v>8.2126000000000001</v>
      </c>
      <c r="E2383" s="412">
        <v>0.21</v>
      </c>
      <c r="F2383" s="412">
        <f>C2383*0.9</f>
        <v>33.597000000000001</v>
      </c>
      <c r="G2383" s="412">
        <f>C2383+D2383+E2383+F2383</f>
        <v>79.349600000000009</v>
      </c>
      <c r="H2383" s="412">
        <f>G2383*0.35</f>
        <v>27.772360000000003</v>
      </c>
      <c r="I2383" s="413">
        <f>G2383+H2383</f>
        <v>107.12196000000002</v>
      </c>
      <c r="J2383" s="349">
        <f>I2383+I2386+I2387</f>
        <v>125.66772000000002</v>
      </c>
    </row>
    <row r="2384" spans="1:10">
      <c r="A2384" s="350" t="s">
        <v>258</v>
      </c>
      <c r="B2384" s="350">
        <v>25</v>
      </c>
      <c r="C2384" s="391">
        <v>25.58</v>
      </c>
      <c r="D2384" s="392">
        <f t="shared" si="498"/>
        <v>5.6275999999999993</v>
      </c>
      <c r="E2384" s="392"/>
      <c r="F2384" s="392"/>
      <c r="G2384" s="392"/>
      <c r="H2384" s="392"/>
      <c r="I2384" s="393"/>
      <c r="J2384" s="353"/>
    </row>
    <row r="2385" spans="1:10">
      <c r="A2385" s="350" t="s">
        <v>337</v>
      </c>
      <c r="B2385" s="350">
        <v>25</v>
      </c>
      <c r="C2385" s="391">
        <v>11.75</v>
      </c>
      <c r="D2385" s="392">
        <f t="shared" si="498"/>
        <v>2.585</v>
      </c>
      <c r="E2385" s="392"/>
      <c r="F2385" s="392"/>
      <c r="G2385" s="392"/>
      <c r="H2385" s="392"/>
      <c r="I2385" s="393"/>
      <c r="J2385" s="353"/>
    </row>
    <row r="2386" spans="1:10">
      <c r="A2386" s="350" t="s">
        <v>385</v>
      </c>
      <c r="B2386" s="351">
        <v>12</v>
      </c>
      <c r="C2386" s="391">
        <v>6.48</v>
      </c>
      <c r="D2386" s="392">
        <f t="shared" si="498"/>
        <v>1.4256000000000002</v>
      </c>
      <c r="E2386" s="355"/>
      <c r="F2386" s="392">
        <f t="shared" ref="F2386" si="499">C2386*0.9</f>
        <v>5.8320000000000007</v>
      </c>
      <c r="G2386" s="392">
        <f>C2386+D2386+E2386+F2386</f>
        <v>13.7376</v>
      </c>
      <c r="H2386" s="392">
        <f t="shared" ref="H2386" si="500">G2386*0.35</f>
        <v>4.80816</v>
      </c>
      <c r="I2386" s="393">
        <f>G2386+H2386</f>
        <v>18.545760000000001</v>
      </c>
      <c r="J2386" s="353"/>
    </row>
    <row r="2387" spans="1:10">
      <c r="A2387" s="350"/>
      <c r="B2387" s="351"/>
      <c r="C2387" s="391"/>
      <c r="D2387" s="392"/>
      <c r="E2387" s="355"/>
      <c r="F2387" s="392"/>
      <c r="G2387" s="392"/>
      <c r="H2387" s="392"/>
      <c r="I2387" s="393"/>
      <c r="J2387" s="353"/>
    </row>
    <row r="2388" spans="1:10" ht="21.75">
      <c r="A2388" s="383" t="s">
        <v>1597</v>
      </c>
      <c r="B2388" s="384"/>
      <c r="C2388" s="412">
        <f>C2389+C2390</f>
        <v>42</v>
      </c>
      <c r="D2388" s="412">
        <f>C2388*0.22</f>
        <v>9.24</v>
      </c>
      <c r="E2388" s="384">
        <v>0.21</v>
      </c>
      <c r="F2388" s="412">
        <f t="shared" ref="F2388" si="501">C2388*0.9</f>
        <v>37.800000000000004</v>
      </c>
      <c r="G2388" s="412">
        <f t="shared" ref="G2388" si="502">C2388+D2388+E2388+F2388</f>
        <v>89.25</v>
      </c>
      <c r="H2388" s="412">
        <f t="shared" ref="H2388" si="503">G2388*0.35</f>
        <v>31.237499999999997</v>
      </c>
      <c r="I2388" s="413">
        <f>+G2388+H2388</f>
        <v>120.4875</v>
      </c>
      <c r="J2388" s="349">
        <f>I2388+I2392+I2391</f>
        <v>151.39709999999999</v>
      </c>
    </row>
    <row r="2389" spans="1:10">
      <c r="A2389" s="463" t="s">
        <v>258</v>
      </c>
      <c r="B2389" s="386">
        <v>40</v>
      </c>
      <c r="C2389" s="386">
        <v>23.2</v>
      </c>
      <c r="D2389" s="392"/>
      <c r="E2389" s="386"/>
      <c r="F2389" s="392"/>
      <c r="G2389" s="392"/>
      <c r="H2389" s="392"/>
      <c r="I2389" s="446"/>
      <c r="J2389" s="380"/>
    </row>
    <row r="2390" spans="1:10">
      <c r="A2390" s="350" t="s">
        <v>337</v>
      </c>
      <c r="B2390" s="386">
        <v>40</v>
      </c>
      <c r="C2390" s="386">
        <v>18.8</v>
      </c>
      <c r="D2390" s="392"/>
      <c r="E2390" s="386"/>
      <c r="F2390" s="392"/>
      <c r="G2390" s="392"/>
      <c r="H2390" s="392"/>
      <c r="I2390" s="446"/>
      <c r="J2390" s="353"/>
    </row>
    <row r="2391" spans="1:10">
      <c r="A2391" s="350" t="s">
        <v>385</v>
      </c>
      <c r="B2391" s="351">
        <v>20</v>
      </c>
      <c r="C2391" s="391">
        <v>10.8</v>
      </c>
      <c r="D2391" s="392">
        <f>C2391*0.22</f>
        <v>2.3760000000000003</v>
      </c>
      <c r="E2391" s="355"/>
      <c r="F2391" s="392">
        <f t="shared" ref="F2391:F2393" si="504">C2391*0.9</f>
        <v>9.7200000000000006</v>
      </c>
      <c r="G2391" s="392">
        <f>C2391+D2391+E2391+F2391</f>
        <v>22.896000000000001</v>
      </c>
      <c r="H2391" s="392">
        <f t="shared" ref="H2391:H2393" si="505">G2391*0.35</f>
        <v>8.0136000000000003</v>
      </c>
      <c r="I2391" s="393">
        <f>G2391+H2391</f>
        <v>30.909600000000001</v>
      </c>
      <c r="J2391" s="353"/>
    </row>
    <row r="2392" spans="1:10">
      <c r="A2392" s="350"/>
      <c r="B2392" s="351"/>
      <c r="C2392" s="391"/>
      <c r="D2392" s="392"/>
      <c r="E2392" s="355"/>
      <c r="F2392" s="392"/>
      <c r="G2392" s="392"/>
      <c r="H2392" s="392"/>
      <c r="I2392" s="393"/>
      <c r="J2392" s="353"/>
    </row>
    <row r="2393" spans="1:10" ht="21.75">
      <c r="A2393" s="383" t="s">
        <v>1598</v>
      </c>
      <c r="B2393" s="384"/>
      <c r="C2393" s="412">
        <f>C2394+C2395</f>
        <v>31.5</v>
      </c>
      <c r="D2393" s="412">
        <f t="shared" ref="D2393" si="506">C2393*0.22</f>
        <v>6.93</v>
      </c>
      <c r="E2393" s="384">
        <v>0.21</v>
      </c>
      <c r="F2393" s="412">
        <f t="shared" si="504"/>
        <v>28.35</v>
      </c>
      <c r="G2393" s="412">
        <f t="shared" ref="G2393" si="507">C2393+D2393+E2393+F2393</f>
        <v>66.990000000000009</v>
      </c>
      <c r="H2393" s="412">
        <f t="shared" si="505"/>
        <v>23.4465</v>
      </c>
      <c r="I2393" s="413">
        <f t="shared" ref="I2393" si="508">+G2393+H2393</f>
        <v>90.436500000000009</v>
      </c>
      <c r="J2393" s="349">
        <f>I2393+I2397+I2396</f>
        <v>113.61870000000002</v>
      </c>
    </row>
    <row r="2394" spans="1:10">
      <c r="A2394" s="423" t="s">
        <v>258</v>
      </c>
      <c r="B2394" s="423">
        <v>30</v>
      </c>
      <c r="C2394" s="423">
        <v>17.399999999999999</v>
      </c>
      <c r="D2394" s="424"/>
      <c r="E2394" s="423"/>
      <c r="F2394" s="424"/>
      <c r="G2394" s="424"/>
      <c r="H2394" s="424"/>
      <c r="I2394" s="425"/>
      <c r="J2394" s="380"/>
    </row>
    <row r="2395" spans="1:10">
      <c r="A2395" s="350" t="s">
        <v>337</v>
      </c>
      <c r="B2395" s="386">
        <v>30</v>
      </c>
      <c r="C2395" s="386">
        <v>14.1</v>
      </c>
      <c r="D2395" s="392"/>
      <c r="E2395" s="386"/>
      <c r="F2395" s="392"/>
      <c r="G2395" s="392"/>
      <c r="H2395" s="392"/>
      <c r="I2395" s="446"/>
      <c r="J2395" s="353"/>
    </row>
    <row r="2396" spans="1:10">
      <c r="A2396" s="350" t="s">
        <v>385</v>
      </c>
      <c r="B2396" s="351">
        <v>15</v>
      </c>
      <c r="C2396" s="391">
        <v>8.1</v>
      </c>
      <c r="D2396" s="392">
        <f>C2396*0.22</f>
        <v>1.782</v>
      </c>
      <c r="E2396" s="355"/>
      <c r="F2396" s="392">
        <f>C2396*0.9</f>
        <v>7.29</v>
      </c>
      <c r="G2396" s="392">
        <f>C2396+D2396+E2396+F2396</f>
        <v>17.172000000000001</v>
      </c>
      <c r="H2396" s="392">
        <f>G2396*0.35</f>
        <v>6.0102000000000002</v>
      </c>
      <c r="I2396" s="393">
        <f>G2396+H2396</f>
        <v>23.182200000000002</v>
      </c>
      <c r="J2396" s="353"/>
    </row>
    <row r="2397" spans="1:10">
      <c r="A2397" s="350"/>
      <c r="B2397" s="351"/>
      <c r="C2397" s="391"/>
      <c r="D2397" s="392"/>
      <c r="E2397" s="355"/>
      <c r="F2397" s="392"/>
      <c r="G2397" s="392"/>
      <c r="H2397" s="392"/>
      <c r="I2397" s="393"/>
      <c r="J2397" s="353"/>
    </row>
    <row r="2398" spans="1:10">
      <c r="A2398" s="445" t="s">
        <v>1599</v>
      </c>
      <c r="B2398" s="384"/>
      <c r="C2398" s="412">
        <f>C2399+C2400</f>
        <v>31.5</v>
      </c>
      <c r="D2398" s="412">
        <f t="shared" ref="D2398" si="509">C2398*0.22</f>
        <v>6.93</v>
      </c>
      <c r="E2398" s="384">
        <v>0.21</v>
      </c>
      <c r="F2398" s="412">
        <f t="shared" ref="F2398" si="510">C2398*0.9</f>
        <v>28.35</v>
      </c>
      <c r="G2398" s="412">
        <f t="shared" ref="G2398" si="511">C2398+D2398+E2398+F2398</f>
        <v>66.990000000000009</v>
      </c>
      <c r="H2398" s="412">
        <f t="shared" ref="H2398" si="512">G2398*0.35</f>
        <v>23.4465</v>
      </c>
      <c r="I2398" s="413">
        <f t="shared" ref="I2398" si="513">+G2398+H2398</f>
        <v>90.436500000000009</v>
      </c>
      <c r="J2398" s="349">
        <f>I2398+I2402+I2401</f>
        <v>113.61870000000002</v>
      </c>
    </row>
    <row r="2399" spans="1:10">
      <c r="A2399" s="423" t="s">
        <v>258</v>
      </c>
      <c r="B2399" s="423">
        <v>30</v>
      </c>
      <c r="C2399" s="423">
        <v>17.399999999999999</v>
      </c>
      <c r="D2399" s="424"/>
      <c r="E2399" s="423"/>
      <c r="F2399" s="424"/>
      <c r="G2399" s="424"/>
      <c r="H2399" s="424"/>
      <c r="I2399" s="425"/>
      <c r="J2399" s="379"/>
    </row>
    <row r="2400" spans="1:10">
      <c r="A2400" s="350" t="s">
        <v>337</v>
      </c>
      <c r="B2400" s="386">
        <v>30</v>
      </c>
      <c r="C2400" s="386">
        <v>14.1</v>
      </c>
      <c r="D2400" s="392"/>
      <c r="E2400" s="386"/>
      <c r="F2400" s="392"/>
      <c r="G2400" s="392"/>
      <c r="H2400" s="392"/>
      <c r="I2400" s="446"/>
      <c r="J2400" s="355"/>
    </row>
    <row r="2401" spans="1:10">
      <c r="A2401" s="350" t="s">
        <v>385</v>
      </c>
      <c r="B2401" s="351">
        <v>15</v>
      </c>
      <c r="C2401" s="391">
        <v>8.1</v>
      </c>
      <c r="D2401" s="392">
        <f>C2401*0.22</f>
        <v>1.782</v>
      </c>
      <c r="E2401" s="355"/>
      <c r="F2401" s="392">
        <f>C2401*0.9</f>
        <v>7.29</v>
      </c>
      <c r="G2401" s="392">
        <f>C2401+D2401+E2401+F2401</f>
        <v>17.172000000000001</v>
      </c>
      <c r="H2401" s="392">
        <f>G2401*0.35</f>
        <v>6.0102000000000002</v>
      </c>
      <c r="I2401" s="393">
        <f>G2401+H2401</f>
        <v>23.182200000000002</v>
      </c>
      <c r="J2401" s="355"/>
    </row>
    <row r="2402" spans="1:10">
      <c r="A2402" s="350"/>
      <c r="B2402" s="351"/>
      <c r="C2402" s="391"/>
      <c r="D2402" s="392"/>
      <c r="E2402" s="355"/>
      <c r="F2402" s="392"/>
      <c r="G2402" s="392"/>
      <c r="H2402" s="392"/>
      <c r="I2402" s="393"/>
      <c r="J2402" s="355"/>
    </row>
    <row r="2403" spans="1:10" ht="12.75">
      <c r="A2403" s="368" t="s">
        <v>1600</v>
      </c>
      <c r="B2403" s="369"/>
      <c r="C2403" s="369"/>
      <c r="D2403" s="369"/>
      <c r="E2403" s="369"/>
      <c r="F2403" s="369"/>
      <c r="G2403" s="369"/>
      <c r="H2403" s="369"/>
      <c r="I2403" s="369"/>
      <c r="J2403" s="370"/>
    </row>
    <row r="2404" spans="1:10">
      <c r="A2404" s="445" t="s">
        <v>1601</v>
      </c>
      <c r="B2404" s="384"/>
      <c r="C2404" s="412">
        <f>C2405+C2406</f>
        <v>31.5</v>
      </c>
      <c r="D2404" s="412">
        <f t="shared" ref="D2404" si="514">C2404*0.22</f>
        <v>6.93</v>
      </c>
      <c r="E2404" s="384">
        <v>0.21</v>
      </c>
      <c r="F2404" s="412">
        <f t="shared" ref="F2404" si="515">C2404*0.9</f>
        <v>28.35</v>
      </c>
      <c r="G2404" s="412">
        <f t="shared" ref="G2404" si="516">C2404+D2404+E2404+F2404</f>
        <v>66.990000000000009</v>
      </c>
      <c r="H2404" s="412">
        <f t="shared" ref="H2404" si="517">G2404*0.35</f>
        <v>23.4465</v>
      </c>
      <c r="I2404" s="413">
        <f t="shared" ref="I2404" si="518">+G2404+H2404</f>
        <v>90.436500000000009</v>
      </c>
      <c r="J2404" s="349">
        <f>I2404+I2408+I2407</f>
        <v>113.61870000000002</v>
      </c>
    </row>
    <row r="2405" spans="1:10">
      <c r="A2405" s="423" t="s">
        <v>258</v>
      </c>
      <c r="B2405" s="423">
        <v>30</v>
      </c>
      <c r="C2405" s="423">
        <v>17.399999999999999</v>
      </c>
      <c r="D2405" s="424"/>
      <c r="E2405" s="423"/>
      <c r="F2405" s="424"/>
      <c r="G2405" s="424"/>
      <c r="H2405" s="424"/>
      <c r="I2405" s="425"/>
      <c r="J2405" s="380"/>
    </row>
    <row r="2406" spans="1:10">
      <c r="A2406" s="350" t="s">
        <v>337</v>
      </c>
      <c r="B2406" s="386">
        <v>30</v>
      </c>
      <c r="C2406" s="386">
        <v>14.1</v>
      </c>
      <c r="D2406" s="392"/>
      <c r="E2406" s="386"/>
      <c r="F2406" s="392"/>
      <c r="G2406" s="392"/>
      <c r="H2406" s="392"/>
      <c r="I2406" s="446"/>
      <c r="J2406" s="353"/>
    </row>
    <row r="2407" spans="1:10">
      <c r="A2407" s="350" t="s">
        <v>385</v>
      </c>
      <c r="B2407" s="351">
        <v>15</v>
      </c>
      <c r="C2407" s="391">
        <v>8.1</v>
      </c>
      <c r="D2407" s="392">
        <f>C2407*0.22</f>
        <v>1.782</v>
      </c>
      <c r="E2407" s="355"/>
      <c r="F2407" s="392">
        <f>C2407*0.9</f>
        <v>7.29</v>
      </c>
      <c r="G2407" s="392">
        <f>C2407+D2407+E2407+F2407</f>
        <v>17.172000000000001</v>
      </c>
      <c r="H2407" s="392">
        <f>G2407*0.35</f>
        <v>6.0102000000000002</v>
      </c>
      <c r="I2407" s="393">
        <f>G2407+H2407</f>
        <v>23.182200000000002</v>
      </c>
      <c r="J2407" s="353"/>
    </row>
    <row r="2408" spans="1:10">
      <c r="A2408" s="350"/>
      <c r="B2408" s="351"/>
      <c r="C2408" s="391"/>
      <c r="D2408" s="392"/>
      <c r="E2408" s="355"/>
      <c r="F2408" s="392"/>
      <c r="G2408" s="392"/>
      <c r="H2408" s="392"/>
      <c r="I2408" s="393"/>
      <c r="J2408" s="353"/>
    </row>
    <row r="2409" spans="1:10">
      <c r="A2409" s="445" t="s">
        <v>1589</v>
      </c>
      <c r="B2409" s="384"/>
      <c r="C2409" s="412">
        <f>C2410+C2411</f>
        <v>31.5</v>
      </c>
      <c r="D2409" s="412">
        <f t="shared" ref="D2409" si="519">C2409*0.22</f>
        <v>6.93</v>
      </c>
      <c r="E2409" s="384">
        <v>0.21</v>
      </c>
      <c r="F2409" s="412">
        <f t="shared" ref="F2409" si="520">C2409*0.9</f>
        <v>28.35</v>
      </c>
      <c r="G2409" s="412">
        <f t="shared" ref="G2409" si="521">C2409+D2409+E2409+F2409</f>
        <v>66.990000000000009</v>
      </c>
      <c r="H2409" s="412">
        <f t="shared" ref="H2409" si="522">G2409*0.35</f>
        <v>23.4465</v>
      </c>
      <c r="I2409" s="413">
        <f t="shared" ref="I2409" si="523">+G2409+H2409</f>
        <v>90.436500000000009</v>
      </c>
      <c r="J2409" s="349">
        <f>I2409+I2413+I2412</f>
        <v>113.61870000000002</v>
      </c>
    </row>
    <row r="2410" spans="1:10">
      <c r="A2410" s="423" t="s">
        <v>258</v>
      </c>
      <c r="B2410" s="423">
        <v>30</v>
      </c>
      <c r="C2410" s="423">
        <v>17.399999999999999</v>
      </c>
      <c r="D2410" s="424"/>
      <c r="E2410" s="423"/>
      <c r="F2410" s="424"/>
      <c r="G2410" s="424"/>
      <c r="H2410" s="424"/>
      <c r="I2410" s="425"/>
      <c r="J2410" s="380"/>
    </row>
    <row r="2411" spans="1:10">
      <c r="A2411" s="350" t="s">
        <v>337</v>
      </c>
      <c r="B2411" s="386">
        <v>30</v>
      </c>
      <c r="C2411" s="386">
        <v>14.1</v>
      </c>
      <c r="D2411" s="392"/>
      <c r="E2411" s="386"/>
      <c r="F2411" s="392"/>
      <c r="G2411" s="392"/>
      <c r="H2411" s="392"/>
      <c r="I2411" s="446"/>
      <c r="J2411" s="353"/>
    </row>
    <row r="2412" spans="1:10">
      <c r="A2412" s="350" t="s">
        <v>385</v>
      </c>
      <c r="B2412" s="351">
        <v>15</v>
      </c>
      <c r="C2412" s="391">
        <v>8.1</v>
      </c>
      <c r="D2412" s="392">
        <f>C2412*0.22</f>
        <v>1.782</v>
      </c>
      <c r="E2412" s="355"/>
      <c r="F2412" s="392">
        <f>C2412*0.9</f>
        <v>7.29</v>
      </c>
      <c r="G2412" s="392">
        <f>C2412+D2412+E2412+F2412</f>
        <v>17.172000000000001</v>
      </c>
      <c r="H2412" s="392">
        <f>G2412*0.35</f>
        <v>6.0102000000000002</v>
      </c>
      <c r="I2412" s="393">
        <f>G2412+H2412</f>
        <v>23.182200000000002</v>
      </c>
      <c r="J2412" s="353"/>
    </row>
    <row r="2413" spans="1:10">
      <c r="A2413" s="350"/>
      <c r="B2413" s="351"/>
      <c r="C2413" s="391"/>
      <c r="D2413" s="392"/>
      <c r="E2413" s="355"/>
      <c r="F2413" s="392"/>
      <c r="G2413" s="392"/>
      <c r="H2413" s="392"/>
      <c r="I2413" s="393"/>
      <c r="J2413" s="353"/>
    </row>
    <row r="2414" spans="1:10">
      <c r="A2414" s="445" t="s">
        <v>1012</v>
      </c>
      <c r="B2414" s="384"/>
      <c r="C2414" s="412">
        <f>C2415+C2416</f>
        <v>31.5</v>
      </c>
      <c r="D2414" s="412">
        <f t="shared" ref="D2414" si="524">C2414*0.22</f>
        <v>6.93</v>
      </c>
      <c r="E2414" s="384">
        <v>0.21</v>
      </c>
      <c r="F2414" s="412">
        <f t="shared" ref="F2414" si="525">C2414*0.9</f>
        <v>28.35</v>
      </c>
      <c r="G2414" s="412">
        <f t="shared" ref="G2414" si="526">C2414+D2414+E2414+F2414</f>
        <v>66.990000000000009</v>
      </c>
      <c r="H2414" s="412">
        <f t="shared" ref="H2414" si="527">G2414*0.35</f>
        <v>23.4465</v>
      </c>
      <c r="I2414" s="413">
        <f t="shared" ref="I2414" si="528">+G2414+H2414</f>
        <v>90.436500000000009</v>
      </c>
      <c r="J2414" s="349">
        <f>I2414+I2418+I2417</f>
        <v>113.61870000000002</v>
      </c>
    </row>
    <row r="2415" spans="1:10">
      <c r="A2415" s="423" t="s">
        <v>258</v>
      </c>
      <c r="B2415" s="423">
        <v>30</v>
      </c>
      <c r="C2415" s="423">
        <v>17.399999999999999</v>
      </c>
      <c r="D2415" s="424"/>
      <c r="E2415" s="423"/>
      <c r="F2415" s="424"/>
      <c r="G2415" s="424"/>
      <c r="H2415" s="424"/>
      <c r="I2415" s="425"/>
      <c r="J2415" s="380"/>
    </row>
    <row r="2416" spans="1:10">
      <c r="A2416" s="350" t="s">
        <v>337</v>
      </c>
      <c r="B2416" s="386">
        <v>30</v>
      </c>
      <c r="C2416" s="386">
        <v>14.1</v>
      </c>
      <c r="D2416" s="392"/>
      <c r="E2416" s="386"/>
      <c r="F2416" s="392"/>
      <c r="G2416" s="392"/>
      <c r="H2416" s="392"/>
      <c r="I2416" s="446"/>
      <c r="J2416" s="353"/>
    </row>
    <row r="2417" spans="1:10">
      <c r="A2417" s="350" t="s">
        <v>385</v>
      </c>
      <c r="B2417" s="351">
        <v>15</v>
      </c>
      <c r="C2417" s="391">
        <v>8.1</v>
      </c>
      <c r="D2417" s="392">
        <f>C2417*0.22</f>
        <v>1.782</v>
      </c>
      <c r="E2417" s="355"/>
      <c r="F2417" s="392">
        <f>C2417*0.9</f>
        <v>7.29</v>
      </c>
      <c r="G2417" s="392">
        <f>C2417+D2417+E2417+F2417</f>
        <v>17.172000000000001</v>
      </c>
      <c r="H2417" s="392">
        <f>G2417*0.35</f>
        <v>6.0102000000000002</v>
      </c>
      <c r="I2417" s="393">
        <f>G2417+H2417</f>
        <v>23.182200000000002</v>
      </c>
      <c r="J2417" s="353"/>
    </row>
    <row r="2418" spans="1:10">
      <c r="A2418" s="350"/>
      <c r="B2418" s="351"/>
      <c r="C2418" s="391"/>
      <c r="D2418" s="392"/>
      <c r="E2418" s="355"/>
      <c r="F2418" s="392"/>
      <c r="G2418" s="392"/>
      <c r="H2418" s="392"/>
      <c r="I2418" s="393"/>
      <c r="J2418" s="353"/>
    </row>
    <row r="2419" spans="1:10" ht="21.75">
      <c r="A2419" s="383" t="s">
        <v>1602</v>
      </c>
      <c r="B2419" s="384"/>
      <c r="C2419" s="412">
        <f>C2420+C2421</f>
        <v>31.5</v>
      </c>
      <c r="D2419" s="412">
        <f t="shared" ref="D2419" si="529">C2419*0.22</f>
        <v>6.93</v>
      </c>
      <c r="E2419" s="384">
        <v>0.21</v>
      </c>
      <c r="F2419" s="412">
        <f t="shared" ref="F2419" si="530">C2419*0.9</f>
        <v>28.35</v>
      </c>
      <c r="G2419" s="412">
        <f t="shared" ref="G2419" si="531">C2419+D2419+E2419+F2419</f>
        <v>66.990000000000009</v>
      </c>
      <c r="H2419" s="412">
        <f t="shared" ref="H2419" si="532">G2419*0.35</f>
        <v>23.4465</v>
      </c>
      <c r="I2419" s="413">
        <f t="shared" ref="I2419" si="533">+G2419+H2419</f>
        <v>90.436500000000009</v>
      </c>
      <c r="J2419" s="349">
        <f>I2419+I2423+I2422</f>
        <v>113.61870000000002</v>
      </c>
    </row>
    <row r="2420" spans="1:10">
      <c r="A2420" s="423" t="s">
        <v>258</v>
      </c>
      <c r="B2420" s="423">
        <v>30</v>
      </c>
      <c r="C2420" s="423">
        <v>17.399999999999999</v>
      </c>
      <c r="D2420" s="424"/>
      <c r="E2420" s="423"/>
      <c r="F2420" s="424"/>
      <c r="G2420" s="424"/>
      <c r="H2420" s="424"/>
      <c r="I2420" s="425"/>
      <c r="J2420" s="380"/>
    </row>
    <row r="2421" spans="1:10">
      <c r="A2421" s="350" t="s">
        <v>337</v>
      </c>
      <c r="B2421" s="386">
        <v>30</v>
      </c>
      <c r="C2421" s="386">
        <v>14.1</v>
      </c>
      <c r="D2421" s="392"/>
      <c r="E2421" s="386"/>
      <c r="F2421" s="392"/>
      <c r="G2421" s="392"/>
      <c r="H2421" s="392"/>
      <c r="I2421" s="446"/>
      <c r="J2421" s="353"/>
    </row>
    <row r="2422" spans="1:10">
      <c r="A2422" s="350" t="s">
        <v>385</v>
      </c>
      <c r="B2422" s="351">
        <v>15</v>
      </c>
      <c r="C2422" s="391">
        <v>8.1</v>
      </c>
      <c r="D2422" s="392">
        <f>C2422*0.22</f>
        <v>1.782</v>
      </c>
      <c r="E2422" s="355"/>
      <c r="F2422" s="392">
        <f>C2422*0.9</f>
        <v>7.29</v>
      </c>
      <c r="G2422" s="392">
        <f>C2422+D2422+E2422+F2422</f>
        <v>17.172000000000001</v>
      </c>
      <c r="H2422" s="392">
        <f>G2422*0.35</f>
        <v>6.0102000000000002</v>
      </c>
      <c r="I2422" s="393">
        <f>G2422+H2422</f>
        <v>23.182200000000002</v>
      </c>
      <c r="J2422" s="353"/>
    </row>
    <row r="2423" spans="1:10">
      <c r="A2423" s="350"/>
      <c r="B2423" s="351"/>
      <c r="C2423" s="391"/>
      <c r="D2423" s="392"/>
      <c r="E2423" s="355"/>
      <c r="F2423" s="392"/>
      <c r="G2423" s="392"/>
      <c r="H2423" s="392"/>
      <c r="I2423" s="393"/>
      <c r="J2423" s="353"/>
    </row>
    <row r="2424" spans="1:10">
      <c r="A2424" s="383" t="s">
        <v>1603</v>
      </c>
      <c r="B2424" s="384"/>
      <c r="C2424" s="412">
        <f>C2425+C2426</f>
        <v>42</v>
      </c>
      <c r="D2424" s="412">
        <f t="shared" ref="D2424" si="534">C2424*0.22</f>
        <v>9.24</v>
      </c>
      <c r="E2424" s="384">
        <v>0.21</v>
      </c>
      <c r="F2424" s="412">
        <f t="shared" ref="F2424" si="535">C2424*0.9</f>
        <v>37.800000000000004</v>
      </c>
      <c r="G2424" s="412">
        <f t="shared" ref="G2424" si="536">C2424+D2424+E2424+F2424</f>
        <v>89.25</v>
      </c>
      <c r="H2424" s="412">
        <f t="shared" ref="H2424" si="537">G2424*0.35</f>
        <v>31.237499999999997</v>
      </c>
      <c r="I2424" s="413">
        <f t="shared" ref="I2424" si="538">+G2424+H2424</f>
        <v>120.4875</v>
      </c>
      <c r="J2424" s="349">
        <f>I2424+I2429+I2427</f>
        <v>151.39709999999999</v>
      </c>
    </row>
    <row r="2425" spans="1:10">
      <c r="A2425" s="423" t="s">
        <v>258</v>
      </c>
      <c r="B2425" s="386">
        <v>40</v>
      </c>
      <c r="C2425" s="386">
        <v>23.2</v>
      </c>
      <c r="D2425" s="392"/>
      <c r="E2425" s="386"/>
      <c r="F2425" s="392"/>
      <c r="G2425" s="392"/>
      <c r="H2425" s="392"/>
      <c r="I2425" s="425"/>
      <c r="J2425" s="379"/>
    </row>
    <row r="2426" spans="1:10">
      <c r="A2426" s="350" t="s">
        <v>337</v>
      </c>
      <c r="B2426" s="386">
        <v>40</v>
      </c>
      <c r="C2426" s="386">
        <v>18.8</v>
      </c>
      <c r="D2426" s="392"/>
      <c r="E2426" s="386"/>
      <c r="F2426" s="392"/>
      <c r="G2426" s="392"/>
      <c r="H2426" s="392"/>
      <c r="I2426" s="446"/>
      <c r="J2426" s="355"/>
    </row>
    <row r="2427" spans="1:10">
      <c r="A2427" s="350" t="s">
        <v>385</v>
      </c>
      <c r="B2427" s="351">
        <v>20</v>
      </c>
      <c r="C2427" s="391">
        <v>10.8</v>
      </c>
      <c r="D2427" s="392">
        <f>C2427*0.22</f>
        <v>2.3760000000000003</v>
      </c>
      <c r="E2427" s="355"/>
      <c r="F2427" s="392">
        <f t="shared" ref="F2427" si="539">C2427*0.9</f>
        <v>9.7200000000000006</v>
      </c>
      <c r="G2427" s="392">
        <f>C2427+D2427+E2427+F2427</f>
        <v>22.896000000000001</v>
      </c>
      <c r="H2427" s="392">
        <f t="shared" ref="H2427" si="540">G2427*0.35</f>
        <v>8.0136000000000003</v>
      </c>
      <c r="I2427" s="393">
        <f>G2427+H2427</f>
        <v>30.909600000000001</v>
      </c>
      <c r="J2427" s="355"/>
    </row>
    <row r="2428" spans="1:10">
      <c r="A2428" s="350"/>
      <c r="B2428" s="351"/>
      <c r="C2428" s="391"/>
      <c r="D2428" s="392"/>
      <c r="E2428" s="355"/>
      <c r="F2428" s="392"/>
      <c r="G2428" s="392"/>
      <c r="H2428" s="392"/>
      <c r="I2428" s="393"/>
      <c r="J2428" s="355"/>
    </row>
    <row r="2429" spans="1:10">
      <c r="A2429" s="481" t="s">
        <v>1604</v>
      </c>
      <c r="B2429" s="482"/>
      <c r="C2429" s="482"/>
      <c r="D2429" s="482"/>
      <c r="E2429" s="482"/>
      <c r="F2429" s="482"/>
      <c r="G2429" s="482"/>
      <c r="H2429" s="482"/>
      <c r="I2429" s="482"/>
      <c r="J2429" s="483"/>
    </row>
    <row r="2430" spans="1:10">
      <c r="A2430" s="358" t="s">
        <v>1605</v>
      </c>
      <c r="B2430" s="359"/>
      <c r="C2430" s="412">
        <f>C2431+C2432</f>
        <v>29.200000000000003</v>
      </c>
      <c r="D2430" s="412">
        <f t="shared" ref="D2430:D2433" si="541">C2430*0.22</f>
        <v>6.4240000000000004</v>
      </c>
      <c r="E2430" s="412">
        <v>0.27</v>
      </c>
      <c r="F2430" s="412">
        <f t="shared" ref="F2430:F2433" si="542">C2430*0.9</f>
        <v>26.280000000000005</v>
      </c>
      <c r="G2430" s="412">
        <f>C2430+D2430+E2430+F2430</f>
        <v>62.174000000000007</v>
      </c>
      <c r="H2430" s="412">
        <f>G2430*0.35</f>
        <v>21.760899999999999</v>
      </c>
      <c r="I2430" s="413">
        <f>G2430+H2430</f>
        <v>83.934899999999999</v>
      </c>
      <c r="J2430" s="349">
        <f>I2430+I2433+I2434</f>
        <v>99.389700000000005</v>
      </c>
    </row>
    <row r="2431" spans="1:10">
      <c r="A2431" s="355" t="s">
        <v>258</v>
      </c>
      <c r="B2431" s="355">
        <v>20</v>
      </c>
      <c r="C2431" s="392">
        <v>16.8</v>
      </c>
      <c r="D2431" s="392">
        <f t="shared" si="541"/>
        <v>3.6960000000000002</v>
      </c>
      <c r="E2431" s="392"/>
      <c r="F2431" s="392">
        <f t="shared" si="542"/>
        <v>15.120000000000001</v>
      </c>
      <c r="G2431" s="392"/>
      <c r="H2431" s="392"/>
      <c r="I2431" s="393"/>
      <c r="J2431" s="353"/>
    </row>
    <row r="2432" spans="1:10">
      <c r="A2432" s="355" t="s">
        <v>337</v>
      </c>
      <c r="B2432" s="355">
        <v>20</v>
      </c>
      <c r="C2432" s="392">
        <v>12.4</v>
      </c>
      <c r="D2432" s="392">
        <f t="shared" si="541"/>
        <v>2.7280000000000002</v>
      </c>
      <c r="E2432" s="392"/>
      <c r="F2432" s="392">
        <f t="shared" si="542"/>
        <v>11.16</v>
      </c>
      <c r="G2432" s="392"/>
      <c r="H2432" s="392"/>
      <c r="I2432" s="393"/>
      <c r="J2432" s="353"/>
    </row>
    <row r="2433" spans="1:10">
      <c r="A2433" s="350" t="s">
        <v>385</v>
      </c>
      <c r="B2433" s="351">
        <v>10</v>
      </c>
      <c r="C2433" s="391">
        <v>5.4</v>
      </c>
      <c r="D2433" s="392">
        <f t="shared" si="541"/>
        <v>1.1880000000000002</v>
      </c>
      <c r="E2433" s="355"/>
      <c r="F2433" s="392">
        <f t="shared" si="542"/>
        <v>4.8600000000000003</v>
      </c>
      <c r="G2433" s="392">
        <f>C2433+D2433+E2433+F2433</f>
        <v>11.448</v>
      </c>
      <c r="H2433" s="392">
        <f>G2433*0.35</f>
        <v>4.0068000000000001</v>
      </c>
      <c r="I2433" s="393">
        <f>G2433+H2433</f>
        <v>15.454800000000001</v>
      </c>
      <c r="J2433" s="353"/>
    </row>
    <row r="2434" spans="1:10">
      <c r="A2434" s="350"/>
      <c r="B2434" s="351"/>
      <c r="C2434" s="391"/>
      <c r="D2434" s="392"/>
      <c r="E2434" s="355"/>
      <c r="F2434" s="392"/>
      <c r="G2434" s="392"/>
      <c r="H2434" s="392"/>
      <c r="I2434" s="393"/>
      <c r="J2434" s="353"/>
    </row>
    <row r="2435" spans="1:10" ht="21.75">
      <c r="A2435" s="373" t="s">
        <v>1606</v>
      </c>
      <c r="B2435" s="359"/>
      <c r="C2435" s="412">
        <f>C2436+C2437</f>
        <v>43.8</v>
      </c>
      <c r="D2435" s="412">
        <f t="shared" ref="D2435:D2438" si="543">C2435*0.22</f>
        <v>9.6359999999999992</v>
      </c>
      <c r="E2435" s="412">
        <v>0.27</v>
      </c>
      <c r="F2435" s="412">
        <f t="shared" ref="F2435:F2438" si="544">C2435*0.9</f>
        <v>39.42</v>
      </c>
      <c r="G2435" s="412">
        <f>C2435+D2435+E2435+F2435</f>
        <v>93.126000000000005</v>
      </c>
      <c r="H2435" s="412">
        <f>G2435*0.35</f>
        <v>32.594099999999997</v>
      </c>
      <c r="I2435" s="413">
        <f>G2435+H2435</f>
        <v>125.7201</v>
      </c>
      <c r="J2435" s="349">
        <f>I2435+I2438+I2439</f>
        <v>141.17490000000001</v>
      </c>
    </row>
    <row r="2436" spans="1:10">
      <c r="A2436" s="355" t="s">
        <v>258</v>
      </c>
      <c r="B2436" s="355">
        <v>30</v>
      </c>
      <c r="C2436" s="392">
        <v>25.2</v>
      </c>
      <c r="D2436" s="392">
        <f t="shared" si="543"/>
        <v>5.5439999999999996</v>
      </c>
      <c r="E2436" s="392"/>
      <c r="F2436" s="392">
        <f t="shared" si="544"/>
        <v>22.68</v>
      </c>
      <c r="G2436" s="392"/>
      <c r="H2436" s="392"/>
      <c r="I2436" s="393"/>
      <c r="J2436" s="353"/>
    </row>
    <row r="2437" spans="1:10">
      <c r="A2437" s="355" t="s">
        <v>337</v>
      </c>
      <c r="B2437" s="355">
        <v>30</v>
      </c>
      <c r="C2437" s="392">
        <v>18.600000000000001</v>
      </c>
      <c r="D2437" s="392">
        <f t="shared" si="543"/>
        <v>4.0920000000000005</v>
      </c>
      <c r="E2437" s="392"/>
      <c r="F2437" s="392">
        <f t="shared" si="544"/>
        <v>16.740000000000002</v>
      </c>
      <c r="G2437" s="392"/>
      <c r="H2437" s="392"/>
      <c r="I2437" s="393"/>
      <c r="J2437" s="353"/>
    </row>
    <row r="2438" spans="1:10">
      <c r="A2438" s="350" t="s">
        <v>385</v>
      </c>
      <c r="B2438" s="351">
        <v>10</v>
      </c>
      <c r="C2438" s="391">
        <v>5.4</v>
      </c>
      <c r="D2438" s="392">
        <f t="shared" si="543"/>
        <v>1.1880000000000002</v>
      </c>
      <c r="E2438" s="355"/>
      <c r="F2438" s="392">
        <f t="shared" si="544"/>
        <v>4.8600000000000003</v>
      </c>
      <c r="G2438" s="392">
        <f>C2438+D2438+E2438+F2438</f>
        <v>11.448</v>
      </c>
      <c r="H2438" s="392">
        <f>G2438*0.35</f>
        <v>4.0068000000000001</v>
      </c>
      <c r="I2438" s="393">
        <f>G2438+H2438</f>
        <v>15.454800000000001</v>
      </c>
      <c r="J2438" s="353"/>
    </row>
    <row r="2439" spans="1:10">
      <c r="A2439" s="350"/>
      <c r="B2439" s="351"/>
      <c r="C2439" s="391"/>
      <c r="D2439" s="392"/>
      <c r="E2439" s="355"/>
      <c r="F2439" s="392"/>
      <c r="G2439" s="392"/>
      <c r="H2439" s="392"/>
      <c r="I2439" s="393"/>
      <c r="J2439" s="353"/>
    </row>
    <row r="2440" spans="1:10">
      <c r="A2440" s="373" t="s">
        <v>1607</v>
      </c>
      <c r="B2440" s="359"/>
      <c r="C2440" s="412">
        <f>C2441+C2442</f>
        <v>21.9</v>
      </c>
      <c r="D2440" s="412">
        <f t="shared" ref="D2440:D2443" si="545">C2440*0.22</f>
        <v>4.8179999999999996</v>
      </c>
      <c r="E2440" s="412">
        <v>0.27</v>
      </c>
      <c r="F2440" s="412">
        <f t="shared" ref="F2440:F2443" si="546">C2440*0.9</f>
        <v>19.71</v>
      </c>
      <c r="G2440" s="412">
        <f>C2440+D2440+E2440+F2440</f>
        <v>46.697999999999993</v>
      </c>
      <c r="H2440" s="412">
        <f>G2440*0.35</f>
        <v>16.344299999999997</v>
      </c>
      <c r="I2440" s="413">
        <f>G2440+H2440</f>
        <v>63.04229999999999</v>
      </c>
      <c r="J2440" s="349">
        <f>I2440+I2443+I2444</f>
        <v>73.860659999999996</v>
      </c>
    </row>
    <row r="2441" spans="1:10">
      <c r="A2441" s="355" t="s">
        <v>258</v>
      </c>
      <c r="B2441" s="355">
        <v>15</v>
      </c>
      <c r="C2441" s="392">
        <v>12.6</v>
      </c>
      <c r="D2441" s="392">
        <f t="shared" si="545"/>
        <v>2.7719999999999998</v>
      </c>
      <c r="E2441" s="392"/>
      <c r="F2441" s="392">
        <f t="shared" si="546"/>
        <v>11.34</v>
      </c>
      <c r="G2441" s="392"/>
      <c r="H2441" s="392"/>
      <c r="I2441" s="393"/>
      <c r="J2441" s="353"/>
    </row>
    <row r="2442" spans="1:10">
      <c r="A2442" s="355" t="s">
        <v>337</v>
      </c>
      <c r="B2442" s="355">
        <v>15</v>
      </c>
      <c r="C2442" s="392">
        <v>9.3000000000000007</v>
      </c>
      <c r="D2442" s="392">
        <f t="shared" si="545"/>
        <v>2.0460000000000003</v>
      </c>
      <c r="E2442" s="392"/>
      <c r="F2442" s="392">
        <f t="shared" si="546"/>
        <v>8.370000000000001</v>
      </c>
      <c r="G2442" s="392"/>
      <c r="H2442" s="392"/>
      <c r="I2442" s="393"/>
      <c r="J2442" s="353"/>
    </row>
    <row r="2443" spans="1:10">
      <c r="A2443" s="350" t="s">
        <v>385</v>
      </c>
      <c r="B2443" s="351">
        <v>7</v>
      </c>
      <c r="C2443" s="391">
        <v>3.78</v>
      </c>
      <c r="D2443" s="392">
        <f t="shared" si="545"/>
        <v>0.83160000000000001</v>
      </c>
      <c r="E2443" s="355"/>
      <c r="F2443" s="392">
        <f t="shared" si="546"/>
        <v>3.4019999999999997</v>
      </c>
      <c r="G2443" s="392">
        <f>C2443+D2443+E2443+F2443</f>
        <v>8.0136000000000003</v>
      </c>
      <c r="H2443" s="392">
        <f>G2443*0.35</f>
        <v>2.8047599999999999</v>
      </c>
      <c r="I2443" s="393">
        <f>G2443+H2443</f>
        <v>10.81836</v>
      </c>
      <c r="J2443" s="353"/>
    </row>
    <row r="2444" spans="1:10">
      <c r="A2444" s="350"/>
      <c r="B2444" s="351"/>
      <c r="C2444" s="391"/>
      <c r="D2444" s="392"/>
      <c r="E2444" s="355"/>
      <c r="F2444" s="392"/>
      <c r="G2444" s="392"/>
      <c r="H2444" s="392"/>
      <c r="I2444" s="393"/>
      <c r="J2444" s="353"/>
    </row>
    <row r="2445" spans="1:10" ht="21.75">
      <c r="A2445" s="373" t="s">
        <v>1608</v>
      </c>
      <c r="B2445" s="359"/>
      <c r="C2445" s="412">
        <f>C2446+C2447</f>
        <v>21.9</v>
      </c>
      <c r="D2445" s="412">
        <f t="shared" ref="D2445:D2448" si="547">C2445*0.22</f>
        <v>4.8179999999999996</v>
      </c>
      <c r="E2445" s="412">
        <v>0.27</v>
      </c>
      <c r="F2445" s="412">
        <f t="shared" ref="F2445:F2448" si="548">C2445*0.9</f>
        <v>19.71</v>
      </c>
      <c r="G2445" s="412">
        <f>C2445+D2445+E2445+F2445</f>
        <v>46.697999999999993</v>
      </c>
      <c r="H2445" s="412">
        <f>G2445*0.35</f>
        <v>16.344299999999997</v>
      </c>
      <c r="I2445" s="413">
        <f>G2445+H2445</f>
        <v>63.04229999999999</v>
      </c>
      <c r="J2445" s="349">
        <f>I2445+I2448+I2449</f>
        <v>73.860659999999996</v>
      </c>
    </row>
    <row r="2446" spans="1:10">
      <c r="A2446" s="355" t="s">
        <v>258</v>
      </c>
      <c r="B2446" s="355">
        <v>15</v>
      </c>
      <c r="C2446" s="392">
        <v>12.6</v>
      </c>
      <c r="D2446" s="392">
        <f t="shared" si="547"/>
        <v>2.7719999999999998</v>
      </c>
      <c r="E2446" s="392"/>
      <c r="F2446" s="392">
        <f t="shared" si="548"/>
        <v>11.34</v>
      </c>
      <c r="G2446" s="392"/>
      <c r="H2446" s="392"/>
      <c r="I2446" s="393"/>
      <c r="J2446" s="353"/>
    </row>
    <row r="2447" spans="1:10">
      <c r="A2447" s="355" t="s">
        <v>337</v>
      </c>
      <c r="B2447" s="355">
        <v>15</v>
      </c>
      <c r="C2447" s="392">
        <v>9.3000000000000007</v>
      </c>
      <c r="D2447" s="392">
        <f t="shared" si="547"/>
        <v>2.0460000000000003</v>
      </c>
      <c r="E2447" s="392"/>
      <c r="F2447" s="392">
        <f t="shared" si="548"/>
        <v>8.370000000000001</v>
      </c>
      <c r="G2447" s="392"/>
      <c r="H2447" s="392"/>
      <c r="I2447" s="393"/>
      <c r="J2447" s="353"/>
    </row>
    <row r="2448" spans="1:10">
      <c r="A2448" s="350" t="s">
        <v>385</v>
      </c>
      <c r="B2448" s="351">
        <v>7</v>
      </c>
      <c r="C2448" s="391">
        <v>3.78</v>
      </c>
      <c r="D2448" s="392">
        <f t="shared" si="547"/>
        <v>0.83160000000000001</v>
      </c>
      <c r="E2448" s="355"/>
      <c r="F2448" s="392">
        <f t="shared" si="548"/>
        <v>3.4019999999999997</v>
      </c>
      <c r="G2448" s="392">
        <f>C2448+D2448+E2448+F2448</f>
        <v>8.0136000000000003</v>
      </c>
      <c r="H2448" s="392">
        <f>G2448*0.35</f>
        <v>2.8047599999999999</v>
      </c>
      <c r="I2448" s="393">
        <f>G2448+H2448</f>
        <v>10.81836</v>
      </c>
      <c r="J2448" s="353"/>
    </row>
    <row r="2449" spans="1:10">
      <c r="A2449" s="350"/>
      <c r="B2449" s="351"/>
      <c r="C2449" s="391"/>
      <c r="D2449" s="392"/>
      <c r="E2449" s="355"/>
      <c r="F2449" s="392"/>
      <c r="G2449" s="392"/>
      <c r="H2449" s="392"/>
      <c r="I2449" s="393"/>
      <c r="J2449" s="353"/>
    </row>
    <row r="2450" spans="1:10">
      <c r="A2450" s="358" t="s">
        <v>1609</v>
      </c>
      <c r="B2450" s="359"/>
      <c r="C2450" s="412">
        <f>C2451+C2452</f>
        <v>21.9</v>
      </c>
      <c r="D2450" s="412">
        <f t="shared" ref="D2450:D2453" si="549">C2450*0.22</f>
        <v>4.8179999999999996</v>
      </c>
      <c r="E2450" s="412">
        <v>0.18</v>
      </c>
      <c r="F2450" s="412">
        <f t="shared" ref="F2450:F2453" si="550">C2450*0.9</f>
        <v>19.71</v>
      </c>
      <c r="G2450" s="412">
        <f>C2450+D2450+E2450+F2450</f>
        <v>46.607999999999997</v>
      </c>
      <c r="H2450" s="412">
        <f>G2450*0.35</f>
        <v>16.312799999999999</v>
      </c>
      <c r="I2450" s="413">
        <f>G2450+H2450</f>
        <v>62.9208</v>
      </c>
      <c r="J2450" s="349">
        <f>I2450+I2453+I2454</f>
        <v>73.739159999999998</v>
      </c>
    </row>
    <row r="2451" spans="1:10">
      <c r="A2451" s="355" t="s">
        <v>258</v>
      </c>
      <c r="B2451" s="355">
        <v>15</v>
      </c>
      <c r="C2451" s="392">
        <v>12.6</v>
      </c>
      <c r="D2451" s="392">
        <f t="shared" si="549"/>
        <v>2.7719999999999998</v>
      </c>
      <c r="E2451" s="392"/>
      <c r="F2451" s="392">
        <f t="shared" si="550"/>
        <v>11.34</v>
      </c>
      <c r="G2451" s="392"/>
      <c r="H2451" s="392"/>
      <c r="I2451" s="393"/>
      <c r="J2451" s="353"/>
    </row>
    <row r="2452" spans="1:10">
      <c r="A2452" s="355" t="s">
        <v>337</v>
      </c>
      <c r="B2452" s="355">
        <v>15</v>
      </c>
      <c r="C2452" s="392">
        <v>9.3000000000000007</v>
      </c>
      <c r="D2452" s="392">
        <f t="shared" si="549"/>
        <v>2.0460000000000003</v>
      </c>
      <c r="E2452" s="392"/>
      <c r="F2452" s="392">
        <f t="shared" si="550"/>
        <v>8.370000000000001</v>
      </c>
      <c r="G2452" s="392"/>
      <c r="H2452" s="392"/>
      <c r="I2452" s="393"/>
      <c r="J2452" s="353"/>
    </row>
    <row r="2453" spans="1:10">
      <c r="A2453" s="350" t="s">
        <v>385</v>
      </c>
      <c r="B2453" s="351">
        <v>7</v>
      </c>
      <c r="C2453" s="391">
        <v>3.78</v>
      </c>
      <c r="D2453" s="392">
        <f t="shared" si="549"/>
        <v>0.83160000000000001</v>
      </c>
      <c r="E2453" s="355"/>
      <c r="F2453" s="392">
        <f t="shared" si="550"/>
        <v>3.4019999999999997</v>
      </c>
      <c r="G2453" s="392">
        <f>C2453+D2453+E2453+F2453</f>
        <v>8.0136000000000003</v>
      </c>
      <c r="H2453" s="392">
        <f>G2453*0.35</f>
        <v>2.8047599999999999</v>
      </c>
      <c r="I2453" s="393">
        <f>G2453+H2453</f>
        <v>10.81836</v>
      </c>
      <c r="J2453" s="353"/>
    </row>
    <row r="2454" spans="1:10">
      <c r="A2454" s="350"/>
      <c r="B2454" s="351"/>
      <c r="C2454" s="391"/>
      <c r="D2454" s="392"/>
      <c r="E2454" s="355"/>
      <c r="F2454" s="392"/>
      <c r="G2454" s="392"/>
      <c r="H2454" s="392"/>
      <c r="I2454" s="393"/>
      <c r="J2454" s="353"/>
    </row>
    <row r="2455" spans="1:10">
      <c r="A2455" s="358" t="s">
        <v>1610</v>
      </c>
      <c r="B2455" s="359"/>
      <c r="C2455" s="412">
        <f>C2456+C2457</f>
        <v>36.5</v>
      </c>
      <c r="D2455" s="412">
        <f t="shared" ref="D2455:D2458" si="551">C2455*0.22</f>
        <v>8.0299999999999994</v>
      </c>
      <c r="E2455" s="412">
        <v>0.27</v>
      </c>
      <c r="F2455" s="412">
        <f t="shared" ref="F2455:F2458" si="552">C2455*0.9</f>
        <v>32.85</v>
      </c>
      <c r="G2455" s="412">
        <f>C2455+D2455+E2455+F2455</f>
        <v>77.650000000000006</v>
      </c>
      <c r="H2455" s="412">
        <f>G2455*0.35</f>
        <v>27.177500000000002</v>
      </c>
      <c r="I2455" s="413">
        <f>G2455+H2455</f>
        <v>104.82750000000001</v>
      </c>
      <c r="J2455" s="349">
        <f>I2455+I2458+I2459</f>
        <v>123.37326000000002</v>
      </c>
    </row>
    <row r="2456" spans="1:10">
      <c r="A2456" s="355" t="s">
        <v>258</v>
      </c>
      <c r="B2456" s="355">
        <v>25</v>
      </c>
      <c r="C2456" s="392">
        <v>21</v>
      </c>
      <c r="D2456" s="392">
        <f t="shared" si="551"/>
        <v>4.62</v>
      </c>
      <c r="E2456" s="392"/>
      <c r="F2456" s="392">
        <f t="shared" si="552"/>
        <v>18.900000000000002</v>
      </c>
      <c r="G2456" s="392"/>
      <c r="H2456" s="392"/>
      <c r="I2456" s="393"/>
      <c r="J2456" s="353"/>
    </row>
    <row r="2457" spans="1:10">
      <c r="A2457" s="355" t="s">
        <v>337</v>
      </c>
      <c r="B2457" s="355">
        <v>25</v>
      </c>
      <c r="C2457" s="392">
        <v>15.5</v>
      </c>
      <c r="D2457" s="392">
        <f t="shared" si="551"/>
        <v>3.41</v>
      </c>
      <c r="E2457" s="392"/>
      <c r="F2457" s="392">
        <f t="shared" si="552"/>
        <v>13.950000000000001</v>
      </c>
      <c r="G2457" s="392"/>
      <c r="H2457" s="392"/>
      <c r="I2457" s="393"/>
      <c r="J2457" s="353"/>
    </row>
    <row r="2458" spans="1:10">
      <c r="A2458" s="350" t="s">
        <v>385</v>
      </c>
      <c r="B2458" s="351">
        <v>12</v>
      </c>
      <c r="C2458" s="391">
        <v>6.48</v>
      </c>
      <c r="D2458" s="392">
        <f t="shared" si="551"/>
        <v>1.4256000000000002</v>
      </c>
      <c r="E2458" s="355"/>
      <c r="F2458" s="392">
        <f t="shared" si="552"/>
        <v>5.8320000000000007</v>
      </c>
      <c r="G2458" s="392">
        <f>C2458+D2458+E2458+F2458</f>
        <v>13.7376</v>
      </c>
      <c r="H2458" s="392">
        <f>G2458*0.35</f>
        <v>4.80816</v>
      </c>
      <c r="I2458" s="393">
        <f>G2458+H2458</f>
        <v>18.545760000000001</v>
      </c>
      <c r="J2458" s="353"/>
    </row>
    <row r="2459" spans="1:10">
      <c r="A2459" s="350"/>
      <c r="B2459" s="351"/>
      <c r="C2459" s="391"/>
      <c r="D2459" s="392"/>
      <c r="E2459" s="355"/>
      <c r="F2459" s="392"/>
      <c r="G2459" s="392"/>
      <c r="H2459" s="392"/>
      <c r="I2459" s="393"/>
      <c r="J2459" s="353"/>
    </row>
    <row r="2460" spans="1:10">
      <c r="A2460" s="373" t="s">
        <v>1611</v>
      </c>
      <c r="B2460" s="359"/>
      <c r="C2460" s="412">
        <f>C2461+C2462</f>
        <v>80.300000000000011</v>
      </c>
      <c r="D2460" s="412">
        <f t="shared" ref="D2460:D2463" si="553">C2460*0.22</f>
        <v>17.666000000000004</v>
      </c>
      <c r="E2460" s="412">
        <v>0.27</v>
      </c>
      <c r="F2460" s="412">
        <f t="shared" ref="F2460:F2463" si="554">C2460*0.9</f>
        <v>72.27000000000001</v>
      </c>
      <c r="G2460" s="412">
        <f>C2460+D2460+E2460+F2460</f>
        <v>170.50600000000003</v>
      </c>
      <c r="H2460" s="412">
        <f>G2460*0.35</f>
        <v>59.677100000000003</v>
      </c>
      <c r="I2460" s="413">
        <f>G2460+H2460</f>
        <v>230.18310000000002</v>
      </c>
      <c r="J2460" s="349">
        <f>I2460+I2463+I2464</f>
        <v>268.82010000000002</v>
      </c>
    </row>
    <row r="2461" spans="1:10">
      <c r="A2461" s="355" t="s">
        <v>258</v>
      </c>
      <c r="B2461" s="355">
        <v>55</v>
      </c>
      <c r="C2461" s="392">
        <v>46.2</v>
      </c>
      <c r="D2461" s="392">
        <f t="shared" si="553"/>
        <v>10.164000000000001</v>
      </c>
      <c r="E2461" s="392"/>
      <c r="F2461" s="392">
        <f t="shared" si="554"/>
        <v>41.580000000000005</v>
      </c>
      <c r="G2461" s="392"/>
      <c r="H2461" s="392"/>
      <c r="I2461" s="393"/>
      <c r="J2461" s="355"/>
    </row>
    <row r="2462" spans="1:10">
      <c r="A2462" s="355" t="s">
        <v>337</v>
      </c>
      <c r="B2462" s="355">
        <v>55</v>
      </c>
      <c r="C2462" s="392">
        <v>34.1</v>
      </c>
      <c r="D2462" s="392">
        <f t="shared" si="553"/>
        <v>7.5020000000000007</v>
      </c>
      <c r="E2462" s="392"/>
      <c r="F2462" s="392">
        <f t="shared" si="554"/>
        <v>30.69</v>
      </c>
      <c r="G2462" s="392"/>
      <c r="H2462" s="392"/>
      <c r="I2462" s="393"/>
      <c r="J2462" s="355"/>
    </row>
    <row r="2463" spans="1:10">
      <c r="A2463" s="350" t="s">
        <v>385</v>
      </c>
      <c r="B2463" s="351">
        <v>25</v>
      </c>
      <c r="C2463" s="391">
        <v>13.5</v>
      </c>
      <c r="D2463" s="392">
        <f t="shared" si="553"/>
        <v>2.97</v>
      </c>
      <c r="E2463" s="355"/>
      <c r="F2463" s="392">
        <f t="shared" si="554"/>
        <v>12.15</v>
      </c>
      <c r="G2463" s="392">
        <f>C2463+D2463+E2463+F2463</f>
        <v>28.619999999999997</v>
      </c>
      <c r="H2463" s="392">
        <f>G2463*0.35</f>
        <v>10.016999999999998</v>
      </c>
      <c r="I2463" s="393">
        <f>G2463+H2463</f>
        <v>38.636999999999993</v>
      </c>
      <c r="J2463" s="355"/>
    </row>
    <row r="2464" spans="1:10">
      <c r="A2464" s="484"/>
      <c r="B2464" s="485"/>
      <c r="C2464" s="486"/>
      <c r="D2464" s="487"/>
      <c r="E2464" s="488"/>
      <c r="F2464" s="487"/>
      <c r="G2464" s="487"/>
      <c r="H2464" s="487"/>
      <c r="I2464" s="489"/>
      <c r="J2464" s="488"/>
    </row>
    <row r="2465" spans="1:10" ht="12.75">
      <c r="A2465" s="415" t="s">
        <v>1612</v>
      </c>
      <c r="B2465" s="416"/>
      <c r="C2465" s="416"/>
      <c r="D2465" s="416"/>
      <c r="E2465" s="416"/>
      <c r="F2465" s="416"/>
      <c r="G2465" s="416"/>
      <c r="H2465" s="416"/>
      <c r="I2465" s="416"/>
      <c r="J2465" s="417"/>
    </row>
    <row r="2466" spans="1:10">
      <c r="A2466" s="373" t="s">
        <v>1613</v>
      </c>
      <c r="B2466" s="384"/>
      <c r="C2466" s="412">
        <f>C2467+C2468</f>
        <v>14.7</v>
      </c>
      <c r="D2466" s="412">
        <f>C2466*0.22</f>
        <v>3.234</v>
      </c>
      <c r="E2466" s="384">
        <v>20</v>
      </c>
      <c r="F2466" s="412">
        <f t="shared" ref="F2466" si="555">C2466*0.9</f>
        <v>13.23</v>
      </c>
      <c r="G2466" s="412">
        <f>C2466+D2466+E2466+F2466</f>
        <v>51.164000000000001</v>
      </c>
      <c r="H2466" s="412">
        <f t="shared" ref="H2466" si="556">G2466*0.35</f>
        <v>17.907399999999999</v>
      </c>
      <c r="I2466" s="413">
        <f>G2466+H2466</f>
        <v>69.071399999999997</v>
      </c>
      <c r="J2466" s="349">
        <f>I2466+I2469+I2470</f>
        <v>76.7988</v>
      </c>
    </row>
    <row r="2467" spans="1:10">
      <c r="A2467" s="422" t="s">
        <v>1386</v>
      </c>
      <c r="B2467" s="423">
        <v>10</v>
      </c>
      <c r="C2467" s="424">
        <v>8.9</v>
      </c>
      <c r="D2467" s="424"/>
      <c r="E2467" s="423"/>
      <c r="F2467" s="424"/>
      <c r="G2467" s="424"/>
      <c r="H2467" s="424"/>
      <c r="I2467" s="425"/>
      <c r="J2467" s="380"/>
    </row>
    <row r="2468" spans="1:10">
      <c r="A2468" s="426" t="s">
        <v>1387</v>
      </c>
      <c r="B2468" s="386">
        <v>10</v>
      </c>
      <c r="C2468" s="392">
        <v>5.8</v>
      </c>
      <c r="D2468" s="386"/>
      <c r="E2468" s="386"/>
      <c r="F2468" s="392"/>
      <c r="G2468" s="386"/>
      <c r="H2468" s="392"/>
      <c r="I2468" s="427"/>
      <c r="J2468" s="381"/>
    </row>
    <row r="2469" spans="1:10">
      <c r="A2469" s="350" t="s">
        <v>385</v>
      </c>
      <c r="B2469" s="351">
        <v>5</v>
      </c>
      <c r="C2469" s="391">
        <v>2.7</v>
      </c>
      <c r="D2469" s="392">
        <f>C2469*0.22</f>
        <v>0.59400000000000008</v>
      </c>
      <c r="E2469" s="355"/>
      <c r="F2469" s="392">
        <f t="shared" ref="F2469" si="557">C2469*0.9</f>
        <v>2.4300000000000002</v>
      </c>
      <c r="G2469" s="392">
        <f>C2469+D2469+E2469+F2469</f>
        <v>5.7240000000000002</v>
      </c>
      <c r="H2469" s="392">
        <f t="shared" ref="H2469" si="558">G2469*0.35</f>
        <v>2.0034000000000001</v>
      </c>
      <c r="I2469" s="393">
        <f>G2469+H2469</f>
        <v>7.7274000000000003</v>
      </c>
      <c r="J2469" s="381"/>
    </row>
    <row r="2470" spans="1:10">
      <c r="A2470" s="350"/>
      <c r="B2470" s="351"/>
      <c r="C2470" s="391"/>
      <c r="D2470" s="392"/>
      <c r="E2470" s="355"/>
      <c r="F2470" s="392"/>
      <c r="G2470" s="392"/>
      <c r="H2470" s="392"/>
      <c r="I2470" s="393"/>
      <c r="J2470" s="381"/>
    </row>
    <row r="2471" spans="1:10">
      <c r="A2471" s="373" t="s">
        <v>1416</v>
      </c>
      <c r="B2471" s="384"/>
      <c r="C2471" s="412">
        <f>C2472+C2473</f>
        <v>7.35</v>
      </c>
      <c r="D2471" s="412">
        <f>C2471*0.22</f>
        <v>1.617</v>
      </c>
      <c r="E2471" s="384">
        <v>20</v>
      </c>
      <c r="F2471" s="412">
        <f t="shared" ref="F2471" si="559">C2471*0.9</f>
        <v>6.6150000000000002</v>
      </c>
      <c r="G2471" s="412">
        <f>C2471+D2471+E2471+F2471</f>
        <v>35.582000000000001</v>
      </c>
      <c r="H2471" s="412">
        <f t="shared" ref="H2471" si="560">G2471*0.35</f>
        <v>12.4537</v>
      </c>
      <c r="I2471" s="413">
        <f>G2471+H2471</f>
        <v>48.035699999999999</v>
      </c>
      <c r="J2471" s="349">
        <f>I2471+I2474+I2475</f>
        <v>51.126660000000001</v>
      </c>
    </row>
    <row r="2472" spans="1:10">
      <c r="A2472" s="422" t="s">
        <v>1386</v>
      </c>
      <c r="B2472" s="423">
        <v>5</v>
      </c>
      <c r="C2472" s="424">
        <v>4.45</v>
      </c>
      <c r="D2472" s="424"/>
      <c r="E2472" s="423"/>
      <c r="F2472" s="424"/>
      <c r="G2472" s="424"/>
      <c r="H2472" s="424"/>
      <c r="I2472" s="425"/>
      <c r="J2472" s="380"/>
    </row>
    <row r="2473" spans="1:10">
      <c r="A2473" s="426" t="s">
        <v>1387</v>
      </c>
      <c r="B2473" s="386">
        <v>5</v>
      </c>
      <c r="C2473" s="392">
        <v>2.9</v>
      </c>
      <c r="D2473" s="386"/>
      <c r="E2473" s="386"/>
      <c r="F2473" s="392"/>
      <c r="G2473" s="386"/>
      <c r="H2473" s="392"/>
      <c r="I2473" s="427"/>
      <c r="J2473" s="381"/>
    </row>
    <row r="2474" spans="1:10">
      <c r="A2474" s="350" t="s">
        <v>385</v>
      </c>
      <c r="B2474" s="351">
        <v>2</v>
      </c>
      <c r="C2474" s="391">
        <v>1.08</v>
      </c>
      <c r="D2474" s="392">
        <f>C2474*0.22</f>
        <v>0.23760000000000001</v>
      </c>
      <c r="E2474" s="355"/>
      <c r="F2474" s="392">
        <f t="shared" ref="F2474:F2476" si="561">C2474*0.9</f>
        <v>0.97200000000000009</v>
      </c>
      <c r="G2474" s="392">
        <f>C2474+D2474+E2474+F2474</f>
        <v>2.2896000000000001</v>
      </c>
      <c r="H2474" s="392">
        <f t="shared" ref="H2474:H2476" si="562">G2474*0.35</f>
        <v>0.80135999999999996</v>
      </c>
      <c r="I2474" s="393">
        <f>G2474+H2474</f>
        <v>3.0909599999999999</v>
      </c>
      <c r="J2474" s="381"/>
    </row>
    <row r="2475" spans="1:10">
      <c r="A2475" s="350"/>
      <c r="B2475" s="351"/>
      <c r="C2475" s="391"/>
      <c r="D2475" s="392"/>
      <c r="E2475" s="355"/>
      <c r="F2475" s="392"/>
      <c r="G2475" s="392"/>
      <c r="H2475" s="392"/>
      <c r="I2475" s="393"/>
      <c r="J2475" s="381"/>
    </row>
    <row r="2476" spans="1:10">
      <c r="A2476" s="373" t="s">
        <v>1401</v>
      </c>
      <c r="B2476" s="384"/>
      <c r="C2476" s="412">
        <f>C2477+C2478</f>
        <v>29.4</v>
      </c>
      <c r="D2476" s="412">
        <f>C2476*0.22</f>
        <v>6.468</v>
      </c>
      <c r="E2476" s="384">
        <v>20</v>
      </c>
      <c r="F2476" s="412">
        <f t="shared" si="561"/>
        <v>26.46</v>
      </c>
      <c r="G2476" s="412">
        <f>C2476+D2476+E2476+F2476</f>
        <v>82.328000000000003</v>
      </c>
      <c r="H2476" s="412">
        <f t="shared" si="562"/>
        <v>28.814799999999998</v>
      </c>
      <c r="I2476" s="413">
        <f>G2476+H2476</f>
        <v>111.14279999999999</v>
      </c>
      <c r="J2476" s="349">
        <f>I2476+I2479+I2480</f>
        <v>126.5976</v>
      </c>
    </row>
    <row r="2477" spans="1:10">
      <c r="A2477" s="422" t="s">
        <v>1386</v>
      </c>
      <c r="B2477" s="423">
        <v>20</v>
      </c>
      <c r="C2477" s="424">
        <v>17.8</v>
      </c>
      <c r="D2477" s="424"/>
      <c r="E2477" s="423"/>
      <c r="F2477" s="424"/>
      <c r="G2477" s="424"/>
      <c r="H2477" s="424"/>
      <c r="I2477" s="425"/>
      <c r="J2477" s="380"/>
    </row>
    <row r="2478" spans="1:10">
      <c r="A2478" s="426" t="s">
        <v>1387</v>
      </c>
      <c r="B2478" s="386">
        <v>20</v>
      </c>
      <c r="C2478" s="392">
        <v>11.6</v>
      </c>
      <c r="D2478" s="386"/>
      <c r="E2478" s="386"/>
      <c r="F2478" s="392"/>
      <c r="G2478" s="386"/>
      <c r="H2478" s="392"/>
      <c r="I2478" s="427"/>
      <c r="J2478" s="381"/>
    </row>
    <row r="2479" spans="1:10">
      <c r="A2479" s="350" t="s">
        <v>385</v>
      </c>
      <c r="B2479" s="351">
        <v>10</v>
      </c>
      <c r="C2479" s="391">
        <v>5.4</v>
      </c>
      <c r="D2479" s="392">
        <f>C2479*0.22</f>
        <v>1.1880000000000002</v>
      </c>
      <c r="E2479" s="355"/>
      <c r="F2479" s="392">
        <f t="shared" ref="F2479" si="563">C2479*0.9</f>
        <v>4.8600000000000003</v>
      </c>
      <c r="G2479" s="392">
        <f>C2479+D2479+E2479+F2479</f>
        <v>11.448</v>
      </c>
      <c r="H2479" s="392">
        <f t="shared" ref="H2479" si="564">G2479*0.35</f>
        <v>4.0068000000000001</v>
      </c>
      <c r="I2479" s="393">
        <f>G2479+H2479</f>
        <v>15.454800000000001</v>
      </c>
      <c r="J2479" s="381"/>
    </row>
    <row r="2480" spans="1:10">
      <c r="A2480" s="377"/>
      <c r="B2480" s="351"/>
      <c r="C2480" s="391"/>
      <c r="D2480" s="392"/>
      <c r="E2480" s="355"/>
      <c r="F2480" s="392"/>
      <c r="G2480" s="392"/>
      <c r="H2480" s="392"/>
      <c r="I2480" s="393"/>
      <c r="J2480" s="381"/>
    </row>
    <row r="2481" spans="1:10">
      <c r="A2481" s="373" t="s">
        <v>1402</v>
      </c>
      <c r="B2481" s="384"/>
      <c r="C2481" s="412">
        <f>C2482+C2483</f>
        <v>22.049999999999997</v>
      </c>
      <c r="D2481" s="412">
        <f>C2481*0.22</f>
        <v>4.8509999999999991</v>
      </c>
      <c r="E2481" s="384">
        <v>25</v>
      </c>
      <c r="F2481" s="412">
        <f t="shared" ref="F2481" si="565">C2481*0.9</f>
        <v>19.844999999999999</v>
      </c>
      <c r="G2481" s="412">
        <f>C2481+D2481+E2481+F2481</f>
        <v>71.745999999999995</v>
      </c>
      <c r="H2481" s="412">
        <f t="shared" ref="H2481" si="566">G2481*0.35</f>
        <v>25.111099999999997</v>
      </c>
      <c r="I2481" s="413">
        <f>G2481+H2481</f>
        <v>96.857099999999988</v>
      </c>
      <c r="J2481" s="349">
        <f>I2481+I2484+I2485</f>
        <v>107.67545999999999</v>
      </c>
    </row>
    <row r="2482" spans="1:10">
      <c r="A2482" s="422" t="s">
        <v>1386</v>
      </c>
      <c r="B2482" s="423">
        <v>15</v>
      </c>
      <c r="C2482" s="424">
        <v>13.35</v>
      </c>
      <c r="D2482" s="424"/>
      <c r="E2482" s="423"/>
      <c r="F2482" s="424"/>
      <c r="G2482" s="424"/>
      <c r="H2482" s="424"/>
      <c r="I2482" s="425"/>
      <c r="J2482" s="380"/>
    </row>
    <row r="2483" spans="1:10">
      <c r="A2483" s="426" t="s">
        <v>1387</v>
      </c>
      <c r="B2483" s="386">
        <v>15</v>
      </c>
      <c r="C2483" s="392">
        <v>8.6999999999999993</v>
      </c>
      <c r="D2483" s="386"/>
      <c r="E2483" s="386"/>
      <c r="F2483" s="392"/>
      <c r="G2483" s="386"/>
      <c r="H2483" s="392"/>
      <c r="I2483" s="427"/>
      <c r="J2483" s="381"/>
    </row>
    <row r="2484" spans="1:10">
      <c r="A2484" s="350" t="s">
        <v>385</v>
      </c>
      <c r="B2484" s="351">
        <v>7</v>
      </c>
      <c r="C2484" s="391">
        <v>3.78</v>
      </c>
      <c r="D2484" s="392">
        <f>C2484*0.22</f>
        <v>0.83160000000000001</v>
      </c>
      <c r="E2484" s="355"/>
      <c r="F2484" s="392">
        <f t="shared" ref="F2484:F2486" si="567">C2484*0.9</f>
        <v>3.4019999999999997</v>
      </c>
      <c r="G2484" s="392">
        <f>C2484+D2484+E2484+F2484</f>
        <v>8.0136000000000003</v>
      </c>
      <c r="H2484" s="392">
        <f t="shared" ref="H2484:H2486" si="568">G2484*0.35</f>
        <v>2.8047599999999999</v>
      </c>
      <c r="I2484" s="393">
        <f>G2484+H2484</f>
        <v>10.81836</v>
      </c>
      <c r="J2484" s="381"/>
    </row>
    <row r="2485" spans="1:10">
      <c r="A2485" s="350"/>
      <c r="B2485" s="351"/>
      <c r="C2485" s="391"/>
      <c r="D2485" s="392"/>
      <c r="E2485" s="355"/>
      <c r="F2485" s="392"/>
      <c r="G2485" s="392"/>
      <c r="H2485" s="392"/>
      <c r="I2485" s="393"/>
      <c r="J2485" s="381"/>
    </row>
    <row r="2486" spans="1:10">
      <c r="A2486" s="373" t="s">
        <v>1405</v>
      </c>
      <c r="B2486" s="384"/>
      <c r="C2486" s="412">
        <f>C2487+C2488</f>
        <v>29.4</v>
      </c>
      <c r="D2486" s="412">
        <f>C2486*0.22</f>
        <v>6.468</v>
      </c>
      <c r="E2486" s="384">
        <v>25</v>
      </c>
      <c r="F2486" s="412">
        <f t="shared" si="567"/>
        <v>26.46</v>
      </c>
      <c r="G2486" s="412">
        <f>C2486+D2486+E2486+F2486</f>
        <v>87.328000000000003</v>
      </c>
      <c r="H2486" s="412">
        <f t="shared" si="568"/>
        <v>30.564799999999998</v>
      </c>
      <c r="I2486" s="413">
        <f>G2486+H2486</f>
        <v>117.89279999999999</v>
      </c>
      <c r="J2486" s="349">
        <f>I2486+I2489+I2490</f>
        <v>133.3476</v>
      </c>
    </row>
    <row r="2487" spans="1:10">
      <c r="A2487" s="422" t="s">
        <v>1386</v>
      </c>
      <c r="B2487" s="423">
        <v>20</v>
      </c>
      <c r="C2487" s="424">
        <v>17.8</v>
      </c>
      <c r="D2487" s="424"/>
      <c r="E2487" s="423"/>
      <c r="F2487" s="424"/>
      <c r="G2487" s="424"/>
      <c r="H2487" s="424"/>
      <c r="I2487" s="425"/>
      <c r="J2487" s="380"/>
    </row>
    <row r="2488" spans="1:10">
      <c r="A2488" s="426" t="s">
        <v>1387</v>
      </c>
      <c r="B2488" s="386">
        <v>20</v>
      </c>
      <c r="C2488" s="392">
        <v>11.6</v>
      </c>
      <c r="D2488" s="386"/>
      <c r="E2488" s="386"/>
      <c r="F2488" s="392"/>
      <c r="G2488" s="386"/>
      <c r="H2488" s="392"/>
      <c r="I2488" s="427"/>
      <c r="J2488" s="381"/>
    </row>
    <row r="2489" spans="1:10">
      <c r="A2489" s="350" t="s">
        <v>385</v>
      </c>
      <c r="B2489" s="351">
        <v>10</v>
      </c>
      <c r="C2489" s="391">
        <v>5.4</v>
      </c>
      <c r="D2489" s="392">
        <f>C2489*0.22</f>
        <v>1.1880000000000002</v>
      </c>
      <c r="E2489" s="355"/>
      <c r="F2489" s="392">
        <f t="shared" ref="F2489" si="569">C2489*0.9</f>
        <v>4.8600000000000003</v>
      </c>
      <c r="G2489" s="392">
        <f>C2489+D2489+E2489+F2489</f>
        <v>11.448</v>
      </c>
      <c r="H2489" s="392">
        <f t="shared" ref="H2489" si="570">G2489*0.35</f>
        <v>4.0068000000000001</v>
      </c>
      <c r="I2489" s="393">
        <f>G2489+H2489</f>
        <v>15.454800000000001</v>
      </c>
      <c r="J2489" s="381"/>
    </row>
    <row r="2490" spans="1:10">
      <c r="A2490" s="350"/>
      <c r="B2490" s="351"/>
      <c r="C2490" s="391"/>
      <c r="D2490" s="392"/>
      <c r="E2490" s="355"/>
      <c r="F2490" s="392"/>
      <c r="G2490" s="392"/>
      <c r="H2490" s="392"/>
      <c r="I2490" s="393"/>
      <c r="J2490" s="381"/>
    </row>
    <row r="2491" spans="1:10">
      <c r="A2491" s="373" t="s">
        <v>1614</v>
      </c>
      <c r="B2491" s="384"/>
      <c r="C2491" s="412">
        <f>C2492+C2493</f>
        <v>22.049999999999997</v>
      </c>
      <c r="D2491" s="412">
        <f>C2491*0.22</f>
        <v>4.8509999999999991</v>
      </c>
      <c r="E2491" s="384">
        <v>25</v>
      </c>
      <c r="F2491" s="412">
        <f t="shared" ref="F2491" si="571">C2491*0.9</f>
        <v>19.844999999999999</v>
      </c>
      <c r="G2491" s="412">
        <f>C2491+D2491+E2491+F2491</f>
        <v>71.745999999999995</v>
      </c>
      <c r="H2491" s="412">
        <f t="shared" ref="H2491" si="572">G2491*0.35</f>
        <v>25.111099999999997</v>
      </c>
      <c r="I2491" s="413">
        <f>G2491+H2491</f>
        <v>96.857099999999988</v>
      </c>
      <c r="J2491" s="349">
        <f>I2491+I2494+I2495</f>
        <v>107.67545999999999</v>
      </c>
    </row>
    <row r="2492" spans="1:10">
      <c r="A2492" s="422" t="s">
        <v>1386</v>
      </c>
      <c r="B2492" s="423">
        <v>15</v>
      </c>
      <c r="C2492" s="424">
        <v>13.35</v>
      </c>
      <c r="D2492" s="424"/>
      <c r="E2492" s="423"/>
      <c r="F2492" s="424"/>
      <c r="G2492" s="424"/>
      <c r="H2492" s="424"/>
      <c r="I2492" s="425"/>
      <c r="J2492" s="380"/>
    </row>
    <row r="2493" spans="1:10">
      <c r="A2493" s="426" t="s">
        <v>1387</v>
      </c>
      <c r="B2493" s="386">
        <v>15</v>
      </c>
      <c r="C2493" s="392">
        <v>8.6999999999999993</v>
      </c>
      <c r="D2493" s="386"/>
      <c r="E2493" s="386"/>
      <c r="F2493" s="392"/>
      <c r="G2493" s="386"/>
      <c r="H2493" s="392"/>
      <c r="I2493" s="427"/>
      <c r="J2493" s="381"/>
    </row>
    <row r="2494" spans="1:10">
      <c r="A2494" s="350" t="s">
        <v>385</v>
      </c>
      <c r="B2494" s="351">
        <v>7</v>
      </c>
      <c r="C2494" s="391">
        <v>3.78</v>
      </c>
      <c r="D2494" s="392">
        <f>C2494*0.22</f>
        <v>0.83160000000000001</v>
      </c>
      <c r="E2494" s="355"/>
      <c r="F2494" s="392">
        <f t="shared" ref="F2494:F2496" si="573">C2494*0.9</f>
        <v>3.4019999999999997</v>
      </c>
      <c r="G2494" s="392">
        <f>C2494+D2494+E2494+F2494</f>
        <v>8.0136000000000003</v>
      </c>
      <c r="H2494" s="392">
        <f t="shared" ref="H2494:H2496" si="574">G2494*0.35</f>
        <v>2.8047599999999999</v>
      </c>
      <c r="I2494" s="393">
        <f>G2494+H2494</f>
        <v>10.81836</v>
      </c>
      <c r="J2494" s="381"/>
    </row>
    <row r="2495" spans="1:10">
      <c r="A2495" s="350"/>
      <c r="B2495" s="351"/>
      <c r="C2495" s="391"/>
      <c r="D2495" s="392"/>
      <c r="E2495" s="355"/>
      <c r="F2495" s="392"/>
      <c r="G2495" s="392"/>
      <c r="H2495" s="392"/>
      <c r="I2495" s="393"/>
      <c r="J2495" s="381"/>
    </row>
    <row r="2496" spans="1:10">
      <c r="A2496" s="373" t="s">
        <v>1404</v>
      </c>
      <c r="B2496" s="384"/>
      <c r="C2496" s="412">
        <f>C2497+C2498</f>
        <v>29.4</v>
      </c>
      <c r="D2496" s="412">
        <f>C2496*0.22</f>
        <v>6.468</v>
      </c>
      <c r="E2496" s="384">
        <v>25</v>
      </c>
      <c r="F2496" s="412">
        <f t="shared" si="573"/>
        <v>26.46</v>
      </c>
      <c r="G2496" s="412">
        <f>C2496+D2496+E2496+F2496</f>
        <v>87.328000000000003</v>
      </c>
      <c r="H2496" s="412">
        <f t="shared" si="574"/>
        <v>30.564799999999998</v>
      </c>
      <c r="I2496" s="413">
        <f>G2496+H2496</f>
        <v>117.89279999999999</v>
      </c>
      <c r="J2496" s="349">
        <f>I2496+I2499+I2500</f>
        <v>133.3476</v>
      </c>
    </row>
    <row r="2497" spans="1:10">
      <c r="A2497" s="422" t="s">
        <v>1386</v>
      </c>
      <c r="B2497" s="423">
        <v>20</v>
      </c>
      <c r="C2497" s="424">
        <v>17.8</v>
      </c>
      <c r="D2497" s="424"/>
      <c r="E2497" s="423"/>
      <c r="F2497" s="424"/>
      <c r="G2497" s="424"/>
      <c r="H2497" s="424"/>
      <c r="I2497" s="425"/>
      <c r="J2497" s="380"/>
    </row>
    <row r="2498" spans="1:10">
      <c r="A2498" s="426" t="s">
        <v>1387</v>
      </c>
      <c r="B2498" s="386">
        <v>20</v>
      </c>
      <c r="C2498" s="392">
        <v>11.6</v>
      </c>
      <c r="D2498" s="386"/>
      <c r="E2498" s="386"/>
      <c r="F2498" s="392"/>
      <c r="G2498" s="386"/>
      <c r="H2498" s="392"/>
      <c r="I2498" s="427"/>
      <c r="J2498" s="381"/>
    </row>
    <row r="2499" spans="1:10">
      <c r="A2499" s="350" t="s">
        <v>385</v>
      </c>
      <c r="B2499" s="351">
        <v>10</v>
      </c>
      <c r="C2499" s="391">
        <v>5.4</v>
      </c>
      <c r="D2499" s="392">
        <f>C2499*0.22</f>
        <v>1.1880000000000002</v>
      </c>
      <c r="E2499" s="355"/>
      <c r="F2499" s="392">
        <f t="shared" ref="F2499:F2501" si="575">C2499*0.9</f>
        <v>4.8600000000000003</v>
      </c>
      <c r="G2499" s="392">
        <f>C2499+D2499+E2499+F2499</f>
        <v>11.448</v>
      </c>
      <c r="H2499" s="392">
        <f t="shared" ref="H2499:H2501" si="576">G2499*0.35</f>
        <v>4.0068000000000001</v>
      </c>
      <c r="I2499" s="393">
        <f>G2499+H2499</f>
        <v>15.454800000000001</v>
      </c>
      <c r="J2499" s="381"/>
    </row>
    <row r="2500" spans="1:10">
      <c r="A2500" s="350"/>
      <c r="B2500" s="351"/>
      <c r="C2500" s="391"/>
      <c r="D2500" s="392"/>
      <c r="E2500" s="355"/>
      <c r="F2500" s="392"/>
      <c r="G2500" s="392"/>
      <c r="H2500" s="392"/>
      <c r="I2500" s="393"/>
      <c r="J2500" s="381"/>
    </row>
    <row r="2501" spans="1:10">
      <c r="A2501" s="373" t="s">
        <v>1403</v>
      </c>
      <c r="B2501" s="384"/>
      <c r="C2501" s="412">
        <f>C2502+C2503</f>
        <v>29.4</v>
      </c>
      <c r="D2501" s="412">
        <f>C2501*0.22</f>
        <v>6.468</v>
      </c>
      <c r="E2501" s="384">
        <v>25</v>
      </c>
      <c r="F2501" s="412">
        <f t="shared" si="575"/>
        <v>26.46</v>
      </c>
      <c r="G2501" s="412">
        <f>C2501+D2501+E2501+F2501</f>
        <v>87.328000000000003</v>
      </c>
      <c r="H2501" s="412">
        <f t="shared" si="576"/>
        <v>30.564799999999998</v>
      </c>
      <c r="I2501" s="413">
        <f>G2501+H2501</f>
        <v>117.89279999999999</v>
      </c>
      <c r="J2501" s="349">
        <f>I2501+I2504+I2505</f>
        <v>133.3476</v>
      </c>
    </row>
    <row r="2502" spans="1:10">
      <c r="A2502" s="422" t="s">
        <v>1386</v>
      </c>
      <c r="B2502" s="423">
        <v>20</v>
      </c>
      <c r="C2502" s="424">
        <v>17.8</v>
      </c>
      <c r="D2502" s="424"/>
      <c r="E2502" s="423"/>
      <c r="F2502" s="424"/>
      <c r="G2502" s="424"/>
      <c r="H2502" s="424"/>
      <c r="I2502" s="425"/>
      <c r="J2502" s="380"/>
    </row>
    <row r="2503" spans="1:10">
      <c r="A2503" s="426" t="s">
        <v>1387</v>
      </c>
      <c r="B2503" s="386">
        <v>20</v>
      </c>
      <c r="C2503" s="392">
        <v>11.6</v>
      </c>
      <c r="D2503" s="386"/>
      <c r="E2503" s="386"/>
      <c r="F2503" s="392"/>
      <c r="G2503" s="386"/>
      <c r="H2503" s="392"/>
      <c r="I2503" s="427"/>
      <c r="J2503" s="381"/>
    </row>
    <row r="2504" spans="1:10">
      <c r="A2504" s="350" t="s">
        <v>385</v>
      </c>
      <c r="B2504" s="351">
        <v>10</v>
      </c>
      <c r="C2504" s="391">
        <v>5.4</v>
      </c>
      <c r="D2504" s="392">
        <f>C2504*0.22</f>
        <v>1.1880000000000002</v>
      </c>
      <c r="E2504" s="355"/>
      <c r="F2504" s="392">
        <f t="shared" ref="F2504" si="577">C2504*0.9</f>
        <v>4.8600000000000003</v>
      </c>
      <c r="G2504" s="392">
        <f>C2504+D2504+E2504+F2504</f>
        <v>11.448</v>
      </c>
      <c r="H2504" s="392">
        <f t="shared" ref="H2504" si="578">G2504*0.35</f>
        <v>4.0068000000000001</v>
      </c>
      <c r="I2504" s="393">
        <f>G2504+H2504</f>
        <v>15.454800000000001</v>
      </c>
      <c r="J2504" s="381"/>
    </row>
    <row r="2505" spans="1:10">
      <c r="A2505" s="350"/>
      <c r="B2505" s="351"/>
      <c r="C2505" s="391"/>
      <c r="D2505" s="392"/>
      <c r="E2505" s="355"/>
      <c r="F2505" s="392"/>
      <c r="G2505" s="392"/>
      <c r="H2505" s="392"/>
      <c r="I2505" s="393"/>
      <c r="J2505" s="381"/>
    </row>
    <row r="2506" spans="1:10">
      <c r="A2506" s="373" t="s">
        <v>1615</v>
      </c>
      <c r="B2506" s="384"/>
      <c r="C2506" s="412">
        <f>C2507+C2508</f>
        <v>22.049999999999997</v>
      </c>
      <c r="D2506" s="412">
        <f>C2506*0.22</f>
        <v>4.8509999999999991</v>
      </c>
      <c r="E2506" s="384">
        <v>103</v>
      </c>
      <c r="F2506" s="412">
        <f t="shared" ref="F2506" si="579">C2506*0.9</f>
        <v>19.844999999999999</v>
      </c>
      <c r="G2506" s="412">
        <f>C2506+D2506+E2506+F2506</f>
        <v>149.74600000000001</v>
      </c>
      <c r="H2506" s="412">
        <f t="shared" ref="H2506" si="580">G2506*0.35</f>
        <v>52.411099999999998</v>
      </c>
      <c r="I2506" s="413">
        <f>G2506+H2506</f>
        <v>202.15710000000001</v>
      </c>
      <c r="J2506" s="349">
        <f>I2506+I2509+I2510</f>
        <v>212.97546000000003</v>
      </c>
    </row>
    <row r="2507" spans="1:10">
      <c r="A2507" s="422" t="s">
        <v>1386</v>
      </c>
      <c r="B2507" s="423">
        <v>15</v>
      </c>
      <c r="C2507" s="424">
        <v>13.35</v>
      </c>
      <c r="D2507" s="424"/>
      <c r="E2507" s="423"/>
      <c r="F2507" s="424"/>
      <c r="G2507" s="424"/>
      <c r="H2507" s="424"/>
      <c r="I2507" s="425"/>
      <c r="J2507" s="379"/>
    </row>
    <row r="2508" spans="1:10">
      <c r="A2508" s="426" t="s">
        <v>1387</v>
      </c>
      <c r="B2508" s="386">
        <v>15</v>
      </c>
      <c r="C2508" s="392">
        <v>8.6999999999999993</v>
      </c>
      <c r="D2508" s="386"/>
      <c r="E2508" s="386"/>
      <c r="F2508" s="392"/>
      <c r="G2508" s="386"/>
      <c r="H2508" s="392"/>
      <c r="I2508" s="427"/>
      <c r="J2508" s="408"/>
    </row>
    <row r="2509" spans="1:10">
      <c r="A2509" s="350" t="s">
        <v>385</v>
      </c>
      <c r="B2509" s="351">
        <v>7</v>
      </c>
      <c r="C2509" s="391">
        <v>3.78</v>
      </c>
      <c r="D2509" s="392">
        <f>C2509*0.22</f>
        <v>0.83160000000000001</v>
      </c>
      <c r="E2509" s="355"/>
      <c r="F2509" s="392">
        <f t="shared" ref="F2509:F2511" si="581">C2509*0.9</f>
        <v>3.4019999999999997</v>
      </c>
      <c r="G2509" s="392">
        <f>C2509+D2509+E2509+F2509</f>
        <v>8.0136000000000003</v>
      </c>
      <c r="H2509" s="392">
        <f t="shared" ref="H2509:H2511" si="582">G2509*0.35</f>
        <v>2.8047599999999999</v>
      </c>
      <c r="I2509" s="393">
        <f>G2509+H2509</f>
        <v>10.81836</v>
      </c>
      <c r="J2509" s="408"/>
    </row>
    <row r="2510" spans="1:10">
      <c r="A2510" s="350"/>
      <c r="B2510" s="351"/>
      <c r="C2510" s="391"/>
      <c r="D2510" s="392"/>
      <c r="E2510" s="355"/>
      <c r="F2510" s="392"/>
      <c r="G2510" s="392"/>
      <c r="H2510" s="392"/>
      <c r="I2510" s="393"/>
      <c r="J2510" s="408"/>
    </row>
    <row r="2511" spans="1:10">
      <c r="A2511" s="373" t="s">
        <v>1616</v>
      </c>
      <c r="B2511" s="384"/>
      <c r="C2511" s="412">
        <f>C2512+C2513</f>
        <v>22.049999999999997</v>
      </c>
      <c r="D2511" s="412">
        <f>C2511*0.22</f>
        <v>4.8509999999999991</v>
      </c>
      <c r="E2511" s="384">
        <v>25</v>
      </c>
      <c r="F2511" s="412">
        <f t="shared" si="581"/>
        <v>19.844999999999999</v>
      </c>
      <c r="G2511" s="412">
        <f>C2511+D2511+E2511+F2511</f>
        <v>71.745999999999995</v>
      </c>
      <c r="H2511" s="412">
        <f t="shared" si="582"/>
        <v>25.111099999999997</v>
      </c>
      <c r="I2511" s="413">
        <f>G2511+H2511</f>
        <v>96.857099999999988</v>
      </c>
      <c r="J2511" s="349">
        <f>I2511+I2514+I2515</f>
        <v>107.67545999999999</v>
      </c>
    </row>
    <row r="2512" spans="1:10">
      <c r="A2512" s="422" t="s">
        <v>1386</v>
      </c>
      <c r="B2512" s="423">
        <v>15</v>
      </c>
      <c r="C2512" s="424">
        <v>13.35</v>
      </c>
      <c r="D2512" s="424"/>
      <c r="E2512" s="423"/>
      <c r="F2512" s="424"/>
      <c r="G2512" s="424"/>
      <c r="H2512" s="424"/>
      <c r="I2512" s="425"/>
      <c r="J2512" s="380"/>
    </row>
    <row r="2513" spans="1:10">
      <c r="A2513" s="426" t="s">
        <v>1387</v>
      </c>
      <c r="B2513" s="386">
        <v>15</v>
      </c>
      <c r="C2513" s="392">
        <v>8.6999999999999993</v>
      </c>
      <c r="D2513" s="386"/>
      <c r="E2513" s="386"/>
      <c r="F2513" s="392"/>
      <c r="G2513" s="386"/>
      <c r="H2513" s="392"/>
      <c r="I2513" s="427"/>
      <c r="J2513" s="381"/>
    </row>
    <row r="2514" spans="1:10">
      <c r="A2514" s="350" t="s">
        <v>385</v>
      </c>
      <c r="B2514" s="351">
        <v>7</v>
      </c>
      <c r="C2514" s="391">
        <v>3.78</v>
      </c>
      <c r="D2514" s="392">
        <f>C2514*0.22</f>
        <v>0.83160000000000001</v>
      </c>
      <c r="E2514" s="355"/>
      <c r="F2514" s="392">
        <f t="shared" ref="F2514:F2516" si="583">C2514*0.9</f>
        <v>3.4019999999999997</v>
      </c>
      <c r="G2514" s="392">
        <f>C2514+D2514+E2514+F2514</f>
        <v>8.0136000000000003</v>
      </c>
      <c r="H2514" s="392">
        <f t="shared" ref="H2514:H2516" si="584">G2514*0.35</f>
        <v>2.8047599999999999</v>
      </c>
      <c r="I2514" s="393">
        <f>G2514+H2514</f>
        <v>10.81836</v>
      </c>
      <c r="J2514" s="381"/>
    </row>
    <row r="2515" spans="1:10">
      <c r="A2515" s="350"/>
      <c r="B2515" s="351"/>
      <c r="C2515" s="391"/>
      <c r="D2515" s="392"/>
      <c r="E2515" s="355"/>
      <c r="F2515" s="392"/>
      <c r="G2515" s="392"/>
      <c r="H2515" s="392"/>
      <c r="I2515" s="393"/>
      <c r="J2515" s="381"/>
    </row>
    <row r="2516" spans="1:10">
      <c r="A2516" s="373" t="s">
        <v>1391</v>
      </c>
      <c r="B2516" s="384"/>
      <c r="C2516" s="412">
        <f>C2517+C2518</f>
        <v>14.7</v>
      </c>
      <c r="D2516" s="412">
        <f>C2516*0.22</f>
        <v>3.234</v>
      </c>
      <c r="E2516" s="384">
        <v>15</v>
      </c>
      <c r="F2516" s="412">
        <f t="shared" si="583"/>
        <v>13.23</v>
      </c>
      <c r="G2516" s="412">
        <f>C2516+D2516+E2516+F2516</f>
        <v>46.164000000000001</v>
      </c>
      <c r="H2516" s="412">
        <f t="shared" si="584"/>
        <v>16.157399999999999</v>
      </c>
      <c r="I2516" s="413">
        <f>G2516+H2516</f>
        <v>62.321399999999997</v>
      </c>
      <c r="J2516" s="349">
        <f>I2516+I2519+I2520</f>
        <v>70.0488</v>
      </c>
    </row>
    <row r="2517" spans="1:10">
      <c r="A2517" s="422" t="s">
        <v>1386</v>
      </c>
      <c r="B2517" s="423">
        <v>10</v>
      </c>
      <c r="C2517" s="424">
        <v>8.9</v>
      </c>
      <c r="D2517" s="424"/>
      <c r="E2517" s="423"/>
      <c r="F2517" s="424"/>
      <c r="G2517" s="424"/>
      <c r="H2517" s="424"/>
      <c r="I2517" s="425"/>
      <c r="J2517" s="380"/>
    </row>
    <row r="2518" spans="1:10">
      <c r="A2518" s="426" t="s">
        <v>1387</v>
      </c>
      <c r="B2518" s="386">
        <v>10</v>
      </c>
      <c r="C2518" s="392">
        <v>5.8</v>
      </c>
      <c r="D2518" s="386"/>
      <c r="E2518" s="386"/>
      <c r="F2518" s="392"/>
      <c r="G2518" s="386"/>
      <c r="H2518" s="392"/>
      <c r="I2518" s="427"/>
      <c r="J2518" s="381"/>
    </row>
    <row r="2519" spans="1:10">
      <c r="A2519" s="350" t="s">
        <v>385</v>
      </c>
      <c r="B2519" s="351">
        <v>5</v>
      </c>
      <c r="C2519" s="391">
        <v>2.7</v>
      </c>
      <c r="D2519" s="392">
        <f>C2519*0.22</f>
        <v>0.59400000000000008</v>
      </c>
      <c r="E2519" s="355"/>
      <c r="F2519" s="392">
        <f t="shared" ref="F2519:F2521" si="585">C2519*0.9</f>
        <v>2.4300000000000002</v>
      </c>
      <c r="G2519" s="392">
        <f>C2519+D2519+E2519+F2519</f>
        <v>5.7240000000000002</v>
      </c>
      <c r="H2519" s="392">
        <f t="shared" ref="H2519:H2521" si="586">G2519*0.35</f>
        <v>2.0034000000000001</v>
      </c>
      <c r="I2519" s="393">
        <f>G2519+H2519</f>
        <v>7.7274000000000003</v>
      </c>
      <c r="J2519" s="381"/>
    </row>
    <row r="2520" spans="1:10">
      <c r="A2520" s="350"/>
      <c r="B2520" s="351"/>
      <c r="C2520" s="391"/>
      <c r="D2520" s="392"/>
      <c r="E2520" s="355"/>
      <c r="F2520" s="392"/>
      <c r="G2520" s="392"/>
      <c r="H2520" s="392"/>
      <c r="I2520" s="393"/>
      <c r="J2520" s="381"/>
    </row>
    <row r="2521" spans="1:10">
      <c r="A2521" s="373" t="s">
        <v>1455</v>
      </c>
      <c r="B2521" s="384"/>
      <c r="C2521" s="412">
        <f>C2522+C2523</f>
        <v>22.049999999999997</v>
      </c>
      <c r="D2521" s="412">
        <f>C2521*0.22</f>
        <v>4.8509999999999991</v>
      </c>
      <c r="E2521" s="384">
        <v>90</v>
      </c>
      <c r="F2521" s="412">
        <f t="shared" si="585"/>
        <v>19.844999999999999</v>
      </c>
      <c r="G2521" s="412">
        <f>C2521+D2521+E2521+F2521</f>
        <v>136.74599999999998</v>
      </c>
      <c r="H2521" s="412">
        <f t="shared" si="586"/>
        <v>47.861099999999993</v>
      </c>
      <c r="I2521" s="413">
        <f>G2521+H2521</f>
        <v>184.60709999999997</v>
      </c>
      <c r="J2521" s="349">
        <f>I2521+I2524+I2525</f>
        <v>195.42545999999999</v>
      </c>
    </row>
    <row r="2522" spans="1:10">
      <c r="A2522" s="422" t="s">
        <v>1386</v>
      </c>
      <c r="B2522" s="423">
        <v>15</v>
      </c>
      <c r="C2522" s="424">
        <v>13.35</v>
      </c>
      <c r="D2522" s="424"/>
      <c r="E2522" s="423"/>
      <c r="F2522" s="424"/>
      <c r="G2522" s="424"/>
      <c r="H2522" s="424"/>
      <c r="I2522" s="425"/>
      <c r="J2522" s="380"/>
    </row>
    <row r="2523" spans="1:10">
      <c r="A2523" s="426" t="s">
        <v>1387</v>
      </c>
      <c r="B2523" s="386">
        <v>15</v>
      </c>
      <c r="C2523" s="392">
        <v>8.6999999999999993</v>
      </c>
      <c r="D2523" s="386"/>
      <c r="E2523" s="386"/>
      <c r="F2523" s="392"/>
      <c r="G2523" s="386"/>
      <c r="H2523" s="392"/>
      <c r="I2523" s="427"/>
      <c r="J2523" s="381"/>
    </row>
    <row r="2524" spans="1:10">
      <c r="A2524" s="350" t="s">
        <v>385</v>
      </c>
      <c r="B2524" s="351">
        <v>7</v>
      </c>
      <c r="C2524" s="391">
        <v>3.78</v>
      </c>
      <c r="D2524" s="392">
        <f>C2524*0.22</f>
        <v>0.83160000000000001</v>
      </c>
      <c r="E2524" s="355"/>
      <c r="F2524" s="392">
        <f t="shared" ref="F2524" si="587">C2524*0.9</f>
        <v>3.4019999999999997</v>
      </c>
      <c r="G2524" s="392">
        <f>C2524+D2524+E2524+F2524</f>
        <v>8.0136000000000003</v>
      </c>
      <c r="H2524" s="392">
        <f t="shared" ref="H2524" si="588">G2524*0.35</f>
        <v>2.8047599999999999</v>
      </c>
      <c r="I2524" s="393">
        <f>G2524+H2524</f>
        <v>10.81836</v>
      </c>
      <c r="J2524" s="381"/>
    </row>
    <row r="2525" spans="1:10">
      <c r="A2525" s="350"/>
      <c r="B2525" s="351"/>
      <c r="C2525" s="391"/>
      <c r="D2525" s="392"/>
      <c r="E2525" s="355"/>
      <c r="F2525" s="392"/>
      <c r="G2525" s="392"/>
      <c r="H2525" s="392"/>
      <c r="I2525" s="393"/>
      <c r="J2525" s="381"/>
    </row>
    <row r="2526" spans="1:10">
      <c r="A2526" s="373" t="s">
        <v>1617</v>
      </c>
      <c r="B2526" s="384"/>
      <c r="C2526" s="412">
        <f>C2527+C2528</f>
        <v>29.4</v>
      </c>
      <c r="D2526" s="412">
        <f>C2526*0.22</f>
        <v>6.468</v>
      </c>
      <c r="E2526" s="384">
        <v>88</v>
      </c>
      <c r="F2526" s="412">
        <f t="shared" ref="F2526" si="589">C2526*0.9</f>
        <v>26.46</v>
      </c>
      <c r="G2526" s="412">
        <f>C2526+D2526+E2526+F2526</f>
        <v>150.328</v>
      </c>
      <c r="H2526" s="412">
        <f t="shared" ref="H2526" si="590">G2526*0.35</f>
        <v>52.614799999999995</v>
      </c>
      <c r="I2526" s="413">
        <f>G2526+H2526</f>
        <v>202.94280000000001</v>
      </c>
      <c r="J2526" s="349">
        <f>I2526+I2529+I2530</f>
        <v>218.39760000000001</v>
      </c>
    </row>
    <row r="2527" spans="1:10">
      <c r="A2527" s="422" t="s">
        <v>1386</v>
      </c>
      <c r="B2527" s="423">
        <v>20</v>
      </c>
      <c r="C2527" s="424">
        <v>17.8</v>
      </c>
      <c r="D2527" s="424"/>
      <c r="E2527" s="423"/>
      <c r="F2527" s="424"/>
      <c r="G2527" s="424"/>
      <c r="H2527" s="424"/>
      <c r="I2527" s="425"/>
      <c r="J2527" s="380"/>
    </row>
    <row r="2528" spans="1:10">
      <c r="A2528" s="426" t="s">
        <v>1387</v>
      </c>
      <c r="B2528" s="386">
        <v>20</v>
      </c>
      <c r="C2528" s="392">
        <v>11.6</v>
      </c>
      <c r="D2528" s="386"/>
      <c r="E2528" s="386"/>
      <c r="F2528" s="392"/>
      <c r="G2528" s="386"/>
      <c r="H2528" s="392"/>
      <c r="I2528" s="427"/>
      <c r="J2528" s="381"/>
    </row>
    <row r="2529" spans="1:10">
      <c r="A2529" s="350" t="s">
        <v>385</v>
      </c>
      <c r="B2529" s="351">
        <v>10</v>
      </c>
      <c r="C2529" s="391">
        <v>5.4</v>
      </c>
      <c r="D2529" s="392">
        <f>C2529*0.22</f>
        <v>1.1880000000000002</v>
      </c>
      <c r="E2529" s="355"/>
      <c r="F2529" s="392">
        <f t="shared" ref="F2529:F2531" si="591">C2529*0.9</f>
        <v>4.8600000000000003</v>
      </c>
      <c r="G2529" s="392">
        <f>C2529+D2529+E2529+F2529</f>
        <v>11.448</v>
      </c>
      <c r="H2529" s="392">
        <f t="shared" ref="H2529:H2531" si="592">G2529*0.35</f>
        <v>4.0068000000000001</v>
      </c>
      <c r="I2529" s="393">
        <f>G2529+H2529</f>
        <v>15.454800000000001</v>
      </c>
      <c r="J2529" s="381"/>
    </row>
    <row r="2530" spans="1:10">
      <c r="A2530" s="350"/>
      <c r="B2530" s="351"/>
      <c r="C2530" s="391"/>
      <c r="D2530" s="392"/>
      <c r="E2530" s="355"/>
      <c r="F2530" s="392"/>
      <c r="G2530" s="392"/>
      <c r="H2530" s="392"/>
      <c r="I2530" s="393"/>
      <c r="J2530" s="381"/>
    </row>
    <row r="2531" spans="1:10" ht="21.75">
      <c r="A2531" s="373" t="s">
        <v>1618</v>
      </c>
      <c r="B2531" s="384"/>
      <c r="C2531" s="412">
        <f>C2532+C2533</f>
        <v>22.049999999999997</v>
      </c>
      <c r="D2531" s="412">
        <f>C2531*0.22</f>
        <v>4.8509999999999991</v>
      </c>
      <c r="E2531" s="384">
        <v>20</v>
      </c>
      <c r="F2531" s="412">
        <f t="shared" si="591"/>
        <v>19.844999999999999</v>
      </c>
      <c r="G2531" s="412">
        <f>C2531+D2531+E2531+F2531</f>
        <v>66.745999999999995</v>
      </c>
      <c r="H2531" s="412">
        <f t="shared" si="592"/>
        <v>23.361099999999997</v>
      </c>
      <c r="I2531" s="413">
        <f>G2531+H2531</f>
        <v>90.107099999999988</v>
      </c>
      <c r="J2531" s="349">
        <f>I2531+I2534+I2535</f>
        <v>100.92545999999999</v>
      </c>
    </row>
    <row r="2532" spans="1:10">
      <c r="A2532" s="422" t="s">
        <v>1386</v>
      </c>
      <c r="B2532" s="423">
        <v>15</v>
      </c>
      <c r="C2532" s="424">
        <v>13.35</v>
      </c>
      <c r="D2532" s="424"/>
      <c r="E2532" s="423"/>
      <c r="F2532" s="424"/>
      <c r="G2532" s="424"/>
      <c r="H2532" s="424"/>
      <c r="I2532" s="425"/>
      <c r="J2532" s="380"/>
    </row>
    <row r="2533" spans="1:10">
      <c r="A2533" s="426" t="s">
        <v>1387</v>
      </c>
      <c r="B2533" s="386">
        <v>15</v>
      </c>
      <c r="C2533" s="392">
        <v>8.6999999999999993</v>
      </c>
      <c r="D2533" s="386"/>
      <c r="E2533" s="386"/>
      <c r="F2533" s="392"/>
      <c r="G2533" s="386"/>
      <c r="H2533" s="392"/>
      <c r="I2533" s="427"/>
      <c r="J2533" s="381"/>
    </row>
    <row r="2534" spans="1:10">
      <c r="A2534" s="350" t="s">
        <v>385</v>
      </c>
      <c r="B2534" s="351">
        <v>7</v>
      </c>
      <c r="C2534" s="391">
        <v>3.78</v>
      </c>
      <c r="D2534" s="392">
        <f>C2534*0.22</f>
        <v>0.83160000000000001</v>
      </c>
      <c r="E2534" s="355"/>
      <c r="F2534" s="392">
        <f t="shared" ref="F2534" si="593">C2534*0.9</f>
        <v>3.4019999999999997</v>
      </c>
      <c r="G2534" s="392">
        <f>C2534+D2534+E2534+F2534</f>
        <v>8.0136000000000003</v>
      </c>
      <c r="H2534" s="392">
        <f t="shared" ref="H2534" si="594">G2534*0.35</f>
        <v>2.8047599999999999</v>
      </c>
      <c r="I2534" s="393">
        <f>G2534+H2534</f>
        <v>10.81836</v>
      </c>
      <c r="J2534" s="381"/>
    </row>
    <row r="2535" spans="1:10">
      <c r="A2535" s="350"/>
      <c r="B2535" s="351"/>
      <c r="C2535" s="391"/>
      <c r="D2535" s="392"/>
      <c r="E2535" s="355"/>
      <c r="F2535" s="392"/>
      <c r="G2535" s="392"/>
      <c r="H2535" s="392"/>
      <c r="I2535" s="393"/>
      <c r="J2535" s="381"/>
    </row>
    <row r="2536" spans="1:10">
      <c r="A2536" s="373" t="s">
        <v>1619</v>
      </c>
      <c r="B2536" s="384"/>
      <c r="C2536" s="412">
        <f>C2537+C2538</f>
        <v>29.4</v>
      </c>
      <c r="D2536" s="412">
        <f>C2536*0.22</f>
        <v>6.468</v>
      </c>
      <c r="E2536" s="384">
        <v>20</v>
      </c>
      <c r="F2536" s="412">
        <f t="shared" ref="F2536" si="595">C2536*0.9</f>
        <v>26.46</v>
      </c>
      <c r="G2536" s="412">
        <f>C2536+D2536+E2536+F2536</f>
        <v>82.328000000000003</v>
      </c>
      <c r="H2536" s="412">
        <f t="shared" ref="H2536" si="596">G2536*0.35</f>
        <v>28.814799999999998</v>
      </c>
      <c r="I2536" s="413">
        <f>G2536+H2536</f>
        <v>111.14279999999999</v>
      </c>
      <c r="J2536" s="349">
        <f>I2536+I2539+I2540</f>
        <v>126.5976</v>
      </c>
    </row>
    <row r="2537" spans="1:10">
      <c r="A2537" s="422" t="s">
        <v>1386</v>
      </c>
      <c r="B2537" s="423">
        <v>20</v>
      </c>
      <c r="C2537" s="424">
        <v>17.8</v>
      </c>
      <c r="D2537" s="424"/>
      <c r="E2537" s="423"/>
      <c r="F2537" s="424"/>
      <c r="G2537" s="424"/>
      <c r="H2537" s="424"/>
      <c r="I2537" s="425"/>
      <c r="J2537" s="380"/>
    </row>
    <row r="2538" spans="1:10">
      <c r="A2538" s="426" t="s">
        <v>1387</v>
      </c>
      <c r="B2538" s="386">
        <v>20</v>
      </c>
      <c r="C2538" s="392">
        <v>11.6</v>
      </c>
      <c r="D2538" s="386"/>
      <c r="E2538" s="386"/>
      <c r="F2538" s="392"/>
      <c r="G2538" s="386"/>
      <c r="H2538" s="392"/>
      <c r="I2538" s="427"/>
      <c r="J2538" s="381"/>
    </row>
    <row r="2539" spans="1:10">
      <c r="A2539" s="350" t="s">
        <v>385</v>
      </c>
      <c r="B2539" s="351">
        <v>10</v>
      </c>
      <c r="C2539" s="391">
        <v>5.4</v>
      </c>
      <c r="D2539" s="392">
        <f>C2539*0.22</f>
        <v>1.1880000000000002</v>
      </c>
      <c r="E2539" s="355"/>
      <c r="F2539" s="392">
        <f t="shared" ref="F2539:F2541" si="597">C2539*0.9</f>
        <v>4.8600000000000003</v>
      </c>
      <c r="G2539" s="392">
        <f>C2539+D2539+E2539+F2539</f>
        <v>11.448</v>
      </c>
      <c r="H2539" s="392">
        <f t="shared" ref="H2539:H2541" si="598">G2539*0.35</f>
        <v>4.0068000000000001</v>
      </c>
      <c r="I2539" s="393">
        <f>G2539+H2539</f>
        <v>15.454800000000001</v>
      </c>
      <c r="J2539" s="381"/>
    </row>
    <row r="2540" spans="1:10">
      <c r="A2540" s="350"/>
      <c r="B2540" s="351"/>
      <c r="C2540" s="391"/>
      <c r="D2540" s="392"/>
      <c r="E2540" s="355"/>
      <c r="F2540" s="392"/>
      <c r="G2540" s="392"/>
      <c r="H2540" s="392"/>
      <c r="I2540" s="393"/>
      <c r="J2540" s="381"/>
    </row>
    <row r="2541" spans="1:10">
      <c r="A2541" s="373" t="s">
        <v>1620</v>
      </c>
      <c r="B2541" s="384"/>
      <c r="C2541" s="412">
        <f>C2542+C2543</f>
        <v>14.7</v>
      </c>
      <c r="D2541" s="412">
        <f>C2541*0.22</f>
        <v>3.234</v>
      </c>
      <c r="E2541" s="384">
        <v>10</v>
      </c>
      <c r="F2541" s="412">
        <f t="shared" si="597"/>
        <v>13.23</v>
      </c>
      <c r="G2541" s="412">
        <f>C2541+D2541+E2541+F2541</f>
        <v>41.164000000000001</v>
      </c>
      <c r="H2541" s="412">
        <f t="shared" si="598"/>
        <v>14.407399999999999</v>
      </c>
      <c r="I2541" s="413">
        <f>G2541+H2541</f>
        <v>55.571399999999997</v>
      </c>
      <c r="J2541" s="349">
        <f>I2541+I2544+I2545</f>
        <v>63.2988</v>
      </c>
    </row>
    <row r="2542" spans="1:10">
      <c r="A2542" s="422" t="s">
        <v>1386</v>
      </c>
      <c r="B2542" s="423">
        <v>10</v>
      </c>
      <c r="C2542" s="424">
        <v>8.9</v>
      </c>
      <c r="D2542" s="424"/>
      <c r="E2542" s="423"/>
      <c r="F2542" s="424"/>
      <c r="G2542" s="424"/>
      <c r="H2542" s="424"/>
      <c r="I2542" s="425"/>
      <c r="J2542" s="380"/>
    </row>
    <row r="2543" spans="1:10">
      <c r="A2543" s="426" t="s">
        <v>1387</v>
      </c>
      <c r="B2543" s="386">
        <v>10</v>
      </c>
      <c r="C2543" s="392">
        <v>5.8</v>
      </c>
      <c r="D2543" s="386"/>
      <c r="E2543" s="386"/>
      <c r="F2543" s="392"/>
      <c r="G2543" s="386"/>
      <c r="H2543" s="392"/>
      <c r="I2543" s="427"/>
      <c r="J2543" s="381"/>
    </row>
    <row r="2544" spans="1:10">
      <c r="A2544" s="350" t="s">
        <v>385</v>
      </c>
      <c r="B2544" s="351">
        <v>5</v>
      </c>
      <c r="C2544" s="391">
        <v>2.7</v>
      </c>
      <c r="D2544" s="392">
        <f>C2544*0.22</f>
        <v>0.59400000000000008</v>
      </c>
      <c r="E2544" s="355"/>
      <c r="F2544" s="392">
        <f t="shared" ref="F2544:F2546" si="599">C2544*0.9</f>
        <v>2.4300000000000002</v>
      </c>
      <c r="G2544" s="392">
        <f>C2544+D2544+E2544+F2544</f>
        <v>5.7240000000000002</v>
      </c>
      <c r="H2544" s="392">
        <f t="shared" ref="H2544:H2546" si="600">G2544*0.35</f>
        <v>2.0034000000000001</v>
      </c>
      <c r="I2544" s="393">
        <f>G2544+H2544</f>
        <v>7.7274000000000003</v>
      </c>
      <c r="J2544" s="381"/>
    </row>
    <row r="2545" spans="1:11">
      <c r="A2545" s="350"/>
      <c r="B2545" s="351"/>
      <c r="C2545" s="391"/>
      <c r="D2545" s="392"/>
      <c r="E2545" s="355"/>
      <c r="F2545" s="392"/>
      <c r="G2545" s="392"/>
      <c r="H2545" s="392"/>
      <c r="I2545" s="393"/>
      <c r="J2545" s="381"/>
      <c r="K2545" s="371"/>
    </row>
    <row r="2546" spans="1:11" ht="21.75">
      <c r="A2546" s="373" t="s">
        <v>1621</v>
      </c>
      <c r="B2546" s="384"/>
      <c r="C2546" s="412">
        <f>C2547+C2548</f>
        <v>58.8</v>
      </c>
      <c r="D2546" s="412">
        <f>C2546*0.22</f>
        <v>12.936</v>
      </c>
      <c r="E2546" s="384">
        <v>26</v>
      </c>
      <c r="F2546" s="412">
        <f t="shared" si="599"/>
        <v>52.92</v>
      </c>
      <c r="G2546" s="412">
        <f>C2546+D2546+E2546+F2546</f>
        <v>150.65600000000001</v>
      </c>
      <c r="H2546" s="412">
        <f t="shared" si="600"/>
        <v>52.729599999999998</v>
      </c>
      <c r="I2546" s="413">
        <f>G2546+H2546</f>
        <v>203.38560000000001</v>
      </c>
      <c r="J2546" s="349">
        <f>I2546+I2549+I2550</f>
        <v>234.29520000000002</v>
      </c>
    </row>
    <row r="2547" spans="1:11">
      <c r="A2547" s="422" t="s">
        <v>1386</v>
      </c>
      <c r="B2547" s="423">
        <v>40</v>
      </c>
      <c r="C2547" s="424">
        <v>35.6</v>
      </c>
      <c r="D2547" s="424"/>
      <c r="E2547" s="423"/>
      <c r="F2547" s="424"/>
      <c r="G2547" s="424"/>
      <c r="H2547" s="424"/>
      <c r="I2547" s="425"/>
      <c r="J2547" s="380"/>
    </row>
    <row r="2548" spans="1:11">
      <c r="A2548" s="426" t="s">
        <v>1387</v>
      </c>
      <c r="B2548" s="386">
        <v>40</v>
      </c>
      <c r="C2548" s="392">
        <v>23.2</v>
      </c>
      <c r="D2548" s="386"/>
      <c r="E2548" s="386"/>
      <c r="F2548" s="392"/>
      <c r="G2548" s="386"/>
      <c r="H2548" s="392"/>
      <c r="I2548" s="427"/>
      <c r="J2548" s="381"/>
    </row>
    <row r="2549" spans="1:11">
      <c r="A2549" s="350" t="s">
        <v>385</v>
      </c>
      <c r="B2549" s="351">
        <v>20</v>
      </c>
      <c r="C2549" s="391">
        <v>10.8</v>
      </c>
      <c r="D2549" s="392">
        <f>C2549*0.22</f>
        <v>2.3760000000000003</v>
      </c>
      <c r="E2549" s="355"/>
      <c r="F2549" s="392">
        <f t="shared" ref="F2549:F2551" si="601">C2549*0.9</f>
        <v>9.7200000000000006</v>
      </c>
      <c r="G2549" s="392">
        <f>C2549+D2549+E2549+F2549</f>
        <v>22.896000000000001</v>
      </c>
      <c r="H2549" s="392">
        <f t="shared" ref="H2549:H2551" si="602">G2549*0.35</f>
        <v>8.0136000000000003</v>
      </c>
      <c r="I2549" s="393">
        <f>G2549+H2549</f>
        <v>30.909600000000001</v>
      </c>
      <c r="J2549" s="381"/>
    </row>
    <row r="2550" spans="1:11">
      <c r="A2550" s="350"/>
      <c r="B2550" s="351"/>
      <c r="C2550" s="391"/>
      <c r="D2550" s="392"/>
      <c r="E2550" s="355"/>
      <c r="F2550" s="392"/>
      <c r="G2550" s="392"/>
      <c r="H2550" s="392"/>
      <c r="I2550" s="393"/>
      <c r="J2550" s="381"/>
    </row>
    <row r="2551" spans="1:11">
      <c r="A2551" s="373" t="s">
        <v>1622</v>
      </c>
      <c r="B2551" s="384"/>
      <c r="C2551" s="412">
        <f>C2552+C2553</f>
        <v>29.4</v>
      </c>
      <c r="D2551" s="412">
        <f>C2551*0.22</f>
        <v>6.468</v>
      </c>
      <c r="E2551" s="384">
        <v>88</v>
      </c>
      <c r="F2551" s="412">
        <f t="shared" si="601"/>
        <v>26.46</v>
      </c>
      <c r="G2551" s="412">
        <f>C2551+D2551+E2551+F2551</f>
        <v>150.328</v>
      </c>
      <c r="H2551" s="412">
        <f t="shared" si="602"/>
        <v>52.614799999999995</v>
      </c>
      <c r="I2551" s="413">
        <f>G2551+H2551</f>
        <v>202.94280000000001</v>
      </c>
      <c r="J2551" s="349">
        <f>I2551+I2554+I2555</f>
        <v>218.39760000000001</v>
      </c>
    </row>
    <row r="2552" spans="1:11">
      <c r="A2552" s="422" t="s">
        <v>1386</v>
      </c>
      <c r="B2552" s="423">
        <v>20</v>
      </c>
      <c r="C2552" s="424">
        <v>17.8</v>
      </c>
      <c r="D2552" s="424"/>
      <c r="E2552" s="423"/>
      <c r="F2552" s="424"/>
      <c r="G2552" s="424"/>
      <c r="H2552" s="424"/>
      <c r="I2552" s="425"/>
      <c r="J2552" s="380"/>
    </row>
    <row r="2553" spans="1:11">
      <c r="A2553" s="426" t="s">
        <v>1387</v>
      </c>
      <c r="B2553" s="386">
        <v>20</v>
      </c>
      <c r="C2553" s="392">
        <v>11.6</v>
      </c>
      <c r="D2553" s="386"/>
      <c r="E2553" s="386"/>
      <c r="F2553" s="392"/>
      <c r="G2553" s="386"/>
      <c r="H2553" s="392"/>
      <c r="I2553" s="427"/>
      <c r="J2553" s="381"/>
    </row>
    <row r="2554" spans="1:11">
      <c r="A2554" s="350" t="s">
        <v>385</v>
      </c>
      <c r="B2554" s="351">
        <v>10</v>
      </c>
      <c r="C2554" s="391">
        <v>5.4</v>
      </c>
      <c r="D2554" s="392">
        <f>C2554*0.22</f>
        <v>1.1880000000000002</v>
      </c>
      <c r="E2554" s="355"/>
      <c r="F2554" s="392">
        <f t="shared" ref="F2554:F2556" si="603">C2554*0.9</f>
        <v>4.8600000000000003</v>
      </c>
      <c r="G2554" s="392">
        <f>C2554+D2554+E2554+F2554</f>
        <v>11.448</v>
      </c>
      <c r="H2554" s="392">
        <f t="shared" ref="H2554:H2556" si="604">G2554*0.35</f>
        <v>4.0068000000000001</v>
      </c>
      <c r="I2554" s="393">
        <f>G2554+H2554</f>
        <v>15.454800000000001</v>
      </c>
      <c r="J2554" s="381"/>
    </row>
    <row r="2555" spans="1:11">
      <c r="A2555" s="350"/>
      <c r="B2555" s="351"/>
      <c r="C2555" s="391"/>
      <c r="D2555" s="392"/>
      <c r="E2555" s="355"/>
      <c r="F2555" s="392"/>
      <c r="G2555" s="392"/>
      <c r="H2555" s="392"/>
      <c r="I2555" s="393"/>
      <c r="J2555" s="381"/>
    </row>
    <row r="2556" spans="1:11">
      <c r="A2556" s="373" t="s">
        <v>658</v>
      </c>
      <c r="B2556" s="384"/>
      <c r="C2556" s="412">
        <f>C2557+C2558</f>
        <v>7.35</v>
      </c>
      <c r="D2556" s="412">
        <f>C2556*0.22</f>
        <v>1.617</v>
      </c>
      <c r="E2556" s="384">
        <v>12</v>
      </c>
      <c r="F2556" s="412">
        <f t="shared" si="603"/>
        <v>6.6150000000000002</v>
      </c>
      <c r="G2556" s="412">
        <f>C2556+D2556+E2556+F2556</f>
        <v>27.582000000000001</v>
      </c>
      <c r="H2556" s="412">
        <f t="shared" si="604"/>
        <v>9.6536999999999988</v>
      </c>
      <c r="I2556" s="413">
        <f>G2556+H2556</f>
        <v>37.235700000000001</v>
      </c>
      <c r="J2556" s="349">
        <f>I2556+I2559+I2560</f>
        <v>40.326660000000004</v>
      </c>
    </row>
    <row r="2557" spans="1:11">
      <c r="A2557" s="422" t="s">
        <v>1386</v>
      </c>
      <c r="B2557" s="423">
        <v>5</v>
      </c>
      <c r="C2557" s="424">
        <v>4.45</v>
      </c>
      <c r="D2557" s="424"/>
      <c r="E2557" s="423"/>
      <c r="F2557" s="424"/>
      <c r="G2557" s="424"/>
      <c r="H2557" s="424"/>
      <c r="I2557" s="425"/>
      <c r="J2557" s="380"/>
    </row>
    <row r="2558" spans="1:11">
      <c r="A2558" s="426" t="s">
        <v>1387</v>
      </c>
      <c r="B2558" s="386">
        <v>5</v>
      </c>
      <c r="C2558" s="392">
        <v>2.9</v>
      </c>
      <c r="D2558" s="386"/>
      <c r="E2558" s="386"/>
      <c r="F2558" s="392"/>
      <c r="G2558" s="386"/>
      <c r="H2558" s="392"/>
      <c r="I2558" s="427"/>
      <c r="J2558" s="381"/>
    </row>
    <row r="2559" spans="1:11">
      <c r="A2559" s="350" t="s">
        <v>385</v>
      </c>
      <c r="B2559" s="351">
        <v>2</v>
      </c>
      <c r="C2559" s="391">
        <v>1.08</v>
      </c>
      <c r="D2559" s="392">
        <f>C2559*0.22</f>
        <v>0.23760000000000001</v>
      </c>
      <c r="E2559" s="355"/>
      <c r="F2559" s="392">
        <f t="shared" ref="F2559:F2561" si="605">C2559*0.9</f>
        <v>0.97200000000000009</v>
      </c>
      <c r="G2559" s="392">
        <f>C2559+D2559+E2559+F2559</f>
        <v>2.2896000000000001</v>
      </c>
      <c r="H2559" s="392">
        <f t="shared" ref="H2559:H2561" si="606">G2559*0.35</f>
        <v>0.80135999999999996</v>
      </c>
      <c r="I2559" s="393">
        <f>G2559+H2559</f>
        <v>3.0909599999999999</v>
      </c>
      <c r="J2559" s="381"/>
    </row>
    <row r="2560" spans="1:11">
      <c r="A2560" s="350"/>
      <c r="B2560" s="351"/>
      <c r="C2560" s="391"/>
      <c r="D2560" s="392"/>
      <c r="E2560" s="355"/>
      <c r="F2560" s="392"/>
      <c r="G2560" s="392"/>
      <c r="H2560" s="392"/>
      <c r="I2560" s="393"/>
      <c r="J2560" s="381"/>
    </row>
    <row r="2561" spans="1:10">
      <c r="A2561" s="373" t="s">
        <v>1623</v>
      </c>
      <c r="B2561" s="384"/>
      <c r="C2561" s="412">
        <f>C2562+C2563</f>
        <v>7.35</v>
      </c>
      <c r="D2561" s="412">
        <f>C2561*0.22</f>
        <v>1.617</v>
      </c>
      <c r="E2561" s="384">
        <v>10</v>
      </c>
      <c r="F2561" s="412">
        <f t="shared" si="605"/>
        <v>6.6150000000000002</v>
      </c>
      <c r="G2561" s="412">
        <f>C2561+D2561+E2561+F2561</f>
        <v>25.582000000000001</v>
      </c>
      <c r="H2561" s="412">
        <f t="shared" si="606"/>
        <v>8.9536999999999995</v>
      </c>
      <c r="I2561" s="413">
        <f>G2561+H2561</f>
        <v>34.535699999999999</v>
      </c>
      <c r="J2561" s="349">
        <f>I2561+I2564+I2601</f>
        <v>37.626660000000001</v>
      </c>
    </row>
    <row r="2562" spans="1:10">
      <c r="A2562" s="422" t="s">
        <v>1386</v>
      </c>
      <c r="B2562" s="423">
        <v>5</v>
      </c>
      <c r="C2562" s="424">
        <v>4.45</v>
      </c>
      <c r="D2562" s="424"/>
      <c r="E2562" s="423"/>
      <c r="F2562" s="424"/>
      <c r="G2562" s="424"/>
      <c r="H2562" s="424"/>
      <c r="I2562" s="425"/>
      <c r="J2562" s="380"/>
    </row>
    <row r="2563" spans="1:10">
      <c r="A2563" s="426" t="s">
        <v>1387</v>
      </c>
      <c r="B2563" s="386">
        <v>5</v>
      </c>
      <c r="C2563" s="392">
        <v>2.9</v>
      </c>
      <c r="D2563" s="386"/>
      <c r="E2563" s="386"/>
      <c r="F2563" s="392"/>
      <c r="G2563" s="386"/>
      <c r="H2563" s="392"/>
      <c r="I2563" s="427"/>
      <c r="J2563" s="381"/>
    </row>
    <row r="2564" spans="1:10">
      <c r="A2564" s="350" t="s">
        <v>385</v>
      </c>
      <c r="B2564" s="351">
        <v>2</v>
      </c>
      <c r="C2564" s="391">
        <v>1.08</v>
      </c>
      <c r="D2564" s="392">
        <f>C2564*0.22</f>
        <v>0.23760000000000001</v>
      </c>
      <c r="E2564" s="355"/>
      <c r="F2564" s="392">
        <f t="shared" ref="F2564" si="607">C2564*0.9</f>
        <v>0.97200000000000009</v>
      </c>
      <c r="G2564" s="392">
        <f>C2564+D2564+E2564+F2564</f>
        <v>2.2896000000000001</v>
      </c>
      <c r="H2564" s="392">
        <f t="shared" ref="H2564" si="608">G2564*0.35</f>
        <v>0.80135999999999996</v>
      </c>
      <c r="I2564" s="393">
        <f>G2564+H2564</f>
        <v>3.0909599999999999</v>
      </c>
      <c r="J2564" s="381"/>
    </row>
    <row r="2565" spans="1:10">
      <c r="A2565" s="350"/>
      <c r="B2565" s="351"/>
      <c r="C2565" s="391"/>
      <c r="D2565" s="392"/>
      <c r="E2565" s="355"/>
      <c r="F2565" s="392"/>
      <c r="G2565" s="392"/>
      <c r="H2565" s="392"/>
      <c r="I2565" s="393"/>
      <c r="J2565" s="381"/>
    </row>
    <row r="2566" spans="1:10" ht="21.75">
      <c r="A2566" s="373" t="s">
        <v>1624</v>
      </c>
      <c r="B2566" s="384"/>
      <c r="C2566" s="412">
        <f>C2567+C2568</f>
        <v>14.7</v>
      </c>
      <c r="D2566" s="412">
        <f>C2566*0.22</f>
        <v>3.234</v>
      </c>
      <c r="E2566" s="384">
        <v>285</v>
      </c>
      <c r="F2566" s="412">
        <f t="shared" ref="F2566" si="609">C2566*0.9</f>
        <v>13.23</v>
      </c>
      <c r="G2566" s="412">
        <f>C2566+D2566+E2566+F2566</f>
        <v>316.16399999999999</v>
      </c>
      <c r="H2566" s="412">
        <f t="shared" ref="H2566" si="610">G2566*0.35</f>
        <v>110.6574</v>
      </c>
      <c r="I2566" s="413">
        <f>G2566+H2566</f>
        <v>426.82139999999998</v>
      </c>
      <c r="J2566" s="349">
        <f>I2566+I2569+I2570</f>
        <v>434.54879999999997</v>
      </c>
    </row>
    <row r="2567" spans="1:10">
      <c r="A2567" s="422" t="s">
        <v>1386</v>
      </c>
      <c r="B2567" s="423">
        <v>10</v>
      </c>
      <c r="C2567" s="424">
        <v>8.9</v>
      </c>
      <c r="D2567" s="424"/>
      <c r="E2567" s="423"/>
      <c r="F2567" s="424"/>
      <c r="G2567" s="424"/>
      <c r="H2567" s="424"/>
      <c r="I2567" s="425"/>
      <c r="J2567" s="379"/>
    </row>
    <row r="2568" spans="1:10">
      <c r="A2568" s="426" t="s">
        <v>1387</v>
      </c>
      <c r="B2568" s="386">
        <v>10</v>
      </c>
      <c r="C2568" s="392">
        <v>5.8</v>
      </c>
      <c r="D2568" s="386"/>
      <c r="E2568" s="386"/>
      <c r="F2568" s="392"/>
      <c r="G2568" s="386"/>
      <c r="H2568" s="392"/>
      <c r="I2568" s="427"/>
      <c r="J2568" s="408"/>
    </row>
    <row r="2569" spans="1:10">
      <c r="A2569" s="350" t="s">
        <v>385</v>
      </c>
      <c r="B2569" s="351">
        <v>5</v>
      </c>
      <c r="C2569" s="391">
        <v>2.7</v>
      </c>
      <c r="D2569" s="392">
        <f>C2569*0.22</f>
        <v>0.59400000000000008</v>
      </c>
      <c r="E2569" s="355"/>
      <c r="F2569" s="392">
        <f t="shared" ref="F2569" si="611">C2569*0.9</f>
        <v>2.4300000000000002</v>
      </c>
      <c r="G2569" s="392">
        <f>C2569+D2569+E2569+F2569</f>
        <v>5.7240000000000002</v>
      </c>
      <c r="H2569" s="392">
        <f t="shared" ref="H2569" si="612">G2569*0.35</f>
        <v>2.0034000000000001</v>
      </c>
      <c r="I2569" s="393">
        <f>G2569+H2569</f>
        <v>7.7274000000000003</v>
      </c>
      <c r="J2569" s="408"/>
    </row>
    <row r="2570" spans="1:10">
      <c r="A2570" s="350"/>
      <c r="B2570" s="351"/>
      <c r="C2570" s="391"/>
      <c r="D2570" s="392"/>
      <c r="E2570" s="355"/>
      <c r="F2570" s="392"/>
      <c r="G2570" s="392"/>
      <c r="H2570" s="392"/>
      <c r="I2570" s="393"/>
      <c r="J2570" s="408"/>
    </row>
    <row r="2571" spans="1:10" ht="12.75">
      <c r="A2571" s="368" t="s">
        <v>1625</v>
      </c>
      <c r="B2571" s="369"/>
      <c r="C2571" s="369"/>
      <c r="D2571" s="369"/>
      <c r="E2571" s="369"/>
      <c r="F2571" s="369"/>
      <c r="G2571" s="369"/>
      <c r="H2571" s="369"/>
      <c r="I2571" s="369"/>
      <c r="J2571" s="370"/>
    </row>
    <row r="2572" spans="1:10">
      <c r="A2572" s="373" t="s">
        <v>1626</v>
      </c>
      <c r="B2572" s="384"/>
      <c r="C2572" s="412">
        <f>C2573+C2574</f>
        <v>5.3</v>
      </c>
      <c r="D2572" s="412">
        <f>C2572*0.22</f>
        <v>1.1659999999999999</v>
      </c>
      <c r="E2572" s="384">
        <v>13</v>
      </c>
      <c r="F2572" s="412">
        <f>C2572*0.9</f>
        <v>4.7699999999999996</v>
      </c>
      <c r="G2572" s="412">
        <f>C2572+D2572+E2572+F2572</f>
        <v>24.236000000000001</v>
      </c>
      <c r="H2572" s="412">
        <f>G2572*0.35</f>
        <v>8.4825999999999997</v>
      </c>
      <c r="I2572" s="413">
        <f>G2572+H2572</f>
        <v>32.718600000000002</v>
      </c>
      <c r="J2572" s="349">
        <f>I2572+I2575+I2576</f>
        <v>40.446000000000005</v>
      </c>
    </row>
    <row r="2573" spans="1:10">
      <c r="A2573" s="422" t="s">
        <v>1435</v>
      </c>
      <c r="B2573" s="423">
        <v>5</v>
      </c>
      <c r="C2573" s="424">
        <v>2.9</v>
      </c>
      <c r="D2573" s="424"/>
      <c r="E2573" s="423"/>
      <c r="F2573" s="424"/>
      <c r="G2573" s="424"/>
      <c r="H2573" s="424"/>
      <c r="I2573" s="425"/>
      <c r="J2573" s="380"/>
    </row>
    <row r="2574" spans="1:10">
      <c r="A2574" s="426" t="s">
        <v>1436</v>
      </c>
      <c r="B2574" s="386">
        <v>5</v>
      </c>
      <c r="C2574" s="392">
        <v>2.4</v>
      </c>
      <c r="D2574" s="386"/>
      <c r="E2574" s="386"/>
      <c r="F2574" s="392"/>
      <c r="G2574" s="386"/>
      <c r="H2574" s="392"/>
      <c r="I2574" s="427"/>
      <c r="J2574" s="381"/>
    </row>
    <row r="2575" spans="1:10">
      <c r="A2575" s="350" t="s">
        <v>385</v>
      </c>
      <c r="B2575" s="351">
        <v>2</v>
      </c>
      <c r="C2575" s="391">
        <v>2.7</v>
      </c>
      <c r="D2575" s="392">
        <f>C2575*0.22</f>
        <v>0.59400000000000008</v>
      </c>
      <c r="E2575" s="355"/>
      <c r="F2575" s="392">
        <f>C2575*0.9</f>
        <v>2.4300000000000002</v>
      </c>
      <c r="G2575" s="392">
        <f>C2575+D2575+E2575+F2575</f>
        <v>5.7240000000000002</v>
      </c>
      <c r="H2575" s="392">
        <f>G2575*0.35</f>
        <v>2.0034000000000001</v>
      </c>
      <c r="I2575" s="393">
        <f>G2575+H2575</f>
        <v>7.7274000000000003</v>
      </c>
      <c r="J2575" s="381"/>
    </row>
    <row r="2576" spans="1:10">
      <c r="A2576" s="350"/>
      <c r="B2576" s="351"/>
      <c r="C2576" s="391"/>
      <c r="D2576" s="392"/>
      <c r="E2576" s="355"/>
      <c r="F2576" s="392"/>
      <c r="G2576" s="392"/>
      <c r="H2576" s="392"/>
      <c r="I2576" s="393"/>
      <c r="J2576" s="381"/>
    </row>
    <row r="2577" spans="1:10">
      <c r="A2577" s="373" t="s">
        <v>1627</v>
      </c>
      <c r="B2577" s="384"/>
      <c r="C2577" s="412">
        <f>C2578+C2579</f>
        <v>10.6</v>
      </c>
      <c r="D2577" s="412">
        <f>C2577*0.22</f>
        <v>2.3319999999999999</v>
      </c>
      <c r="E2577" s="384">
        <v>19</v>
      </c>
      <c r="F2577" s="412">
        <f t="shared" ref="F2577" si="613">C2577*0.9</f>
        <v>9.5399999999999991</v>
      </c>
      <c r="G2577" s="412">
        <f>C2577+D2577+E2577+F2577</f>
        <v>41.471999999999994</v>
      </c>
      <c r="H2577" s="412">
        <f t="shared" ref="H2577" si="614">G2577*0.35</f>
        <v>14.515199999999997</v>
      </c>
      <c r="I2577" s="413">
        <f>G2577+H2577</f>
        <v>55.987199999999987</v>
      </c>
      <c r="J2577" s="349">
        <f>I2577+I2580+I2581</f>
        <v>71.441999999999993</v>
      </c>
    </row>
    <row r="2578" spans="1:10">
      <c r="A2578" s="422" t="s">
        <v>1435</v>
      </c>
      <c r="B2578" s="423">
        <v>10</v>
      </c>
      <c r="C2578" s="424">
        <v>5.8</v>
      </c>
      <c r="D2578" s="424"/>
      <c r="E2578" s="423"/>
      <c r="F2578" s="424"/>
      <c r="G2578" s="424"/>
      <c r="H2578" s="424"/>
      <c r="I2578" s="425"/>
      <c r="J2578" s="380"/>
    </row>
    <row r="2579" spans="1:10">
      <c r="A2579" s="426" t="s">
        <v>1436</v>
      </c>
      <c r="B2579" s="386">
        <v>10</v>
      </c>
      <c r="C2579" s="392">
        <v>4.8</v>
      </c>
      <c r="D2579" s="386"/>
      <c r="E2579" s="386"/>
      <c r="F2579" s="392"/>
      <c r="G2579" s="386"/>
      <c r="H2579" s="392"/>
      <c r="I2579" s="427"/>
      <c r="J2579" s="381"/>
    </row>
    <row r="2580" spans="1:10">
      <c r="A2580" s="350" t="s">
        <v>385</v>
      </c>
      <c r="B2580" s="351">
        <v>5</v>
      </c>
      <c r="C2580" s="391">
        <v>5.4</v>
      </c>
      <c r="D2580" s="392">
        <f>C2580*0.22</f>
        <v>1.1880000000000002</v>
      </c>
      <c r="E2580" s="355"/>
      <c r="F2580" s="392">
        <f t="shared" ref="F2580:F2582" si="615">C2580*0.9</f>
        <v>4.8600000000000003</v>
      </c>
      <c r="G2580" s="392">
        <f>C2580+D2580+E2580+F2580</f>
        <v>11.448</v>
      </c>
      <c r="H2580" s="392">
        <f t="shared" ref="H2580:H2582" si="616">G2580*0.35</f>
        <v>4.0068000000000001</v>
      </c>
      <c r="I2580" s="393">
        <f>G2580+H2580</f>
        <v>15.454800000000001</v>
      </c>
      <c r="J2580" s="381"/>
    </row>
    <row r="2581" spans="1:10">
      <c r="A2581" s="350"/>
      <c r="B2581" s="351"/>
      <c r="C2581" s="391"/>
      <c r="D2581" s="392"/>
      <c r="E2581" s="355"/>
      <c r="F2581" s="392"/>
      <c r="G2581" s="392"/>
      <c r="H2581" s="392"/>
      <c r="I2581" s="393"/>
      <c r="J2581" s="381"/>
    </row>
    <row r="2582" spans="1:10">
      <c r="A2582" s="373" t="s">
        <v>1628</v>
      </c>
      <c r="B2582" s="384"/>
      <c r="C2582" s="412">
        <f>C2583+C2584</f>
        <v>21.2</v>
      </c>
      <c r="D2582" s="412">
        <f>C2582*0.22</f>
        <v>4.6639999999999997</v>
      </c>
      <c r="E2582" s="384">
        <v>20</v>
      </c>
      <c r="F2582" s="412">
        <f t="shared" si="615"/>
        <v>19.079999999999998</v>
      </c>
      <c r="G2582" s="412">
        <f>C2582+D2582+E2582+F2582</f>
        <v>64.943999999999988</v>
      </c>
      <c r="H2582" s="412">
        <f t="shared" si="616"/>
        <v>22.730399999999996</v>
      </c>
      <c r="I2582" s="413">
        <f>G2582+H2582</f>
        <v>87.674399999999991</v>
      </c>
      <c r="J2582" s="349">
        <f>I2582+I2585+I2586</f>
        <v>103.1292</v>
      </c>
    </row>
    <row r="2583" spans="1:10">
      <c r="A2583" s="422" t="s">
        <v>1435</v>
      </c>
      <c r="B2583" s="423">
        <v>20</v>
      </c>
      <c r="C2583" s="424">
        <v>11.6</v>
      </c>
      <c r="D2583" s="424"/>
      <c r="E2583" s="423"/>
      <c r="F2583" s="424"/>
      <c r="G2583" s="424"/>
      <c r="H2583" s="424"/>
      <c r="I2583" s="425"/>
      <c r="J2583" s="380"/>
    </row>
    <row r="2584" spans="1:10">
      <c r="A2584" s="426" t="s">
        <v>1436</v>
      </c>
      <c r="B2584" s="386">
        <v>20</v>
      </c>
      <c r="C2584" s="392">
        <v>9.6</v>
      </c>
      <c r="D2584" s="386"/>
      <c r="E2584" s="386"/>
      <c r="F2584" s="392"/>
      <c r="G2584" s="386"/>
      <c r="H2584" s="392"/>
      <c r="I2584" s="427"/>
      <c r="J2584" s="381"/>
    </row>
    <row r="2585" spans="1:10">
      <c r="A2585" s="350" t="s">
        <v>385</v>
      </c>
      <c r="B2585" s="351">
        <v>10</v>
      </c>
      <c r="C2585" s="391">
        <v>5.4</v>
      </c>
      <c r="D2585" s="392">
        <f>C2585*0.22</f>
        <v>1.1880000000000002</v>
      </c>
      <c r="E2585" s="355"/>
      <c r="F2585" s="392">
        <f t="shared" ref="F2585:F2587" si="617">C2585*0.9</f>
        <v>4.8600000000000003</v>
      </c>
      <c r="G2585" s="392">
        <f>C2585+D2585+E2585+F2585</f>
        <v>11.448</v>
      </c>
      <c r="H2585" s="392">
        <f t="shared" ref="H2585:H2587" si="618">G2585*0.35</f>
        <v>4.0068000000000001</v>
      </c>
      <c r="I2585" s="393">
        <f>G2585+H2585</f>
        <v>15.454800000000001</v>
      </c>
      <c r="J2585" s="381"/>
    </row>
    <row r="2586" spans="1:10">
      <c r="A2586" s="350"/>
      <c r="B2586" s="351"/>
      <c r="C2586" s="391"/>
      <c r="D2586" s="392"/>
      <c r="E2586" s="355"/>
      <c r="F2586" s="392"/>
      <c r="G2586" s="392"/>
      <c r="H2586" s="392"/>
      <c r="I2586" s="393"/>
      <c r="J2586" s="381"/>
    </row>
    <row r="2587" spans="1:10">
      <c r="A2587" s="373" t="s">
        <v>1629</v>
      </c>
      <c r="B2587" s="384"/>
      <c r="C2587" s="412">
        <f>C2588+C2589</f>
        <v>21.2</v>
      </c>
      <c r="D2587" s="412">
        <f>C2587*0.22</f>
        <v>4.6639999999999997</v>
      </c>
      <c r="E2587" s="384">
        <v>95</v>
      </c>
      <c r="F2587" s="412">
        <f t="shared" si="617"/>
        <v>19.079999999999998</v>
      </c>
      <c r="G2587" s="412">
        <f>C2587+D2587+E2587+F2587</f>
        <v>139.94400000000002</v>
      </c>
      <c r="H2587" s="412">
        <f t="shared" si="618"/>
        <v>48.980400000000003</v>
      </c>
      <c r="I2587" s="413">
        <f>G2587+H2587</f>
        <v>188.92440000000002</v>
      </c>
      <c r="J2587" s="349">
        <f>I2587+I2590+I2591</f>
        <v>204.37920000000003</v>
      </c>
    </row>
    <row r="2588" spans="1:10">
      <c r="A2588" s="422" t="s">
        <v>1435</v>
      </c>
      <c r="B2588" s="423">
        <v>20</v>
      </c>
      <c r="C2588" s="424">
        <v>11.6</v>
      </c>
      <c r="D2588" s="424"/>
      <c r="E2588" s="423"/>
      <c r="F2588" s="424"/>
      <c r="G2588" s="424"/>
      <c r="H2588" s="424"/>
      <c r="I2588" s="425"/>
      <c r="J2588" s="380"/>
    </row>
    <row r="2589" spans="1:10">
      <c r="A2589" s="426" t="s">
        <v>1436</v>
      </c>
      <c r="B2589" s="386">
        <v>20</v>
      </c>
      <c r="C2589" s="392">
        <v>9.6</v>
      </c>
      <c r="D2589" s="386"/>
      <c r="E2589" s="386"/>
      <c r="F2589" s="392"/>
      <c r="G2589" s="386"/>
      <c r="H2589" s="392"/>
      <c r="I2589" s="427"/>
      <c r="J2589" s="381"/>
    </row>
    <row r="2590" spans="1:10">
      <c r="A2590" s="350" t="s">
        <v>385</v>
      </c>
      <c r="B2590" s="351">
        <v>10</v>
      </c>
      <c r="C2590" s="391">
        <v>5.4</v>
      </c>
      <c r="D2590" s="392">
        <f>C2590*0.22</f>
        <v>1.1880000000000002</v>
      </c>
      <c r="E2590" s="355"/>
      <c r="F2590" s="392">
        <f t="shared" ref="F2590" si="619">C2590*0.9</f>
        <v>4.8600000000000003</v>
      </c>
      <c r="G2590" s="392">
        <f>C2590+D2590+E2590+F2590</f>
        <v>11.448</v>
      </c>
      <c r="H2590" s="392">
        <f t="shared" ref="H2590" si="620">G2590*0.35</f>
        <v>4.0068000000000001</v>
      </c>
      <c r="I2590" s="393">
        <f>G2590+H2590</f>
        <v>15.454800000000001</v>
      </c>
      <c r="J2590" s="381"/>
    </row>
    <row r="2591" spans="1:10">
      <c r="A2591" s="350"/>
      <c r="B2591" s="351"/>
      <c r="C2591" s="391"/>
      <c r="D2591" s="392"/>
      <c r="E2591" s="355"/>
      <c r="F2591" s="392"/>
      <c r="G2591" s="392"/>
      <c r="H2591" s="392"/>
      <c r="I2591" s="393"/>
      <c r="J2591" s="381"/>
    </row>
    <row r="2592" spans="1:10">
      <c r="A2592" s="373" t="s">
        <v>658</v>
      </c>
      <c r="B2592" s="384"/>
      <c r="C2592" s="412">
        <f>C2593+C2594</f>
        <v>5.3</v>
      </c>
      <c r="D2592" s="412">
        <f>C2592*0.22</f>
        <v>1.1659999999999999</v>
      </c>
      <c r="E2592" s="384">
        <v>15</v>
      </c>
      <c r="F2592" s="412">
        <f>C2592*0.9</f>
        <v>4.7699999999999996</v>
      </c>
      <c r="G2592" s="412">
        <f>C2592+D2592+E2592+F2592</f>
        <v>26.236000000000001</v>
      </c>
      <c r="H2592" s="412">
        <f>G2592*0.35</f>
        <v>9.182599999999999</v>
      </c>
      <c r="I2592" s="413">
        <f>G2592+H2592</f>
        <v>35.418599999999998</v>
      </c>
      <c r="J2592" s="349">
        <f>I2592+I2595</f>
        <v>38.50956</v>
      </c>
    </row>
    <row r="2593" spans="1:10">
      <c r="A2593" s="422" t="s">
        <v>1435</v>
      </c>
      <c r="B2593" s="423">
        <v>5</v>
      </c>
      <c r="C2593" s="424">
        <v>2.9</v>
      </c>
      <c r="D2593" s="424"/>
      <c r="E2593" s="423"/>
      <c r="F2593" s="424"/>
      <c r="G2593" s="424"/>
      <c r="H2593" s="424"/>
      <c r="I2593" s="425"/>
      <c r="J2593" s="380"/>
    </row>
    <row r="2594" spans="1:10">
      <c r="A2594" s="426" t="s">
        <v>1436</v>
      </c>
      <c r="B2594" s="386">
        <v>5</v>
      </c>
      <c r="C2594" s="392">
        <v>2.4</v>
      </c>
      <c r="D2594" s="386"/>
      <c r="E2594" s="386"/>
      <c r="F2594" s="392"/>
      <c r="G2594" s="386"/>
      <c r="H2594" s="392"/>
      <c r="I2594" s="427"/>
      <c r="J2594" s="381"/>
    </row>
    <row r="2595" spans="1:10">
      <c r="A2595" s="350" t="s">
        <v>385</v>
      </c>
      <c r="B2595" s="351">
        <v>2</v>
      </c>
      <c r="C2595" s="391">
        <v>1.08</v>
      </c>
      <c r="D2595" s="392">
        <f>C2595*0.22</f>
        <v>0.23760000000000001</v>
      </c>
      <c r="E2595" s="355"/>
      <c r="F2595" s="392">
        <f>C2595*0.9</f>
        <v>0.97200000000000009</v>
      </c>
      <c r="G2595" s="392">
        <f>C2595+D2595+E2595+F2595</f>
        <v>2.2896000000000001</v>
      </c>
      <c r="H2595" s="392">
        <f>G2595*0.35</f>
        <v>0.80135999999999996</v>
      </c>
      <c r="I2595" s="393">
        <f>G2595+H2595</f>
        <v>3.0909599999999999</v>
      </c>
      <c r="J2595" s="381"/>
    </row>
    <row r="2596" spans="1:10">
      <c r="A2596" s="350"/>
      <c r="B2596" s="351"/>
      <c r="C2596" s="391"/>
      <c r="D2596" s="392"/>
      <c r="E2596" s="355"/>
      <c r="F2596" s="392"/>
      <c r="G2596" s="392"/>
      <c r="H2596" s="392"/>
      <c r="I2596" s="393"/>
      <c r="J2596" s="381"/>
    </row>
    <row r="2597" spans="1:10">
      <c r="A2597" s="373" t="s">
        <v>1630</v>
      </c>
      <c r="B2597" s="384"/>
      <c r="C2597" s="412">
        <f>C2598+C2599</f>
        <v>34.5</v>
      </c>
      <c r="D2597" s="412">
        <f>C2597*0.22</f>
        <v>7.59</v>
      </c>
      <c r="E2597" s="384">
        <v>20</v>
      </c>
      <c r="F2597" s="412">
        <f>C2597*0.9</f>
        <v>31.05</v>
      </c>
      <c r="G2597" s="412">
        <f>C2597+D2597+E2597+F2597</f>
        <v>93.14</v>
      </c>
      <c r="H2597" s="412">
        <f>G2597*0.35</f>
        <v>32.598999999999997</v>
      </c>
      <c r="I2597" s="413">
        <f>G2597+H2597</f>
        <v>125.739</v>
      </c>
      <c r="J2597" s="349">
        <f>I2597+I2600+I2606</f>
        <v>164.376</v>
      </c>
    </row>
    <row r="2598" spans="1:10">
      <c r="A2598" s="422" t="s">
        <v>1435</v>
      </c>
      <c r="B2598" s="423">
        <v>30</v>
      </c>
      <c r="C2598" s="424">
        <v>17.399999999999999</v>
      </c>
      <c r="D2598" s="424"/>
      <c r="E2598" s="423"/>
      <c r="F2598" s="424"/>
      <c r="G2598" s="424"/>
      <c r="H2598" s="424"/>
      <c r="I2598" s="425"/>
      <c r="J2598" s="379"/>
    </row>
    <row r="2599" spans="1:10">
      <c r="A2599" s="426" t="s">
        <v>1436</v>
      </c>
      <c r="B2599" s="386">
        <v>30</v>
      </c>
      <c r="C2599" s="392">
        <v>17.100000000000001</v>
      </c>
      <c r="D2599" s="386"/>
      <c r="E2599" s="386"/>
      <c r="F2599" s="392"/>
      <c r="G2599" s="386"/>
      <c r="H2599" s="392"/>
      <c r="I2599" s="427"/>
      <c r="J2599" s="408"/>
    </row>
    <row r="2600" spans="1:10">
      <c r="A2600" s="350" t="s">
        <v>385</v>
      </c>
      <c r="B2600" s="351">
        <v>15</v>
      </c>
      <c r="C2600" s="391">
        <v>8.1</v>
      </c>
      <c r="D2600" s="392">
        <f>C2600*0.22</f>
        <v>1.782</v>
      </c>
      <c r="E2600" s="355"/>
      <c r="F2600" s="392">
        <f>C2600*0.9</f>
        <v>7.29</v>
      </c>
      <c r="G2600" s="392">
        <f>C2600+D2600+E2600+F2600</f>
        <v>17.172000000000001</v>
      </c>
      <c r="H2600" s="392">
        <f>G2600*0.35</f>
        <v>6.0102000000000002</v>
      </c>
      <c r="I2600" s="393">
        <f>G2600+H2600</f>
        <v>23.182200000000002</v>
      </c>
      <c r="J2600" s="408"/>
    </row>
    <row r="2601" spans="1:10">
      <c r="A2601" s="350"/>
      <c r="B2601" s="351"/>
      <c r="C2601" s="391"/>
      <c r="D2601" s="392"/>
      <c r="E2601" s="355"/>
      <c r="F2601" s="392"/>
      <c r="G2601" s="392"/>
      <c r="H2601" s="392"/>
      <c r="I2601" s="393"/>
      <c r="J2601" s="408"/>
    </row>
    <row r="2602" spans="1:10" ht="12.75">
      <c r="A2602" s="490" t="s">
        <v>1631</v>
      </c>
      <c r="B2602" s="491"/>
      <c r="C2602" s="491"/>
      <c r="D2602" s="491"/>
      <c r="E2602" s="491"/>
      <c r="F2602" s="491"/>
      <c r="G2602" s="491"/>
      <c r="H2602" s="491"/>
      <c r="I2602" s="491"/>
      <c r="J2602" s="492"/>
    </row>
    <row r="2603" spans="1:10">
      <c r="A2603" s="373" t="s">
        <v>1632</v>
      </c>
      <c r="B2603" s="384"/>
      <c r="C2603" s="412">
        <f>C2604+C2605</f>
        <v>37.5</v>
      </c>
      <c r="D2603" s="412">
        <f>C2603*0.22</f>
        <v>8.25</v>
      </c>
      <c r="E2603" s="384">
        <v>80</v>
      </c>
      <c r="F2603" s="412">
        <f t="shared" ref="F2603" si="621">C2603*0.9</f>
        <v>33.75</v>
      </c>
      <c r="G2603" s="412">
        <f>C2603+D2603+E2603+F2603</f>
        <v>159.5</v>
      </c>
      <c r="H2603" s="412">
        <f t="shared" ref="H2603" si="622">G2603*0.35</f>
        <v>55.824999999999996</v>
      </c>
      <c r="I2603" s="413">
        <f>G2603+H2603</f>
        <v>215.32499999999999</v>
      </c>
      <c r="J2603" s="349">
        <f>I2603+I2606+I2607</f>
        <v>230.77979999999999</v>
      </c>
    </row>
    <row r="2604" spans="1:10">
      <c r="A2604" s="422" t="s">
        <v>1421</v>
      </c>
      <c r="B2604" s="423">
        <v>30</v>
      </c>
      <c r="C2604" s="424">
        <v>20.100000000000001</v>
      </c>
      <c r="D2604" s="424"/>
      <c r="E2604" s="423"/>
      <c r="F2604" s="424"/>
      <c r="G2604" s="424"/>
      <c r="H2604" s="424"/>
      <c r="I2604" s="425"/>
      <c r="J2604" s="380"/>
    </row>
    <row r="2605" spans="1:10">
      <c r="A2605" s="426" t="s">
        <v>1422</v>
      </c>
      <c r="B2605" s="386">
        <v>30</v>
      </c>
      <c r="C2605" s="392">
        <v>17.399999999999999</v>
      </c>
      <c r="D2605" s="386"/>
      <c r="E2605" s="386"/>
      <c r="F2605" s="392"/>
      <c r="G2605" s="386"/>
      <c r="H2605" s="392"/>
      <c r="I2605" s="427"/>
      <c r="J2605" s="381"/>
    </row>
    <row r="2606" spans="1:10">
      <c r="A2606" s="350" t="s">
        <v>385</v>
      </c>
      <c r="B2606" s="351">
        <v>10</v>
      </c>
      <c r="C2606" s="391">
        <v>5.4</v>
      </c>
      <c r="D2606" s="392">
        <f>C2606*0.22</f>
        <v>1.1880000000000002</v>
      </c>
      <c r="E2606" s="355"/>
      <c r="F2606" s="392">
        <f t="shared" ref="F2606:F2608" si="623">C2606*0.9</f>
        <v>4.8600000000000003</v>
      </c>
      <c r="G2606" s="392">
        <f>C2606+D2606+E2606+F2606</f>
        <v>11.448</v>
      </c>
      <c r="H2606" s="392">
        <f t="shared" ref="H2606:H2608" si="624">G2606*0.35</f>
        <v>4.0068000000000001</v>
      </c>
      <c r="I2606" s="393">
        <f>G2606+H2606</f>
        <v>15.454800000000001</v>
      </c>
      <c r="J2606" s="381"/>
    </row>
    <row r="2607" spans="1:10">
      <c r="A2607" s="350"/>
      <c r="B2607" s="351"/>
      <c r="C2607" s="391"/>
      <c r="D2607" s="392"/>
      <c r="E2607" s="355"/>
      <c r="F2607" s="392"/>
      <c r="G2607" s="392"/>
      <c r="H2607" s="392"/>
      <c r="I2607" s="393"/>
      <c r="J2607" s="381"/>
    </row>
    <row r="2608" spans="1:10">
      <c r="A2608" s="373" t="s">
        <v>1633</v>
      </c>
      <c r="B2608" s="384"/>
      <c r="C2608" s="412">
        <f>C2609+C2610</f>
        <v>12.5</v>
      </c>
      <c r="D2608" s="412">
        <f>C2608*0.22</f>
        <v>2.75</v>
      </c>
      <c r="E2608" s="384">
        <v>0.18</v>
      </c>
      <c r="F2608" s="412">
        <f t="shared" si="623"/>
        <v>11.25</v>
      </c>
      <c r="G2608" s="412">
        <f>C2608+D2608+E2608+F2608</f>
        <v>26.68</v>
      </c>
      <c r="H2608" s="412">
        <f t="shared" si="624"/>
        <v>9.3379999999999992</v>
      </c>
      <c r="I2608" s="413">
        <f>G2608+H2608</f>
        <v>36.018000000000001</v>
      </c>
      <c r="J2608" s="349">
        <f>I2608+I2611+I2612</f>
        <v>43.745400000000004</v>
      </c>
    </row>
    <row r="2609" spans="1:10">
      <c r="A2609" s="422" t="s">
        <v>1421</v>
      </c>
      <c r="B2609" s="423">
        <v>10</v>
      </c>
      <c r="C2609" s="424">
        <v>6.7</v>
      </c>
      <c r="D2609" s="424"/>
      <c r="E2609" s="423"/>
      <c r="F2609" s="424"/>
      <c r="G2609" s="424"/>
      <c r="H2609" s="424"/>
      <c r="I2609" s="425"/>
      <c r="J2609" s="380"/>
    </row>
    <row r="2610" spans="1:10">
      <c r="A2610" s="426" t="s">
        <v>1387</v>
      </c>
      <c r="B2610" s="386">
        <v>10</v>
      </c>
      <c r="C2610" s="392">
        <v>5.8</v>
      </c>
      <c r="D2610" s="386"/>
      <c r="E2610" s="386"/>
      <c r="F2610" s="392"/>
      <c r="G2610" s="386"/>
      <c r="H2610" s="392"/>
      <c r="I2610" s="427"/>
      <c r="J2610" s="381"/>
    </row>
    <row r="2611" spans="1:10">
      <c r="A2611" s="350" t="s">
        <v>385</v>
      </c>
      <c r="B2611" s="351">
        <v>5</v>
      </c>
      <c r="C2611" s="391">
        <v>2.7</v>
      </c>
      <c r="D2611" s="392">
        <f>C2611*0.22</f>
        <v>0.59400000000000008</v>
      </c>
      <c r="E2611" s="355"/>
      <c r="F2611" s="392">
        <f t="shared" ref="F2611:F2613" si="625">C2611*0.9</f>
        <v>2.4300000000000002</v>
      </c>
      <c r="G2611" s="392">
        <f>C2611+D2611+E2611+F2611</f>
        <v>5.7240000000000002</v>
      </c>
      <c r="H2611" s="392">
        <f t="shared" ref="H2611:H2613" si="626">G2611*0.35</f>
        <v>2.0034000000000001</v>
      </c>
      <c r="I2611" s="393">
        <f>G2611+H2611</f>
        <v>7.7274000000000003</v>
      </c>
      <c r="J2611" s="381"/>
    </row>
    <row r="2612" spans="1:10">
      <c r="A2612" s="350"/>
      <c r="B2612" s="351"/>
      <c r="C2612" s="391"/>
      <c r="D2612" s="392"/>
      <c r="E2612" s="355"/>
      <c r="F2612" s="392"/>
      <c r="G2612" s="392"/>
      <c r="H2612" s="392"/>
      <c r="I2612" s="393"/>
      <c r="J2612" s="381"/>
    </row>
    <row r="2613" spans="1:10">
      <c r="A2613" s="373" t="s">
        <v>1634</v>
      </c>
      <c r="B2613" s="384"/>
      <c r="C2613" s="412">
        <f>C2614+C2615</f>
        <v>25</v>
      </c>
      <c r="D2613" s="412">
        <f>C2613*0.22</f>
        <v>5.5</v>
      </c>
      <c r="E2613" s="384">
        <v>22</v>
      </c>
      <c r="F2613" s="412">
        <f t="shared" si="625"/>
        <v>22.5</v>
      </c>
      <c r="G2613" s="412">
        <f>C2613+D2613+E2613+F2613</f>
        <v>75</v>
      </c>
      <c r="H2613" s="412">
        <f t="shared" si="626"/>
        <v>26.25</v>
      </c>
      <c r="I2613" s="413">
        <f>G2613+H2613</f>
        <v>101.25</v>
      </c>
      <c r="J2613" s="349">
        <f>I2613+I2616+I2617</f>
        <v>116.70480000000001</v>
      </c>
    </row>
    <row r="2614" spans="1:10">
      <c r="A2614" s="422" t="s">
        <v>1421</v>
      </c>
      <c r="B2614" s="423">
        <v>20</v>
      </c>
      <c r="C2614" s="424">
        <v>13.4</v>
      </c>
      <c r="D2614" s="424"/>
      <c r="E2614" s="423"/>
      <c r="F2614" s="424"/>
      <c r="G2614" s="424"/>
      <c r="H2614" s="424"/>
      <c r="I2614" s="425"/>
      <c r="J2614" s="380"/>
    </row>
    <row r="2615" spans="1:10">
      <c r="A2615" s="426" t="s">
        <v>1422</v>
      </c>
      <c r="B2615" s="386">
        <v>20</v>
      </c>
      <c r="C2615" s="392">
        <v>11.6</v>
      </c>
      <c r="D2615" s="386"/>
      <c r="E2615" s="386"/>
      <c r="F2615" s="392"/>
      <c r="G2615" s="386"/>
      <c r="H2615" s="392"/>
      <c r="I2615" s="427"/>
      <c r="J2615" s="381"/>
    </row>
    <row r="2616" spans="1:10">
      <c r="A2616" s="350" t="s">
        <v>385</v>
      </c>
      <c r="B2616" s="351">
        <v>10</v>
      </c>
      <c r="C2616" s="391">
        <v>5.4</v>
      </c>
      <c r="D2616" s="392">
        <f>C2616*0.22</f>
        <v>1.1880000000000002</v>
      </c>
      <c r="E2616" s="355"/>
      <c r="F2616" s="392">
        <f t="shared" ref="F2616:F2618" si="627">C2616*0.9</f>
        <v>4.8600000000000003</v>
      </c>
      <c r="G2616" s="392">
        <f>C2616+D2616+E2616+F2616</f>
        <v>11.448</v>
      </c>
      <c r="H2616" s="392">
        <f t="shared" ref="H2616:H2618" si="628">G2616*0.35</f>
        <v>4.0068000000000001</v>
      </c>
      <c r="I2616" s="393">
        <f>G2616+H2616</f>
        <v>15.454800000000001</v>
      </c>
      <c r="J2616" s="381"/>
    </row>
    <row r="2617" spans="1:10">
      <c r="A2617" s="350"/>
      <c r="B2617" s="351"/>
      <c r="C2617" s="391"/>
      <c r="D2617" s="392"/>
      <c r="E2617" s="355"/>
      <c r="F2617" s="392"/>
      <c r="G2617" s="392"/>
      <c r="H2617" s="392"/>
      <c r="I2617" s="393"/>
      <c r="J2617" s="381"/>
    </row>
    <row r="2618" spans="1:10">
      <c r="A2618" s="373" t="s">
        <v>1635</v>
      </c>
      <c r="B2618" s="384"/>
      <c r="C2618" s="412">
        <f>C2619+C2620</f>
        <v>12.5</v>
      </c>
      <c r="D2618" s="412">
        <f>C2618*0.22</f>
        <v>2.75</v>
      </c>
      <c r="E2618" s="384">
        <v>0.18</v>
      </c>
      <c r="F2618" s="412">
        <f t="shared" si="627"/>
        <v>11.25</v>
      </c>
      <c r="G2618" s="412">
        <f>C2618+D2618+E2618+F2618</f>
        <v>26.68</v>
      </c>
      <c r="H2618" s="412">
        <f t="shared" si="628"/>
        <v>9.3379999999999992</v>
      </c>
      <c r="I2618" s="413">
        <f>G2618+H2618</f>
        <v>36.018000000000001</v>
      </c>
      <c r="J2618" s="349">
        <f>I2618+I2621+I2622</f>
        <v>43.745400000000004</v>
      </c>
    </row>
    <row r="2619" spans="1:10">
      <c r="A2619" s="422" t="s">
        <v>1421</v>
      </c>
      <c r="B2619" s="423">
        <v>10</v>
      </c>
      <c r="C2619" s="424">
        <v>6.7</v>
      </c>
      <c r="D2619" s="424"/>
      <c r="E2619" s="423"/>
      <c r="F2619" s="424"/>
      <c r="G2619" s="424"/>
      <c r="H2619" s="424"/>
      <c r="I2619" s="425"/>
      <c r="J2619" s="380"/>
    </row>
    <row r="2620" spans="1:10">
      <c r="A2620" s="426" t="s">
        <v>1387</v>
      </c>
      <c r="B2620" s="386">
        <v>10</v>
      </c>
      <c r="C2620" s="392">
        <v>5.8</v>
      </c>
      <c r="D2620" s="386"/>
      <c r="E2620" s="386"/>
      <c r="F2620" s="392"/>
      <c r="G2620" s="386"/>
      <c r="H2620" s="392"/>
      <c r="I2620" s="427"/>
      <c r="J2620" s="381"/>
    </row>
    <row r="2621" spans="1:10">
      <c r="A2621" s="350" t="s">
        <v>385</v>
      </c>
      <c r="B2621" s="351">
        <v>5</v>
      </c>
      <c r="C2621" s="391">
        <v>2.7</v>
      </c>
      <c r="D2621" s="392">
        <f>C2621*0.22</f>
        <v>0.59400000000000008</v>
      </c>
      <c r="E2621" s="355"/>
      <c r="F2621" s="392">
        <f t="shared" ref="F2621" si="629">C2621*0.9</f>
        <v>2.4300000000000002</v>
      </c>
      <c r="G2621" s="392">
        <f>C2621+D2621+E2621+F2621</f>
        <v>5.7240000000000002</v>
      </c>
      <c r="H2621" s="392">
        <f t="shared" ref="H2621" si="630">G2621*0.35</f>
        <v>2.0034000000000001</v>
      </c>
      <c r="I2621" s="393">
        <f>G2621+H2621</f>
        <v>7.7274000000000003</v>
      </c>
      <c r="J2621" s="381"/>
    </row>
    <row r="2622" spans="1:10">
      <c r="A2622" s="350"/>
      <c r="B2622" s="351"/>
      <c r="C2622" s="391"/>
      <c r="D2622" s="392"/>
      <c r="E2622" s="355"/>
      <c r="F2622" s="392"/>
      <c r="G2622" s="392"/>
      <c r="H2622" s="392"/>
      <c r="I2622" s="393"/>
      <c r="J2622" s="381"/>
    </row>
    <row r="2623" spans="1:10">
      <c r="A2623" s="373" t="s">
        <v>1636</v>
      </c>
      <c r="B2623" s="384"/>
      <c r="C2623" s="412">
        <f>C2624+C2625</f>
        <v>18.75</v>
      </c>
      <c r="D2623" s="412">
        <f>C2623*0.22</f>
        <v>4.125</v>
      </c>
      <c r="E2623" s="384">
        <v>0.18</v>
      </c>
      <c r="F2623" s="412">
        <f t="shared" ref="F2623" si="631">C2623*0.9</f>
        <v>16.875</v>
      </c>
      <c r="G2623" s="412">
        <f>C2623+D2623+E2623+F2623</f>
        <v>39.93</v>
      </c>
      <c r="H2623" s="412">
        <f t="shared" ref="H2623" si="632">G2623*0.35</f>
        <v>13.975499999999998</v>
      </c>
      <c r="I2623" s="413">
        <f>G2623+H2623</f>
        <v>53.905499999999996</v>
      </c>
      <c r="J2623" s="349">
        <f>I2623+I2626+I2627</f>
        <v>64.723860000000002</v>
      </c>
    </row>
    <row r="2624" spans="1:10">
      <c r="A2624" s="422" t="s">
        <v>1421</v>
      </c>
      <c r="B2624" s="423">
        <v>15</v>
      </c>
      <c r="C2624" s="424">
        <v>10.050000000000001</v>
      </c>
      <c r="D2624" s="424"/>
      <c r="E2624" s="423"/>
      <c r="F2624" s="424"/>
      <c r="G2624" s="424"/>
      <c r="H2624" s="424"/>
      <c r="I2624" s="425"/>
      <c r="J2624" s="380"/>
    </row>
    <row r="2625" spans="1:10">
      <c r="A2625" s="426" t="s">
        <v>1387</v>
      </c>
      <c r="B2625" s="386">
        <v>15</v>
      </c>
      <c r="C2625" s="392">
        <v>8.6999999999999993</v>
      </c>
      <c r="D2625" s="386"/>
      <c r="E2625" s="386"/>
      <c r="F2625" s="392"/>
      <c r="G2625" s="386"/>
      <c r="H2625" s="392"/>
      <c r="I2625" s="427"/>
      <c r="J2625" s="381"/>
    </row>
    <row r="2626" spans="1:10">
      <c r="A2626" s="350" t="s">
        <v>385</v>
      </c>
      <c r="B2626" s="351">
        <v>7</v>
      </c>
      <c r="C2626" s="391">
        <v>3.78</v>
      </c>
      <c r="D2626" s="392">
        <f>C2626*0.22</f>
        <v>0.83160000000000001</v>
      </c>
      <c r="E2626" s="355"/>
      <c r="F2626" s="392">
        <f t="shared" ref="F2626:F2628" si="633">C2626*0.9</f>
        <v>3.4019999999999997</v>
      </c>
      <c r="G2626" s="392">
        <f>C2626+D2626+E2626+F2626</f>
        <v>8.0136000000000003</v>
      </c>
      <c r="H2626" s="392">
        <f t="shared" ref="H2626:H2628" si="634">G2626*0.35</f>
        <v>2.8047599999999999</v>
      </c>
      <c r="I2626" s="393">
        <f>G2626+H2626</f>
        <v>10.81836</v>
      </c>
      <c r="J2626" s="381"/>
    </row>
    <row r="2627" spans="1:10">
      <c r="A2627" s="350"/>
      <c r="B2627" s="351"/>
      <c r="C2627" s="391"/>
      <c r="D2627" s="392"/>
      <c r="E2627" s="355"/>
      <c r="F2627" s="392"/>
      <c r="G2627" s="392"/>
      <c r="H2627" s="392"/>
      <c r="I2627" s="393"/>
      <c r="J2627" s="381"/>
    </row>
    <row r="2628" spans="1:10">
      <c r="A2628" s="373" t="s">
        <v>1637</v>
      </c>
      <c r="B2628" s="384"/>
      <c r="C2628" s="412">
        <f>C2629+C2630</f>
        <v>18.75</v>
      </c>
      <c r="D2628" s="412">
        <f>C2628*0.22</f>
        <v>4.125</v>
      </c>
      <c r="E2628" s="384">
        <v>0.18</v>
      </c>
      <c r="F2628" s="412">
        <f t="shared" si="633"/>
        <v>16.875</v>
      </c>
      <c r="G2628" s="412">
        <f>C2628+D2628+E2628+F2628</f>
        <v>39.93</v>
      </c>
      <c r="H2628" s="412">
        <f t="shared" si="634"/>
        <v>13.975499999999998</v>
      </c>
      <c r="I2628" s="413">
        <f>G2628+H2628</f>
        <v>53.905499999999996</v>
      </c>
      <c r="J2628" s="349">
        <f>I2628+I2631+I2632</f>
        <v>64.723860000000002</v>
      </c>
    </row>
    <row r="2629" spans="1:10">
      <c r="A2629" s="422" t="s">
        <v>1421</v>
      </c>
      <c r="B2629" s="423">
        <v>15</v>
      </c>
      <c r="C2629" s="424">
        <v>10.050000000000001</v>
      </c>
      <c r="D2629" s="424"/>
      <c r="E2629" s="423"/>
      <c r="F2629" s="424"/>
      <c r="G2629" s="424"/>
      <c r="H2629" s="424"/>
      <c r="I2629" s="425"/>
      <c r="J2629" s="380"/>
    </row>
    <row r="2630" spans="1:10">
      <c r="A2630" s="426" t="s">
        <v>1387</v>
      </c>
      <c r="B2630" s="386">
        <v>15</v>
      </c>
      <c r="C2630" s="392">
        <v>8.6999999999999993</v>
      </c>
      <c r="D2630" s="386"/>
      <c r="E2630" s="386"/>
      <c r="F2630" s="392"/>
      <c r="G2630" s="386"/>
      <c r="H2630" s="392"/>
      <c r="I2630" s="427"/>
      <c r="J2630" s="381"/>
    </row>
    <row r="2631" spans="1:10">
      <c r="A2631" s="350" t="s">
        <v>385</v>
      </c>
      <c r="B2631" s="351">
        <v>7</v>
      </c>
      <c r="C2631" s="391">
        <v>3.78</v>
      </c>
      <c r="D2631" s="392">
        <f>C2631*0.22</f>
        <v>0.83160000000000001</v>
      </c>
      <c r="E2631" s="355"/>
      <c r="F2631" s="392">
        <f t="shared" ref="F2631:F2633" si="635">C2631*0.9</f>
        <v>3.4019999999999997</v>
      </c>
      <c r="G2631" s="392">
        <f>C2631+D2631+E2631+F2631</f>
        <v>8.0136000000000003</v>
      </c>
      <c r="H2631" s="392">
        <f t="shared" ref="H2631:H2633" si="636">G2631*0.35</f>
        <v>2.8047599999999999</v>
      </c>
      <c r="I2631" s="393">
        <f>G2631+H2631</f>
        <v>10.81836</v>
      </c>
      <c r="J2631" s="381"/>
    </row>
    <row r="2632" spans="1:10">
      <c r="A2632" s="350"/>
      <c r="B2632" s="351"/>
      <c r="C2632" s="391"/>
      <c r="D2632" s="392"/>
      <c r="E2632" s="355"/>
      <c r="F2632" s="392"/>
      <c r="G2632" s="392"/>
      <c r="H2632" s="392"/>
      <c r="I2632" s="393"/>
      <c r="J2632" s="381"/>
    </row>
    <row r="2633" spans="1:10">
      <c r="A2633" s="373" t="s">
        <v>1638</v>
      </c>
      <c r="B2633" s="384"/>
      <c r="C2633" s="412">
        <f>C2634+C2635</f>
        <v>18.75</v>
      </c>
      <c r="D2633" s="412">
        <f>C2633*0.22</f>
        <v>4.125</v>
      </c>
      <c r="E2633" s="384">
        <v>0.18</v>
      </c>
      <c r="F2633" s="412">
        <f t="shared" si="635"/>
        <v>16.875</v>
      </c>
      <c r="G2633" s="412">
        <f>C2633+D2633+E2633+F2633</f>
        <v>39.93</v>
      </c>
      <c r="H2633" s="412">
        <f t="shared" si="636"/>
        <v>13.975499999999998</v>
      </c>
      <c r="I2633" s="413">
        <f>G2633+H2633</f>
        <v>53.905499999999996</v>
      </c>
      <c r="J2633" s="349">
        <f>I2633+I2636+I2637</f>
        <v>64.723860000000002</v>
      </c>
    </row>
    <row r="2634" spans="1:10">
      <c r="A2634" s="422" t="s">
        <v>1421</v>
      </c>
      <c r="B2634" s="423">
        <v>15</v>
      </c>
      <c r="C2634" s="424">
        <v>10.050000000000001</v>
      </c>
      <c r="D2634" s="424"/>
      <c r="E2634" s="423"/>
      <c r="F2634" s="424"/>
      <c r="G2634" s="424"/>
      <c r="H2634" s="424"/>
      <c r="I2634" s="425"/>
      <c r="J2634" s="380"/>
    </row>
    <row r="2635" spans="1:10">
      <c r="A2635" s="426" t="s">
        <v>1387</v>
      </c>
      <c r="B2635" s="386">
        <v>15</v>
      </c>
      <c r="C2635" s="392">
        <v>8.6999999999999993</v>
      </c>
      <c r="D2635" s="386"/>
      <c r="E2635" s="386"/>
      <c r="F2635" s="392"/>
      <c r="G2635" s="386"/>
      <c r="H2635" s="392"/>
      <c r="I2635" s="427"/>
      <c r="J2635" s="381"/>
    </row>
    <row r="2636" spans="1:10">
      <c r="A2636" s="350" t="s">
        <v>385</v>
      </c>
      <c r="B2636" s="351">
        <v>7</v>
      </c>
      <c r="C2636" s="391">
        <v>3.78</v>
      </c>
      <c r="D2636" s="392">
        <f>C2636*0.22</f>
        <v>0.83160000000000001</v>
      </c>
      <c r="E2636" s="355"/>
      <c r="F2636" s="392">
        <f t="shared" ref="F2636:F2638" si="637">C2636*0.9</f>
        <v>3.4019999999999997</v>
      </c>
      <c r="G2636" s="392">
        <f>C2636+D2636+E2636+F2636</f>
        <v>8.0136000000000003</v>
      </c>
      <c r="H2636" s="392">
        <f t="shared" ref="H2636:H2638" si="638">G2636*0.35</f>
        <v>2.8047599999999999</v>
      </c>
      <c r="I2636" s="393">
        <f>G2636+H2636</f>
        <v>10.81836</v>
      </c>
      <c r="J2636" s="381"/>
    </row>
    <row r="2637" spans="1:10">
      <c r="A2637" s="350"/>
      <c r="B2637" s="351"/>
      <c r="C2637" s="391"/>
      <c r="D2637" s="392"/>
      <c r="E2637" s="355"/>
      <c r="F2637" s="392"/>
      <c r="G2637" s="392"/>
      <c r="H2637" s="392"/>
      <c r="I2637" s="393"/>
      <c r="J2637" s="381"/>
    </row>
    <row r="2638" spans="1:10" ht="21.75">
      <c r="A2638" s="373" t="s">
        <v>1639</v>
      </c>
      <c r="B2638" s="384"/>
      <c r="C2638" s="412">
        <f>C2639+C2640</f>
        <v>37.5</v>
      </c>
      <c r="D2638" s="412">
        <f>C2638*0.22</f>
        <v>8.25</v>
      </c>
      <c r="E2638" s="384">
        <v>0.18</v>
      </c>
      <c r="F2638" s="412">
        <f t="shared" si="637"/>
        <v>33.75</v>
      </c>
      <c r="G2638" s="412">
        <f>C2638+D2638+E2638+F2638</f>
        <v>79.680000000000007</v>
      </c>
      <c r="H2638" s="412">
        <f t="shared" si="638"/>
        <v>27.888000000000002</v>
      </c>
      <c r="I2638" s="413">
        <f>G2638+H2638</f>
        <v>107.56800000000001</v>
      </c>
      <c r="J2638" s="349">
        <f>I2638+I2641+I2642</f>
        <v>123.02280000000002</v>
      </c>
    </row>
    <row r="2639" spans="1:10">
      <c r="A2639" s="422" t="s">
        <v>1421</v>
      </c>
      <c r="B2639" s="423">
        <v>30</v>
      </c>
      <c r="C2639" s="424">
        <v>20.100000000000001</v>
      </c>
      <c r="D2639" s="424"/>
      <c r="E2639" s="423"/>
      <c r="F2639" s="424"/>
      <c r="G2639" s="424"/>
      <c r="H2639" s="424"/>
      <c r="I2639" s="425"/>
      <c r="J2639" s="380"/>
    </row>
    <row r="2640" spans="1:10">
      <c r="A2640" s="426" t="s">
        <v>1422</v>
      </c>
      <c r="B2640" s="386">
        <v>30</v>
      </c>
      <c r="C2640" s="392">
        <v>17.399999999999999</v>
      </c>
      <c r="D2640" s="386"/>
      <c r="E2640" s="386"/>
      <c r="F2640" s="392"/>
      <c r="G2640" s="386"/>
      <c r="H2640" s="392"/>
      <c r="I2640" s="427"/>
      <c r="J2640" s="381"/>
    </row>
    <row r="2641" spans="1:10">
      <c r="A2641" s="350" t="s">
        <v>385</v>
      </c>
      <c r="B2641" s="351">
        <v>10</v>
      </c>
      <c r="C2641" s="391">
        <v>5.4</v>
      </c>
      <c r="D2641" s="392">
        <f>C2641*0.22</f>
        <v>1.1880000000000002</v>
      </c>
      <c r="E2641" s="355"/>
      <c r="F2641" s="392">
        <f t="shared" ref="F2641:F2643" si="639">C2641*0.9</f>
        <v>4.8600000000000003</v>
      </c>
      <c r="G2641" s="392">
        <f>C2641+D2641+E2641+F2641</f>
        <v>11.448</v>
      </c>
      <c r="H2641" s="392">
        <f t="shared" ref="H2641:H2643" si="640">G2641*0.35</f>
        <v>4.0068000000000001</v>
      </c>
      <c r="I2641" s="393">
        <f>G2641+H2641</f>
        <v>15.454800000000001</v>
      </c>
      <c r="J2641" s="381"/>
    </row>
    <row r="2642" spans="1:10">
      <c r="A2642" s="350"/>
      <c r="B2642" s="351"/>
      <c r="C2642" s="391"/>
      <c r="D2642" s="392"/>
      <c r="E2642" s="355"/>
      <c r="F2642" s="392"/>
      <c r="G2642" s="392"/>
      <c r="H2642" s="392"/>
      <c r="I2642" s="393"/>
      <c r="J2642" s="381"/>
    </row>
    <row r="2643" spans="1:10">
      <c r="A2643" s="373" t="s">
        <v>1640</v>
      </c>
      <c r="B2643" s="384"/>
      <c r="C2643" s="412">
        <f>C2644+C2645</f>
        <v>12.5</v>
      </c>
      <c r="D2643" s="412">
        <f>C2643*0.22</f>
        <v>2.75</v>
      </c>
      <c r="E2643" s="384">
        <v>0.18</v>
      </c>
      <c r="F2643" s="412">
        <f t="shared" si="639"/>
        <v>11.25</v>
      </c>
      <c r="G2643" s="412">
        <f>C2643+D2643+E2643+F2643</f>
        <v>26.68</v>
      </c>
      <c r="H2643" s="412">
        <f t="shared" si="640"/>
        <v>9.3379999999999992</v>
      </c>
      <c r="I2643" s="413">
        <f>G2643+H2643</f>
        <v>36.018000000000001</v>
      </c>
      <c r="J2643" s="349">
        <f>I2643+I2646+I2647</f>
        <v>43.745400000000004</v>
      </c>
    </row>
    <row r="2644" spans="1:10">
      <c r="A2644" s="422" t="s">
        <v>1421</v>
      </c>
      <c r="B2644" s="423">
        <v>10</v>
      </c>
      <c r="C2644" s="424">
        <v>6.7</v>
      </c>
      <c r="D2644" s="424"/>
      <c r="E2644" s="423"/>
      <c r="F2644" s="424"/>
      <c r="G2644" s="424"/>
      <c r="H2644" s="424"/>
      <c r="I2644" s="425"/>
      <c r="J2644" s="379"/>
    </row>
    <row r="2645" spans="1:10">
      <c r="A2645" s="426" t="s">
        <v>1387</v>
      </c>
      <c r="B2645" s="386">
        <v>10</v>
      </c>
      <c r="C2645" s="392">
        <v>5.8</v>
      </c>
      <c r="D2645" s="386"/>
      <c r="E2645" s="386"/>
      <c r="F2645" s="392"/>
      <c r="G2645" s="386"/>
      <c r="H2645" s="392"/>
      <c r="I2645" s="427"/>
      <c r="J2645" s="408"/>
    </row>
    <row r="2646" spans="1:10">
      <c r="A2646" s="350" t="s">
        <v>385</v>
      </c>
      <c r="B2646" s="351">
        <v>5</v>
      </c>
      <c r="C2646" s="391">
        <v>2.7</v>
      </c>
      <c r="D2646" s="392">
        <f>C2646*0.22</f>
        <v>0.59400000000000008</v>
      </c>
      <c r="E2646" s="355"/>
      <c r="F2646" s="392">
        <f t="shared" ref="F2646" si="641">C2646*0.9</f>
        <v>2.4300000000000002</v>
      </c>
      <c r="G2646" s="392">
        <f>C2646+D2646+E2646+F2646</f>
        <v>5.7240000000000002</v>
      </c>
      <c r="H2646" s="392">
        <f t="shared" ref="H2646" si="642">G2646*0.35</f>
        <v>2.0034000000000001</v>
      </c>
      <c r="I2646" s="393">
        <f>G2646+H2646</f>
        <v>7.7274000000000003</v>
      </c>
      <c r="J2646" s="408"/>
    </row>
    <row r="2647" spans="1:10">
      <c r="A2647" s="350"/>
      <c r="B2647" s="351"/>
      <c r="C2647" s="391"/>
      <c r="D2647" s="392"/>
      <c r="E2647" s="355"/>
      <c r="F2647" s="392"/>
      <c r="G2647" s="392"/>
      <c r="H2647" s="392"/>
      <c r="I2647" s="393"/>
      <c r="J2647" s="408"/>
    </row>
    <row r="2648" spans="1:10" ht="12.75">
      <c r="A2648" s="490" t="s">
        <v>1641</v>
      </c>
      <c r="B2648" s="491"/>
      <c r="C2648" s="491"/>
      <c r="D2648" s="491"/>
      <c r="E2648" s="491"/>
      <c r="F2648" s="491"/>
      <c r="G2648" s="491"/>
      <c r="H2648" s="491"/>
      <c r="I2648" s="491"/>
      <c r="J2648" s="492"/>
    </row>
    <row r="2649" spans="1:10" ht="21">
      <c r="A2649" s="345" t="s">
        <v>1642</v>
      </c>
      <c r="B2649" s="346"/>
      <c r="C2649" s="412">
        <f>C2650+C2651</f>
        <v>8.89</v>
      </c>
      <c r="D2649" s="412">
        <f>C2649*0.22</f>
        <v>1.9558000000000002</v>
      </c>
      <c r="E2649" s="412">
        <v>0.18</v>
      </c>
      <c r="F2649" s="412">
        <f>C2649*0.9</f>
        <v>8.0010000000000012</v>
      </c>
      <c r="G2649" s="412">
        <f t="shared" ref="G2649:G2654" si="643">C2649+D2649+E2649+F2649</f>
        <v>19.026800000000001</v>
      </c>
      <c r="H2649" s="412">
        <f>G2649*0.35</f>
        <v>6.6593800000000005</v>
      </c>
      <c r="I2649" s="413">
        <f t="shared" ref="I2649:I2654" si="644">G2649+H2649</f>
        <v>25.68618</v>
      </c>
      <c r="J2649" s="349">
        <f>I2649+I2652+I2653</f>
        <v>31.095359999999999</v>
      </c>
    </row>
    <row r="2650" spans="1:10">
      <c r="A2650" s="350" t="s">
        <v>258</v>
      </c>
      <c r="B2650" s="350">
        <v>7</v>
      </c>
      <c r="C2650" s="391">
        <v>4.83</v>
      </c>
      <c r="D2650" s="392">
        <f>C2650*0.22</f>
        <v>1.0626</v>
      </c>
      <c r="E2650" s="392"/>
      <c r="F2650" s="392">
        <f>C2650*0.9</f>
        <v>4.3470000000000004</v>
      </c>
      <c r="G2650" s="392">
        <f t="shared" si="643"/>
        <v>10.239599999999999</v>
      </c>
      <c r="H2650" s="392">
        <f>G2650*0.35</f>
        <v>3.5838599999999996</v>
      </c>
      <c r="I2650" s="393">
        <f t="shared" si="644"/>
        <v>13.823459999999999</v>
      </c>
      <c r="J2650" s="353"/>
    </row>
    <row r="2651" spans="1:10">
      <c r="A2651" s="350" t="s">
        <v>337</v>
      </c>
      <c r="B2651" s="350">
        <v>7</v>
      </c>
      <c r="C2651" s="391">
        <v>4.0599999999999996</v>
      </c>
      <c r="D2651" s="392">
        <f>C2651*0.22</f>
        <v>0.89319999999999988</v>
      </c>
      <c r="E2651" s="392"/>
      <c r="F2651" s="392">
        <f>C2651*0.9</f>
        <v>3.6539999999999999</v>
      </c>
      <c r="G2651" s="392">
        <f t="shared" si="643"/>
        <v>8.6071999999999989</v>
      </c>
      <c r="H2651" s="392">
        <f>G2651*0.35</f>
        <v>3.0125199999999994</v>
      </c>
      <c r="I2651" s="393">
        <f t="shared" si="644"/>
        <v>11.619719999999997</v>
      </c>
      <c r="J2651" s="353"/>
    </row>
    <row r="2652" spans="1:10">
      <c r="A2652" s="350" t="s">
        <v>385</v>
      </c>
      <c r="B2652" s="351">
        <v>3.5</v>
      </c>
      <c r="C2652" s="391">
        <v>1.89</v>
      </c>
      <c r="D2652" s="392">
        <f>C2652*0.22</f>
        <v>0.4158</v>
      </c>
      <c r="E2652" s="355"/>
      <c r="F2652" s="392">
        <f>C2652*0.9</f>
        <v>1.7009999999999998</v>
      </c>
      <c r="G2652" s="392">
        <f t="shared" si="643"/>
        <v>4.0068000000000001</v>
      </c>
      <c r="H2652" s="392">
        <f>G2652*0.35</f>
        <v>1.40238</v>
      </c>
      <c r="I2652" s="393">
        <f t="shared" si="644"/>
        <v>5.4091800000000001</v>
      </c>
      <c r="J2652" s="353"/>
    </row>
    <row r="2653" spans="1:10">
      <c r="A2653" s="350"/>
      <c r="B2653" s="351"/>
      <c r="C2653" s="391"/>
      <c r="D2653" s="392"/>
      <c r="E2653" s="355"/>
      <c r="F2653" s="392"/>
      <c r="G2653" s="392"/>
      <c r="H2653" s="392"/>
      <c r="I2653" s="393"/>
      <c r="J2653" s="353"/>
    </row>
    <row r="2654" spans="1:10" ht="21">
      <c r="A2654" s="345" t="s">
        <v>1643</v>
      </c>
      <c r="B2654" s="346"/>
      <c r="C2654" s="412">
        <f>C2655+C2656</f>
        <v>5.55</v>
      </c>
      <c r="D2654" s="412">
        <f t="shared" ref="D2654:D2672" si="645">C2654*0.22</f>
        <v>1.2209999999999999</v>
      </c>
      <c r="E2654" s="412">
        <v>0.18</v>
      </c>
      <c r="F2654" s="412">
        <f t="shared" ref="F2654:F2697" si="646">C2654*0.9</f>
        <v>4.9950000000000001</v>
      </c>
      <c r="G2654" s="412">
        <f t="shared" si="643"/>
        <v>11.946</v>
      </c>
      <c r="H2654" s="412">
        <f t="shared" ref="H2654" si="647">G2654*0.35</f>
        <v>4.1810999999999998</v>
      </c>
      <c r="I2654" s="413">
        <f t="shared" si="644"/>
        <v>16.127099999999999</v>
      </c>
      <c r="J2654" s="349">
        <f>I2654+I2657+I2660</f>
        <v>19.218059999999998</v>
      </c>
    </row>
    <row r="2655" spans="1:10">
      <c r="A2655" s="350" t="s">
        <v>258</v>
      </c>
      <c r="B2655" s="350">
        <v>5</v>
      </c>
      <c r="C2655" s="391">
        <v>3.15</v>
      </c>
      <c r="D2655" s="392">
        <f t="shared" si="645"/>
        <v>0.69299999999999995</v>
      </c>
      <c r="E2655" s="360"/>
      <c r="F2655" s="392">
        <f t="shared" si="646"/>
        <v>2.835</v>
      </c>
      <c r="G2655" s="392"/>
      <c r="H2655" s="392"/>
      <c r="I2655" s="393"/>
      <c r="J2655" s="353"/>
    </row>
    <row r="2656" spans="1:10">
      <c r="A2656" s="350" t="s">
        <v>337</v>
      </c>
      <c r="B2656" s="350">
        <v>5</v>
      </c>
      <c r="C2656" s="391">
        <v>2.4</v>
      </c>
      <c r="D2656" s="392">
        <f t="shared" si="645"/>
        <v>0.52800000000000002</v>
      </c>
      <c r="E2656" s="360"/>
      <c r="F2656" s="392">
        <f t="shared" si="646"/>
        <v>2.16</v>
      </c>
      <c r="G2656" s="392"/>
      <c r="H2656" s="392"/>
      <c r="I2656" s="393"/>
      <c r="J2656" s="353"/>
    </row>
    <row r="2657" spans="1:10">
      <c r="A2657" s="350" t="s">
        <v>385</v>
      </c>
      <c r="B2657" s="351">
        <v>2</v>
      </c>
      <c r="C2657" s="391">
        <v>1.08</v>
      </c>
      <c r="D2657" s="392">
        <f t="shared" si="645"/>
        <v>0.23760000000000001</v>
      </c>
      <c r="E2657" s="355"/>
      <c r="F2657" s="392">
        <f t="shared" si="646"/>
        <v>0.97200000000000009</v>
      </c>
      <c r="G2657" s="392">
        <f>C2657+D2657+E2657+F2657</f>
        <v>2.2896000000000001</v>
      </c>
      <c r="H2657" s="392">
        <f t="shared" ref="H2657:H2664" si="648">G2657*0.35</f>
        <v>0.80135999999999996</v>
      </c>
      <c r="I2657" s="393">
        <f>G2657+H2657</f>
        <v>3.0909599999999999</v>
      </c>
      <c r="J2657" s="353"/>
    </row>
    <row r="2658" spans="1:10">
      <c r="A2658" s="350"/>
      <c r="B2658" s="351"/>
      <c r="C2658" s="391"/>
      <c r="D2658" s="392"/>
      <c r="E2658" s="355"/>
      <c r="F2658" s="392"/>
      <c r="G2658" s="392"/>
      <c r="H2658" s="392"/>
      <c r="I2658" s="393"/>
      <c r="J2658" s="353"/>
    </row>
    <row r="2659" spans="1:10">
      <c r="A2659" s="345" t="s">
        <v>1644</v>
      </c>
      <c r="B2659" s="346"/>
      <c r="C2659" s="412">
        <f>C2660+C2661</f>
        <v>18.600000000000001</v>
      </c>
      <c r="D2659" s="412">
        <f t="shared" ref="D2659:D2662" si="649">C2659*0.22</f>
        <v>4.0920000000000005</v>
      </c>
      <c r="E2659" s="412">
        <v>15</v>
      </c>
      <c r="F2659" s="412">
        <f t="shared" ref="F2659:F2662" si="650">C2659*0.9</f>
        <v>16.740000000000002</v>
      </c>
      <c r="G2659" s="412">
        <f t="shared" ref="G2659" si="651">C2659+D2659+E2659+F2659</f>
        <v>54.432000000000002</v>
      </c>
      <c r="H2659" s="412">
        <f t="shared" ref="H2659" si="652">G2659*0.35</f>
        <v>19.051199999999998</v>
      </c>
      <c r="I2659" s="413">
        <f t="shared" ref="I2659" si="653">G2659+H2659</f>
        <v>73.483199999999997</v>
      </c>
      <c r="J2659" s="349">
        <f>I2659+I2662+I2664</f>
        <v>101.20139999999999</v>
      </c>
    </row>
    <row r="2660" spans="1:10">
      <c r="A2660" s="350" t="s">
        <v>258</v>
      </c>
      <c r="B2660" s="350">
        <v>15</v>
      </c>
      <c r="C2660" s="391">
        <v>11.4</v>
      </c>
      <c r="D2660" s="392">
        <f t="shared" si="649"/>
        <v>2.508</v>
      </c>
      <c r="E2660" s="392"/>
      <c r="F2660" s="392">
        <f t="shared" si="650"/>
        <v>10.26</v>
      </c>
      <c r="G2660" s="392"/>
      <c r="H2660" s="392"/>
      <c r="I2660" s="393"/>
      <c r="J2660" s="353"/>
    </row>
    <row r="2661" spans="1:10">
      <c r="A2661" s="350" t="s">
        <v>337</v>
      </c>
      <c r="B2661" s="350">
        <v>15</v>
      </c>
      <c r="C2661" s="391">
        <v>7.2</v>
      </c>
      <c r="D2661" s="392">
        <f t="shared" si="649"/>
        <v>1.5840000000000001</v>
      </c>
      <c r="E2661" s="392"/>
      <c r="F2661" s="392">
        <f t="shared" si="650"/>
        <v>6.48</v>
      </c>
      <c r="G2661" s="392"/>
      <c r="H2661" s="392"/>
      <c r="I2661" s="393"/>
      <c r="J2661" s="353"/>
    </row>
    <row r="2662" spans="1:10">
      <c r="A2662" s="350" t="s">
        <v>385</v>
      </c>
      <c r="B2662" s="351">
        <v>7.5</v>
      </c>
      <c r="C2662" s="391">
        <v>4.05</v>
      </c>
      <c r="D2662" s="392">
        <f t="shared" si="649"/>
        <v>0.89100000000000001</v>
      </c>
      <c r="E2662" s="355"/>
      <c r="F2662" s="392">
        <f t="shared" si="650"/>
        <v>3.645</v>
      </c>
      <c r="G2662" s="392">
        <f>C2662+D2662+E2662+F2662</f>
        <v>8.5860000000000003</v>
      </c>
      <c r="H2662" s="392">
        <f t="shared" ref="H2662" si="654">G2662*0.35</f>
        <v>3.0051000000000001</v>
      </c>
      <c r="I2662" s="393">
        <f>G2662+H2662</f>
        <v>11.591100000000001</v>
      </c>
      <c r="J2662" s="353"/>
    </row>
    <row r="2663" spans="1:10">
      <c r="A2663" s="350"/>
      <c r="B2663" s="351"/>
      <c r="C2663" s="391"/>
      <c r="D2663" s="392"/>
      <c r="E2663" s="355"/>
      <c r="F2663" s="392"/>
      <c r="G2663" s="392"/>
      <c r="H2663" s="392"/>
      <c r="I2663" s="393"/>
      <c r="J2663" s="353"/>
    </row>
    <row r="2664" spans="1:10" ht="21">
      <c r="A2664" s="345" t="s">
        <v>1645</v>
      </c>
      <c r="B2664" s="346"/>
      <c r="C2664" s="412">
        <f>C2665+C2666</f>
        <v>5.55</v>
      </c>
      <c r="D2664" s="412">
        <f t="shared" ref="D2664:D2667" si="655">C2664*0.22</f>
        <v>1.2209999999999999</v>
      </c>
      <c r="E2664" s="412">
        <v>0.18</v>
      </c>
      <c r="F2664" s="412">
        <f t="shared" ref="F2664:F2667" si="656">C2664*0.9</f>
        <v>4.9950000000000001</v>
      </c>
      <c r="G2664" s="412">
        <f>C2664+D2664+E2664+F2664</f>
        <v>11.946</v>
      </c>
      <c r="H2664" s="412">
        <f t="shared" si="648"/>
        <v>4.1810999999999998</v>
      </c>
      <c r="I2664" s="413">
        <f>G2664+H2664</f>
        <v>16.127099999999999</v>
      </c>
      <c r="J2664" s="349">
        <f>I2664+I2667+I2668</f>
        <v>19.218059999999998</v>
      </c>
    </row>
    <row r="2665" spans="1:10">
      <c r="A2665" s="350" t="s">
        <v>258</v>
      </c>
      <c r="B2665" s="350">
        <v>5</v>
      </c>
      <c r="C2665" s="391">
        <v>3.15</v>
      </c>
      <c r="D2665" s="392">
        <f t="shared" si="655"/>
        <v>0.69299999999999995</v>
      </c>
      <c r="E2665" s="360"/>
      <c r="F2665" s="392">
        <f t="shared" si="656"/>
        <v>2.835</v>
      </c>
      <c r="G2665" s="392"/>
      <c r="H2665" s="392"/>
      <c r="I2665" s="393"/>
      <c r="J2665" s="353"/>
    </row>
    <row r="2666" spans="1:10">
      <c r="A2666" s="350" t="s">
        <v>337</v>
      </c>
      <c r="B2666" s="350">
        <v>5</v>
      </c>
      <c r="C2666" s="391">
        <v>2.4</v>
      </c>
      <c r="D2666" s="392">
        <f t="shared" si="655"/>
        <v>0.52800000000000002</v>
      </c>
      <c r="E2666" s="360"/>
      <c r="F2666" s="392">
        <f t="shared" si="656"/>
        <v>2.16</v>
      </c>
      <c r="G2666" s="392"/>
      <c r="H2666" s="392"/>
      <c r="I2666" s="393"/>
      <c r="J2666" s="353"/>
    </row>
    <row r="2667" spans="1:10">
      <c r="A2667" s="350" t="s">
        <v>385</v>
      </c>
      <c r="B2667" s="351">
        <v>2</v>
      </c>
      <c r="C2667" s="391">
        <v>1.08</v>
      </c>
      <c r="D2667" s="392">
        <f t="shared" si="655"/>
        <v>0.23760000000000001</v>
      </c>
      <c r="E2667" s="355"/>
      <c r="F2667" s="392">
        <f t="shared" si="656"/>
        <v>0.97200000000000009</v>
      </c>
      <c r="G2667" s="392">
        <f>C2667+D2667+E2667+F2667</f>
        <v>2.2896000000000001</v>
      </c>
      <c r="H2667" s="392">
        <f t="shared" ref="H2667" si="657">G2667*0.35</f>
        <v>0.80135999999999996</v>
      </c>
      <c r="I2667" s="393">
        <f>G2667+H2667</f>
        <v>3.0909599999999999</v>
      </c>
      <c r="J2667" s="353"/>
    </row>
    <row r="2668" spans="1:10">
      <c r="A2668" s="350"/>
      <c r="B2668" s="351"/>
      <c r="C2668" s="391"/>
      <c r="D2668" s="392"/>
      <c r="E2668" s="355"/>
      <c r="F2668" s="392"/>
      <c r="G2668" s="392"/>
      <c r="H2668" s="392"/>
      <c r="I2668" s="393"/>
      <c r="J2668" s="353"/>
    </row>
    <row r="2669" spans="1:10" ht="21">
      <c r="A2669" s="345" t="s">
        <v>1646</v>
      </c>
      <c r="B2669" s="346"/>
      <c r="C2669" s="412">
        <f>C2670+C2671</f>
        <v>11.1</v>
      </c>
      <c r="D2669" s="412">
        <f t="shared" si="645"/>
        <v>2.4419999999999997</v>
      </c>
      <c r="E2669" s="412">
        <v>0.18</v>
      </c>
      <c r="F2669" s="412">
        <f t="shared" si="646"/>
        <v>9.99</v>
      </c>
      <c r="G2669" s="412">
        <f>C2669+D2669+E2669+F2669</f>
        <v>23.712</v>
      </c>
      <c r="H2669" s="412">
        <f t="shared" ref="H2669" si="658">G2669*0.35</f>
        <v>8.299199999999999</v>
      </c>
      <c r="I2669" s="413">
        <f>G2669+H2669</f>
        <v>32.011200000000002</v>
      </c>
      <c r="J2669" s="349">
        <f>I2669+I2672+I2673</f>
        <v>39.738600000000005</v>
      </c>
    </row>
    <row r="2670" spans="1:10">
      <c r="A2670" s="350" t="s">
        <v>258</v>
      </c>
      <c r="B2670" s="350">
        <v>10</v>
      </c>
      <c r="C2670" s="391">
        <v>6.3</v>
      </c>
      <c r="D2670" s="392">
        <f t="shared" si="645"/>
        <v>1.3859999999999999</v>
      </c>
      <c r="E2670" s="360"/>
      <c r="F2670" s="392">
        <f t="shared" si="646"/>
        <v>5.67</v>
      </c>
      <c r="G2670" s="392"/>
      <c r="H2670" s="392"/>
      <c r="I2670" s="393"/>
      <c r="J2670" s="353"/>
    </row>
    <row r="2671" spans="1:10">
      <c r="A2671" s="350" t="s">
        <v>337</v>
      </c>
      <c r="B2671" s="350">
        <v>10</v>
      </c>
      <c r="C2671" s="391">
        <v>4.8</v>
      </c>
      <c r="D2671" s="392">
        <f t="shared" si="645"/>
        <v>1.056</v>
      </c>
      <c r="E2671" s="360"/>
      <c r="F2671" s="392">
        <f t="shared" si="646"/>
        <v>4.32</v>
      </c>
      <c r="G2671" s="392"/>
      <c r="H2671" s="392"/>
      <c r="I2671" s="393"/>
      <c r="J2671" s="353"/>
    </row>
    <row r="2672" spans="1:10">
      <c r="A2672" s="350" t="s">
        <v>385</v>
      </c>
      <c r="B2672" s="351">
        <v>5</v>
      </c>
      <c r="C2672" s="391">
        <v>2.7</v>
      </c>
      <c r="D2672" s="392">
        <f t="shared" si="645"/>
        <v>0.59400000000000008</v>
      </c>
      <c r="E2672" s="355"/>
      <c r="F2672" s="392">
        <f t="shared" si="646"/>
        <v>2.4300000000000002</v>
      </c>
      <c r="G2672" s="392">
        <f>C2672+D2672+E2672+F2672</f>
        <v>5.7240000000000002</v>
      </c>
      <c r="H2672" s="392">
        <f t="shared" ref="H2672:H2674" si="659">G2672*0.35</f>
        <v>2.0034000000000001</v>
      </c>
      <c r="I2672" s="393">
        <f>G2672+H2672</f>
        <v>7.7274000000000003</v>
      </c>
      <c r="J2672" s="353"/>
    </row>
    <row r="2673" spans="1:10">
      <c r="A2673" s="350"/>
      <c r="B2673" s="351"/>
      <c r="C2673" s="391"/>
      <c r="D2673" s="392"/>
      <c r="E2673" s="355"/>
      <c r="F2673" s="392"/>
      <c r="G2673" s="392"/>
      <c r="H2673" s="392"/>
      <c r="I2673" s="393"/>
      <c r="J2673" s="353"/>
    </row>
    <row r="2674" spans="1:10">
      <c r="A2674" s="345" t="s">
        <v>1647</v>
      </c>
      <c r="B2674" s="346"/>
      <c r="C2674" s="412">
        <f>C2675+C2676</f>
        <v>11.1</v>
      </c>
      <c r="D2674" s="412">
        <f t="shared" ref="D2674:D2677" si="660">C2674*0.22</f>
        <v>2.4419999999999997</v>
      </c>
      <c r="E2674" s="412">
        <v>0.18</v>
      </c>
      <c r="F2674" s="412">
        <f t="shared" ref="F2674:F2677" si="661">C2674*0.9</f>
        <v>9.99</v>
      </c>
      <c r="G2674" s="412">
        <f>C2674+D2674+E2674+F2674</f>
        <v>23.712</v>
      </c>
      <c r="H2674" s="412">
        <f t="shared" si="659"/>
        <v>8.299199999999999</v>
      </c>
      <c r="I2674" s="413">
        <f>G2674+H2674</f>
        <v>32.011200000000002</v>
      </c>
      <c r="J2674" s="349">
        <f>I2674+I2677+I2678</f>
        <v>39.738600000000005</v>
      </c>
    </row>
    <row r="2675" spans="1:10">
      <c r="A2675" s="350" t="s">
        <v>258</v>
      </c>
      <c r="B2675" s="350">
        <v>10</v>
      </c>
      <c r="C2675" s="391">
        <v>6.3</v>
      </c>
      <c r="D2675" s="392">
        <f t="shared" si="660"/>
        <v>1.3859999999999999</v>
      </c>
      <c r="E2675" s="360"/>
      <c r="F2675" s="392">
        <f t="shared" si="661"/>
        <v>5.67</v>
      </c>
      <c r="G2675" s="392"/>
      <c r="H2675" s="392"/>
      <c r="I2675" s="393"/>
      <c r="J2675" s="353"/>
    </row>
    <row r="2676" spans="1:10">
      <c r="A2676" s="350" t="s">
        <v>337</v>
      </c>
      <c r="B2676" s="350">
        <v>10</v>
      </c>
      <c r="C2676" s="391">
        <v>4.8</v>
      </c>
      <c r="D2676" s="392">
        <f t="shared" si="660"/>
        <v>1.056</v>
      </c>
      <c r="E2676" s="360"/>
      <c r="F2676" s="392">
        <f t="shared" si="661"/>
        <v>4.32</v>
      </c>
      <c r="G2676" s="392"/>
      <c r="H2676" s="392"/>
      <c r="I2676" s="393"/>
      <c r="J2676" s="353"/>
    </row>
    <row r="2677" spans="1:10">
      <c r="A2677" s="350" t="s">
        <v>385</v>
      </c>
      <c r="B2677" s="351">
        <v>5</v>
      </c>
      <c r="C2677" s="391">
        <v>2.7</v>
      </c>
      <c r="D2677" s="392">
        <f t="shared" si="660"/>
        <v>0.59400000000000008</v>
      </c>
      <c r="E2677" s="355"/>
      <c r="F2677" s="392">
        <f t="shared" si="661"/>
        <v>2.4300000000000002</v>
      </c>
      <c r="G2677" s="392">
        <f>C2677+D2677+E2677+F2677</f>
        <v>5.7240000000000002</v>
      </c>
      <c r="H2677" s="392">
        <f t="shared" ref="H2677:H2679" si="662">G2677*0.35</f>
        <v>2.0034000000000001</v>
      </c>
      <c r="I2677" s="393">
        <f>G2677+H2677</f>
        <v>7.7274000000000003</v>
      </c>
      <c r="J2677" s="353"/>
    </row>
    <row r="2678" spans="1:10">
      <c r="A2678" s="350"/>
      <c r="B2678" s="351"/>
      <c r="C2678" s="391"/>
      <c r="D2678" s="392"/>
      <c r="E2678" s="355"/>
      <c r="F2678" s="392"/>
      <c r="G2678" s="392"/>
      <c r="H2678" s="392"/>
      <c r="I2678" s="393"/>
      <c r="J2678" s="353"/>
    </row>
    <row r="2679" spans="1:10">
      <c r="A2679" s="345" t="s">
        <v>1648</v>
      </c>
      <c r="B2679" s="346"/>
      <c r="C2679" s="412">
        <f>C2680+C2681</f>
        <v>11.1</v>
      </c>
      <c r="D2679" s="412">
        <f t="shared" ref="D2679:D2682" si="663">C2679*0.22</f>
        <v>2.4419999999999997</v>
      </c>
      <c r="E2679" s="412">
        <v>0.18</v>
      </c>
      <c r="F2679" s="412">
        <f t="shared" ref="F2679:F2682" si="664">C2679*0.9</f>
        <v>9.99</v>
      </c>
      <c r="G2679" s="412">
        <f>C2679+D2679+E2679+F2679</f>
        <v>23.712</v>
      </c>
      <c r="H2679" s="412">
        <f t="shared" si="662"/>
        <v>8.299199999999999</v>
      </c>
      <c r="I2679" s="413">
        <f>G2679+H2679</f>
        <v>32.011200000000002</v>
      </c>
      <c r="J2679" s="349">
        <f>I2679+I2682+I2683</f>
        <v>38.307600000000001</v>
      </c>
    </row>
    <row r="2680" spans="1:10">
      <c r="A2680" s="350" t="s">
        <v>258</v>
      </c>
      <c r="B2680" s="350">
        <v>10</v>
      </c>
      <c r="C2680" s="391">
        <v>6.3</v>
      </c>
      <c r="D2680" s="392">
        <f t="shared" si="663"/>
        <v>1.3859999999999999</v>
      </c>
      <c r="E2680" s="360"/>
      <c r="F2680" s="392">
        <f t="shared" si="664"/>
        <v>5.67</v>
      </c>
      <c r="G2680" s="392"/>
      <c r="H2680" s="392"/>
      <c r="I2680" s="393"/>
      <c r="J2680" s="353"/>
    </row>
    <row r="2681" spans="1:10">
      <c r="A2681" s="350" t="s">
        <v>337</v>
      </c>
      <c r="B2681" s="350">
        <v>10</v>
      </c>
      <c r="C2681" s="391">
        <v>4.8</v>
      </c>
      <c r="D2681" s="392">
        <f t="shared" si="663"/>
        <v>1.056</v>
      </c>
      <c r="E2681" s="360"/>
      <c r="F2681" s="392">
        <f t="shared" si="664"/>
        <v>4.32</v>
      </c>
      <c r="G2681" s="392"/>
      <c r="H2681" s="392"/>
      <c r="I2681" s="393"/>
      <c r="J2681" s="353"/>
    </row>
    <row r="2682" spans="1:10">
      <c r="A2682" s="350" t="s">
        <v>385</v>
      </c>
      <c r="B2682" s="351">
        <v>5</v>
      </c>
      <c r="C2682" s="391">
        <v>2.2000000000000002</v>
      </c>
      <c r="D2682" s="392">
        <f t="shared" si="663"/>
        <v>0.48400000000000004</v>
      </c>
      <c r="E2682" s="355"/>
      <c r="F2682" s="392">
        <f t="shared" si="664"/>
        <v>1.9800000000000002</v>
      </c>
      <c r="G2682" s="392">
        <f t="shared" ref="G2682:G2689" si="665">C2682+D2682+E2682+F2682</f>
        <v>4.6640000000000006</v>
      </c>
      <c r="H2682" s="392">
        <f t="shared" ref="H2682" si="666">G2682*0.35</f>
        <v>1.6324000000000001</v>
      </c>
      <c r="I2682" s="393">
        <f t="shared" ref="I2682:I2689" si="667">G2682+H2682</f>
        <v>6.2964000000000002</v>
      </c>
      <c r="J2682" s="353"/>
    </row>
    <row r="2683" spans="1:10">
      <c r="A2683" s="350"/>
      <c r="B2683" s="351"/>
      <c r="C2683" s="391"/>
      <c r="D2683" s="392"/>
      <c r="E2683" s="355"/>
      <c r="F2683" s="392"/>
      <c r="G2683" s="392"/>
      <c r="H2683" s="392"/>
      <c r="I2683" s="393"/>
      <c r="J2683" s="353"/>
    </row>
    <row r="2684" spans="1:10">
      <c r="A2684" s="345" t="s">
        <v>1649</v>
      </c>
      <c r="B2684" s="346"/>
      <c r="C2684" s="412">
        <f>C2685+C2686</f>
        <v>11.1</v>
      </c>
      <c r="D2684" s="412">
        <f>C2684*0.22</f>
        <v>2.4419999999999997</v>
      </c>
      <c r="E2684" s="412">
        <v>0.18</v>
      </c>
      <c r="F2684" s="412">
        <f>C2684*0.9</f>
        <v>9.99</v>
      </c>
      <c r="G2684" s="412">
        <f t="shared" si="665"/>
        <v>23.712</v>
      </c>
      <c r="H2684" s="412">
        <f>G2684*0.35</f>
        <v>8.299199999999999</v>
      </c>
      <c r="I2684" s="413">
        <f t="shared" si="667"/>
        <v>32.011200000000002</v>
      </c>
      <c r="J2684" s="349">
        <f>I2684+I2687+I2688</f>
        <v>39.738600000000005</v>
      </c>
    </row>
    <row r="2685" spans="1:10">
      <c r="A2685" s="350" t="s">
        <v>258</v>
      </c>
      <c r="B2685" s="350">
        <v>10</v>
      </c>
      <c r="C2685" s="391">
        <v>6.3</v>
      </c>
      <c r="D2685" s="392"/>
      <c r="E2685" s="392"/>
      <c r="F2685" s="392"/>
      <c r="G2685" s="392"/>
      <c r="H2685" s="392"/>
      <c r="I2685" s="393"/>
      <c r="J2685" s="353"/>
    </row>
    <row r="2686" spans="1:10">
      <c r="A2686" s="350" t="s">
        <v>337</v>
      </c>
      <c r="B2686" s="350">
        <v>10</v>
      </c>
      <c r="C2686" s="391">
        <v>4.8</v>
      </c>
      <c r="D2686" s="392"/>
      <c r="E2686" s="393"/>
      <c r="F2686" s="392"/>
      <c r="G2686" s="392"/>
      <c r="H2686" s="392"/>
      <c r="J2686" s="353"/>
    </row>
    <row r="2687" spans="1:10">
      <c r="A2687" s="350" t="s">
        <v>385</v>
      </c>
      <c r="B2687" s="351">
        <v>5</v>
      </c>
      <c r="C2687" s="391">
        <v>2.7</v>
      </c>
      <c r="D2687" s="392">
        <f>C2687*0.22</f>
        <v>0.59400000000000008</v>
      </c>
      <c r="E2687" s="355"/>
      <c r="F2687" s="392">
        <f>C2687*0.9</f>
        <v>2.4300000000000002</v>
      </c>
      <c r="G2687" s="392">
        <f t="shared" si="665"/>
        <v>5.7240000000000002</v>
      </c>
      <c r="H2687" s="392">
        <f>G2687*0.35</f>
        <v>2.0034000000000001</v>
      </c>
      <c r="I2687" s="393">
        <f t="shared" si="667"/>
        <v>7.7274000000000003</v>
      </c>
      <c r="J2687" s="353"/>
    </row>
    <row r="2688" spans="1:10">
      <c r="A2688" s="350"/>
      <c r="B2688" s="351"/>
      <c r="C2688" s="391"/>
      <c r="D2688" s="392"/>
      <c r="E2688" s="355"/>
      <c r="F2688" s="392"/>
      <c r="G2688" s="392"/>
      <c r="H2688" s="392"/>
      <c r="I2688" s="393"/>
      <c r="J2688" s="353"/>
    </row>
    <row r="2689" spans="1:10">
      <c r="A2689" s="345" t="s">
        <v>1650</v>
      </c>
      <c r="B2689" s="346"/>
      <c r="C2689" s="412">
        <f>C2690+C2691</f>
        <v>5.55</v>
      </c>
      <c r="D2689" s="412">
        <f t="shared" ref="D2689:D2692" si="668">C2689*0.22</f>
        <v>1.2209999999999999</v>
      </c>
      <c r="E2689" s="412">
        <v>0.18</v>
      </c>
      <c r="F2689" s="412">
        <f t="shared" ref="F2689:F2692" si="669">C2689*0.9</f>
        <v>4.9950000000000001</v>
      </c>
      <c r="G2689" s="412">
        <f t="shared" si="665"/>
        <v>11.946</v>
      </c>
      <c r="H2689" s="412">
        <f t="shared" ref="H2689" si="670">G2689*0.35</f>
        <v>4.1810999999999998</v>
      </c>
      <c r="I2689" s="413">
        <f t="shared" si="667"/>
        <v>16.127099999999999</v>
      </c>
      <c r="J2689" s="349">
        <f>I2689+I2692+I2693</f>
        <v>16.356059999999999</v>
      </c>
    </row>
    <row r="2690" spans="1:10">
      <c r="A2690" s="350" t="s">
        <v>258</v>
      </c>
      <c r="B2690" s="350">
        <v>5</v>
      </c>
      <c r="C2690" s="391">
        <v>3.15</v>
      </c>
      <c r="D2690" s="392">
        <f t="shared" si="668"/>
        <v>0.69299999999999995</v>
      </c>
      <c r="E2690" s="360"/>
      <c r="F2690" s="392">
        <f t="shared" si="669"/>
        <v>2.835</v>
      </c>
      <c r="G2690" s="392"/>
      <c r="H2690" s="392"/>
      <c r="I2690" s="393"/>
      <c r="J2690" s="353"/>
    </row>
    <row r="2691" spans="1:10">
      <c r="A2691" s="350" t="s">
        <v>337</v>
      </c>
      <c r="B2691" s="350">
        <v>5</v>
      </c>
      <c r="C2691" s="391">
        <v>2.4</v>
      </c>
      <c r="D2691" s="392">
        <f t="shared" si="668"/>
        <v>0.52800000000000002</v>
      </c>
      <c r="E2691" s="360"/>
      <c r="F2691" s="392">
        <f t="shared" si="669"/>
        <v>2.16</v>
      </c>
      <c r="G2691" s="392"/>
      <c r="H2691" s="392"/>
      <c r="I2691" s="393"/>
      <c r="J2691" s="353"/>
    </row>
    <row r="2692" spans="1:10">
      <c r="A2692" s="350" t="s">
        <v>385</v>
      </c>
      <c r="B2692" s="351">
        <v>2</v>
      </c>
      <c r="C2692" s="391">
        <v>0.08</v>
      </c>
      <c r="D2692" s="392">
        <f t="shared" si="668"/>
        <v>1.7600000000000001E-2</v>
      </c>
      <c r="E2692" s="355"/>
      <c r="F2692" s="392">
        <f t="shared" si="669"/>
        <v>7.2000000000000008E-2</v>
      </c>
      <c r="G2692" s="392">
        <f>C2692+D2692+E2692+F2692</f>
        <v>0.16960000000000003</v>
      </c>
      <c r="H2692" s="392">
        <f t="shared" ref="H2692" si="671">G2692*0.35</f>
        <v>5.9360000000000003E-2</v>
      </c>
      <c r="I2692" s="393">
        <f>G2692+H2692</f>
        <v>0.22896000000000002</v>
      </c>
      <c r="J2692" s="353"/>
    </row>
    <row r="2693" spans="1:10">
      <c r="A2693" s="350"/>
      <c r="B2693" s="351"/>
      <c r="C2693" s="391"/>
      <c r="D2693" s="392"/>
      <c r="E2693" s="355"/>
      <c r="F2693" s="392"/>
      <c r="G2693" s="392"/>
      <c r="H2693" s="392"/>
      <c r="I2693" s="393"/>
      <c r="J2693" s="353"/>
    </row>
    <row r="2694" spans="1:10">
      <c r="A2694" s="345" t="s">
        <v>1651</v>
      </c>
      <c r="B2694" s="346"/>
      <c r="C2694" s="412">
        <f>C2695+C2696</f>
        <v>18.600000000000001</v>
      </c>
      <c r="D2694" s="412">
        <f t="shared" ref="D2694:D2727" si="672">C2694*0.22</f>
        <v>4.0920000000000005</v>
      </c>
      <c r="E2694" s="412">
        <v>0.18</v>
      </c>
      <c r="F2694" s="412">
        <f t="shared" si="646"/>
        <v>16.740000000000002</v>
      </c>
      <c r="G2694" s="412">
        <f t="shared" ref="G2694" si="673">C2694+D2694+E2694+F2694</f>
        <v>39.612000000000002</v>
      </c>
      <c r="H2694" s="412">
        <f t="shared" ref="H2694" si="674">G2694*0.35</f>
        <v>13.8642</v>
      </c>
      <c r="I2694" s="413">
        <f t="shared" ref="I2694" si="675">G2694+H2694</f>
        <v>53.476200000000006</v>
      </c>
      <c r="J2694" s="349">
        <f>I2694+I2697+I2698</f>
        <v>65.067300000000003</v>
      </c>
    </row>
    <row r="2695" spans="1:10">
      <c r="A2695" s="350" t="s">
        <v>258</v>
      </c>
      <c r="B2695" s="350">
        <v>15</v>
      </c>
      <c r="C2695" s="391">
        <v>11.4</v>
      </c>
      <c r="D2695" s="392">
        <f t="shared" si="672"/>
        <v>2.508</v>
      </c>
      <c r="E2695" s="392"/>
      <c r="F2695" s="392">
        <f t="shared" si="646"/>
        <v>10.26</v>
      </c>
      <c r="G2695" s="392"/>
      <c r="H2695" s="392"/>
      <c r="I2695" s="393"/>
      <c r="J2695" s="353"/>
    </row>
    <row r="2696" spans="1:10">
      <c r="A2696" s="350" t="s">
        <v>337</v>
      </c>
      <c r="B2696" s="350">
        <v>15</v>
      </c>
      <c r="C2696" s="391">
        <v>7.2</v>
      </c>
      <c r="D2696" s="392">
        <f t="shared" si="672"/>
        <v>1.5840000000000001</v>
      </c>
      <c r="E2696" s="392"/>
      <c r="F2696" s="392">
        <f t="shared" si="646"/>
        <v>6.48</v>
      </c>
      <c r="G2696" s="392"/>
      <c r="H2696" s="392"/>
      <c r="I2696" s="393"/>
      <c r="J2696" s="353"/>
    </row>
    <row r="2697" spans="1:10">
      <c r="A2697" s="350" t="s">
        <v>385</v>
      </c>
      <c r="B2697" s="351">
        <v>7.5</v>
      </c>
      <c r="C2697" s="391">
        <v>4.05</v>
      </c>
      <c r="D2697" s="392">
        <f t="shared" si="672"/>
        <v>0.89100000000000001</v>
      </c>
      <c r="E2697" s="355"/>
      <c r="F2697" s="392">
        <f t="shared" si="646"/>
        <v>3.645</v>
      </c>
      <c r="G2697" s="392">
        <f>C2697+D2697+E2697+F2697</f>
        <v>8.5860000000000003</v>
      </c>
      <c r="H2697" s="392">
        <f t="shared" ref="H2697:H2699" si="676">G2697*0.35</f>
        <v>3.0051000000000001</v>
      </c>
      <c r="I2697" s="393">
        <f>G2697+H2697</f>
        <v>11.591100000000001</v>
      </c>
      <c r="J2697" s="353"/>
    </row>
    <row r="2698" spans="1:10">
      <c r="A2698" s="350"/>
      <c r="B2698" s="351"/>
      <c r="C2698" s="391"/>
      <c r="D2698" s="392"/>
      <c r="E2698" s="355"/>
      <c r="F2698" s="392"/>
      <c r="G2698" s="392"/>
      <c r="H2698" s="392"/>
      <c r="I2698" s="393"/>
      <c r="J2698" s="353"/>
    </row>
    <row r="2699" spans="1:10">
      <c r="A2699" s="345" t="s">
        <v>1279</v>
      </c>
      <c r="B2699" s="346"/>
      <c r="C2699" s="412">
        <f>C2700+C2701</f>
        <v>18.600000000000001</v>
      </c>
      <c r="D2699" s="412">
        <f t="shared" ref="D2699:D2702" si="677">C2699*0.22</f>
        <v>4.0920000000000005</v>
      </c>
      <c r="E2699" s="412">
        <v>0.18</v>
      </c>
      <c r="F2699" s="412">
        <f t="shared" ref="F2699:F2702" si="678">C2699*0.9</f>
        <v>16.740000000000002</v>
      </c>
      <c r="G2699" s="412">
        <f t="shared" ref="G2699" si="679">C2699+D2699+E2699+F2699</f>
        <v>39.612000000000002</v>
      </c>
      <c r="H2699" s="412">
        <f t="shared" si="676"/>
        <v>13.8642</v>
      </c>
      <c r="I2699" s="413">
        <f t="shared" ref="I2699" si="680">G2699+H2699</f>
        <v>53.476200000000006</v>
      </c>
      <c r="J2699" s="349">
        <f>I2699+I2702+I2703</f>
        <v>65.067300000000003</v>
      </c>
    </row>
    <row r="2700" spans="1:10">
      <c r="A2700" s="350" t="s">
        <v>258</v>
      </c>
      <c r="B2700" s="350">
        <v>15</v>
      </c>
      <c r="C2700" s="391">
        <v>11.4</v>
      </c>
      <c r="D2700" s="392">
        <f t="shared" si="677"/>
        <v>2.508</v>
      </c>
      <c r="E2700" s="392"/>
      <c r="F2700" s="392">
        <f t="shared" si="678"/>
        <v>10.26</v>
      </c>
      <c r="G2700" s="392"/>
      <c r="H2700" s="392"/>
      <c r="I2700" s="393"/>
      <c r="J2700" s="353"/>
    </row>
    <row r="2701" spans="1:10">
      <c r="A2701" s="350" t="s">
        <v>337</v>
      </c>
      <c r="B2701" s="350">
        <v>15</v>
      </c>
      <c r="C2701" s="391">
        <v>7.2</v>
      </c>
      <c r="D2701" s="392">
        <f t="shared" si="677"/>
        <v>1.5840000000000001</v>
      </c>
      <c r="E2701" s="392"/>
      <c r="F2701" s="392">
        <f t="shared" si="678"/>
        <v>6.48</v>
      </c>
      <c r="G2701" s="392"/>
      <c r="H2701" s="392"/>
      <c r="I2701" s="393"/>
      <c r="J2701" s="353"/>
    </row>
    <row r="2702" spans="1:10">
      <c r="A2702" s="350" t="s">
        <v>385</v>
      </c>
      <c r="B2702" s="351">
        <v>7.5</v>
      </c>
      <c r="C2702" s="391">
        <v>4.05</v>
      </c>
      <c r="D2702" s="392">
        <f t="shared" si="677"/>
        <v>0.89100000000000001</v>
      </c>
      <c r="E2702" s="355"/>
      <c r="F2702" s="392">
        <f t="shared" si="678"/>
        <v>3.645</v>
      </c>
      <c r="G2702" s="392">
        <f t="shared" ref="G2702:G2709" si="681">C2702+D2702+E2702+F2702</f>
        <v>8.5860000000000003</v>
      </c>
      <c r="H2702" s="392">
        <f t="shared" ref="H2702" si="682">G2702*0.35</f>
        <v>3.0051000000000001</v>
      </c>
      <c r="I2702" s="393">
        <f t="shared" ref="I2702:I2709" si="683">G2702+H2702</f>
        <v>11.591100000000001</v>
      </c>
      <c r="J2702" s="353"/>
    </row>
    <row r="2703" spans="1:10">
      <c r="A2703" s="350"/>
      <c r="B2703" s="351"/>
      <c r="C2703" s="391"/>
      <c r="D2703" s="392"/>
      <c r="E2703" s="355"/>
      <c r="F2703" s="392"/>
      <c r="G2703" s="392"/>
      <c r="H2703" s="392"/>
      <c r="I2703" s="393"/>
      <c r="J2703" s="353"/>
    </row>
    <row r="2704" spans="1:10">
      <c r="A2704" s="345" t="s">
        <v>1652</v>
      </c>
      <c r="B2704" s="346"/>
      <c r="C2704" s="412">
        <f>C2705+C2706</f>
        <v>8.89</v>
      </c>
      <c r="D2704" s="412">
        <f>C2704*0.22</f>
        <v>1.9558000000000002</v>
      </c>
      <c r="E2704" s="412">
        <v>0.18</v>
      </c>
      <c r="F2704" s="412">
        <f>C2704*0.9</f>
        <v>8.0010000000000012</v>
      </c>
      <c r="G2704" s="412">
        <f t="shared" si="681"/>
        <v>19.026800000000001</v>
      </c>
      <c r="H2704" s="412">
        <f>G2704*0.35</f>
        <v>6.6593800000000005</v>
      </c>
      <c r="I2704" s="413">
        <f t="shared" si="683"/>
        <v>25.68618</v>
      </c>
      <c r="J2704" s="349">
        <f>I2704+I2707+I2708</f>
        <v>31.095359999999999</v>
      </c>
    </row>
    <row r="2705" spans="1:10">
      <c r="A2705" s="350" t="s">
        <v>258</v>
      </c>
      <c r="B2705" s="350">
        <v>7</v>
      </c>
      <c r="C2705" s="391">
        <v>4.83</v>
      </c>
      <c r="D2705" s="392">
        <f>C2705*0.22</f>
        <v>1.0626</v>
      </c>
      <c r="E2705" s="392"/>
      <c r="F2705" s="392">
        <f>C2705*0.9</f>
        <v>4.3470000000000004</v>
      </c>
      <c r="G2705" s="392">
        <f t="shared" si="681"/>
        <v>10.239599999999999</v>
      </c>
      <c r="H2705" s="392">
        <f>G2705*0.35</f>
        <v>3.5838599999999996</v>
      </c>
      <c r="I2705" s="393">
        <f t="shared" si="683"/>
        <v>13.823459999999999</v>
      </c>
      <c r="J2705" s="353"/>
    </row>
    <row r="2706" spans="1:10">
      <c r="A2706" s="350" t="s">
        <v>337</v>
      </c>
      <c r="B2706" s="350">
        <v>7</v>
      </c>
      <c r="C2706" s="391">
        <v>4.0599999999999996</v>
      </c>
      <c r="D2706" s="392">
        <f>C2706*0.22</f>
        <v>0.89319999999999988</v>
      </c>
      <c r="E2706" s="392"/>
      <c r="F2706" s="392">
        <f>C2706*0.9</f>
        <v>3.6539999999999999</v>
      </c>
      <c r="G2706" s="392">
        <f t="shared" si="681"/>
        <v>8.6071999999999989</v>
      </c>
      <c r="H2706" s="392">
        <f>G2706*0.35</f>
        <v>3.0125199999999994</v>
      </c>
      <c r="I2706" s="393">
        <f t="shared" si="683"/>
        <v>11.619719999999997</v>
      </c>
      <c r="J2706" s="353"/>
    </row>
    <row r="2707" spans="1:10">
      <c r="A2707" s="350" t="s">
        <v>385</v>
      </c>
      <c r="B2707" s="351">
        <v>3.5</v>
      </c>
      <c r="C2707" s="391">
        <v>1.89</v>
      </c>
      <c r="D2707" s="392">
        <f>C2707*0.22</f>
        <v>0.4158</v>
      </c>
      <c r="E2707" s="355"/>
      <c r="F2707" s="392">
        <f>C2707*0.9</f>
        <v>1.7009999999999998</v>
      </c>
      <c r="G2707" s="392">
        <f t="shared" si="681"/>
        <v>4.0068000000000001</v>
      </c>
      <c r="H2707" s="392">
        <f>G2707*0.35</f>
        <v>1.40238</v>
      </c>
      <c r="I2707" s="393">
        <f t="shared" si="683"/>
        <v>5.4091800000000001</v>
      </c>
      <c r="J2707" s="353"/>
    </row>
    <row r="2708" spans="1:10">
      <c r="A2708" s="350"/>
      <c r="B2708" s="351"/>
      <c r="C2708" s="391"/>
      <c r="D2708" s="392"/>
      <c r="E2708" s="355"/>
      <c r="F2708" s="392"/>
      <c r="G2708" s="392"/>
      <c r="H2708" s="392"/>
      <c r="I2708" s="393"/>
      <c r="J2708" s="353"/>
    </row>
    <row r="2709" spans="1:10">
      <c r="A2709" s="345" t="s">
        <v>1653</v>
      </c>
      <c r="B2709" s="346"/>
      <c r="C2709" s="412">
        <f>C2710+C2711</f>
        <v>11.1</v>
      </c>
      <c r="D2709" s="412">
        <f t="shared" ref="D2709:D2712" si="684">C2709*0.22</f>
        <v>2.4419999999999997</v>
      </c>
      <c r="E2709" s="412">
        <v>0.18</v>
      </c>
      <c r="F2709" s="412">
        <f t="shared" ref="F2709:F2712" si="685">C2709*0.9</f>
        <v>9.99</v>
      </c>
      <c r="G2709" s="412">
        <f t="shared" si="681"/>
        <v>23.712</v>
      </c>
      <c r="H2709" s="412">
        <f t="shared" ref="H2709" si="686">G2709*0.35</f>
        <v>8.299199999999999</v>
      </c>
      <c r="I2709" s="413">
        <f t="shared" si="683"/>
        <v>32.011200000000002</v>
      </c>
      <c r="J2709" s="349">
        <f>I2709+I2713+I2712</f>
        <v>39.738600000000005</v>
      </c>
    </row>
    <row r="2710" spans="1:10">
      <c r="A2710" s="350" t="s">
        <v>258</v>
      </c>
      <c r="B2710" s="350">
        <v>10</v>
      </c>
      <c r="C2710" s="391">
        <v>6.3</v>
      </c>
      <c r="D2710" s="392">
        <f t="shared" si="684"/>
        <v>1.3859999999999999</v>
      </c>
      <c r="E2710" s="392"/>
      <c r="F2710" s="392">
        <f t="shared" si="685"/>
        <v>5.67</v>
      </c>
      <c r="G2710" s="392"/>
      <c r="H2710" s="392"/>
      <c r="I2710" s="393"/>
      <c r="J2710" s="353"/>
    </row>
    <row r="2711" spans="1:10">
      <c r="A2711" s="350" t="s">
        <v>337</v>
      </c>
      <c r="B2711" s="350">
        <v>10</v>
      </c>
      <c r="C2711" s="391">
        <v>4.8</v>
      </c>
      <c r="D2711" s="392">
        <f t="shared" si="684"/>
        <v>1.056</v>
      </c>
      <c r="E2711" s="392"/>
      <c r="F2711" s="392">
        <f t="shared" si="685"/>
        <v>4.32</v>
      </c>
      <c r="G2711" s="392"/>
      <c r="H2711" s="392"/>
      <c r="I2711" s="393"/>
      <c r="J2711" s="353"/>
    </row>
    <row r="2712" spans="1:10">
      <c r="A2712" s="350" t="s">
        <v>385</v>
      </c>
      <c r="B2712" s="351">
        <v>5</v>
      </c>
      <c r="C2712" s="391">
        <v>2.7</v>
      </c>
      <c r="D2712" s="392">
        <f t="shared" si="684"/>
        <v>0.59400000000000008</v>
      </c>
      <c r="E2712" s="355"/>
      <c r="F2712" s="392">
        <f t="shared" si="685"/>
        <v>2.4300000000000002</v>
      </c>
      <c r="G2712" s="392">
        <f t="shared" ref="G2712" si="687">C2712+D2712+E2712+F2712</f>
        <v>5.7240000000000002</v>
      </c>
      <c r="H2712" s="392">
        <f t="shared" ref="H2712" si="688">G2712*0.35</f>
        <v>2.0034000000000001</v>
      </c>
      <c r="I2712" s="393">
        <f t="shared" ref="I2712" si="689">G2712+H2712</f>
        <v>7.7274000000000003</v>
      </c>
      <c r="J2712" s="353"/>
    </row>
    <row r="2713" spans="1:10">
      <c r="A2713" s="350"/>
      <c r="B2713" s="351"/>
      <c r="C2713" s="391"/>
      <c r="D2713" s="392"/>
      <c r="E2713" s="355"/>
      <c r="F2713" s="392"/>
      <c r="G2713" s="392"/>
      <c r="H2713" s="392"/>
      <c r="I2713" s="393"/>
      <c r="J2713" s="353"/>
    </row>
    <row r="2714" spans="1:10">
      <c r="A2714" s="345" t="s">
        <v>1274</v>
      </c>
      <c r="B2714" s="346"/>
      <c r="C2714" s="412">
        <f>C2715+C2716</f>
        <v>11.1</v>
      </c>
      <c r="D2714" s="412">
        <f>C2714*0.22</f>
        <v>2.4419999999999997</v>
      </c>
      <c r="E2714" s="412">
        <v>0.18</v>
      </c>
      <c r="F2714" s="412">
        <f>C2714*0.9</f>
        <v>9.99</v>
      </c>
      <c r="G2714" s="412">
        <f t="shared" ref="G2714:G2719" si="690">C2714+D2714+E2714+F2714</f>
        <v>23.712</v>
      </c>
      <c r="H2714" s="412">
        <f>G2714*0.35</f>
        <v>8.299199999999999</v>
      </c>
      <c r="I2714" s="413">
        <f t="shared" ref="I2714:I2719" si="691">G2714+H2714</f>
        <v>32.011200000000002</v>
      </c>
      <c r="J2714" s="349">
        <f>I2714+I2717+I2718</f>
        <v>39.738600000000005</v>
      </c>
    </row>
    <row r="2715" spans="1:10">
      <c r="A2715" s="350" t="s">
        <v>258</v>
      </c>
      <c r="B2715" s="350">
        <v>10</v>
      </c>
      <c r="C2715" s="391">
        <v>6.3</v>
      </c>
      <c r="D2715" s="392"/>
      <c r="E2715" s="392"/>
      <c r="F2715" s="392"/>
      <c r="G2715" s="392"/>
      <c r="H2715" s="392"/>
      <c r="I2715" s="393"/>
      <c r="J2715" s="353"/>
    </row>
    <row r="2716" spans="1:10">
      <c r="A2716" s="350" t="s">
        <v>337</v>
      </c>
      <c r="B2716" s="350">
        <v>10</v>
      </c>
      <c r="C2716" s="391">
        <v>4.8</v>
      </c>
      <c r="D2716" s="392"/>
      <c r="E2716" s="392"/>
      <c r="F2716" s="392"/>
      <c r="G2716" s="392"/>
      <c r="H2716" s="392"/>
      <c r="I2716" s="393"/>
      <c r="J2716" s="353"/>
    </row>
    <row r="2717" spans="1:10">
      <c r="A2717" s="350" t="s">
        <v>385</v>
      </c>
      <c r="B2717" s="351">
        <v>5</v>
      </c>
      <c r="C2717" s="391">
        <v>2.7</v>
      </c>
      <c r="D2717" s="392">
        <f>C2717*0.22</f>
        <v>0.59400000000000008</v>
      </c>
      <c r="E2717" s="355"/>
      <c r="F2717" s="392">
        <f>C2717*0.9</f>
        <v>2.4300000000000002</v>
      </c>
      <c r="G2717" s="392">
        <f t="shared" si="690"/>
        <v>5.7240000000000002</v>
      </c>
      <c r="H2717" s="392">
        <f>G2717*0.35</f>
        <v>2.0034000000000001</v>
      </c>
      <c r="I2717" s="393">
        <f t="shared" si="691"/>
        <v>7.7274000000000003</v>
      </c>
      <c r="J2717" s="353"/>
    </row>
    <row r="2718" spans="1:10">
      <c r="A2718" s="350"/>
      <c r="B2718" s="351"/>
      <c r="C2718" s="391"/>
      <c r="D2718" s="392"/>
      <c r="E2718" s="355"/>
      <c r="F2718" s="392"/>
      <c r="G2718" s="392"/>
      <c r="H2718" s="392"/>
      <c r="I2718" s="393"/>
      <c r="J2718" s="353"/>
    </row>
    <row r="2719" spans="1:10">
      <c r="A2719" s="345" t="s">
        <v>1654</v>
      </c>
      <c r="B2719" s="346"/>
      <c r="C2719" s="412">
        <f>C2720+C2721</f>
        <v>5.55</v>
      </c>
      <c r="D2719" s="412">
        <f t="shared" si="672"/>
        <v>1.2209999999999999</v>
      </c>
      <c r="E2719" s="412">
        <v>0.18</v>
      </c>
      <c r="F2719" s="412">
        <f t="shared" ref="F2719:F2747" si="692">C2719*0.9</f>
        <v>4.9950000000000001</v>
      </c>
      <c r="G2719" s="412">
        <f t="shared" si="690"/>
        <v>11.946</v>
      </c>
      <c r="H2719" s="412">
        <f t="shared" ref="H2719" si="693">G2719*0.35</f>
        <v>4.1810999999999998</v>
      </c>
      <c r="I2719" s="413">
        <f t="shared" si="691"/>
        <v>16.127099999999999</v>
      </c>
      <c r="J2719" s="349">
        <f>I2719+I2722+I2723</f>
        <v>19.218059999999998</v>
      </c>
    </row>
    <row r="2720" spans="1:10">
      <c r="A2720" s="350" t="s">
        <v>258</v>
      </c>
      <c r="B2720" s="350">
        <v>5</v>
      </c>
      <c r="C2720" s="391">
        <v>3.15</v>
      </c>
      <c r="D2720" s="392"/>
      <c r="E2720" s="360"/>
      <c r="F2720" s="392"/>
      <c r="G2720" s="392"/>
      <c r="H2720" s="392"/>
      <c r="I2720" s="393"/>
      <c r="J2720" s="353"/>
    </row>
    <row r="2721" spans="1:10">
      <c r="A2721" s="350" t="s">
        <v>337</v>
      </c>
      <c r="B2721" s="350">
        <v>5</v>
      </c>
      <c r="C2721" s="391">
        <v>2.4</v>
      </c>
      <c r="D2721" s="392"/>
      <c r="E2721" s="360"/>
      <c r="F2721" s="392"/>
      <c r="G2721" s="392"/>
      <c r="H2721" s="392"/>
      <c r="I2721" s="393"/>
      <c r="J2721" s="353"/>
    </row>
    <row r="2722" spans="1:10">
      <c r="A2722" s="350" t="s">
        <v>385</v>
      </c>
      <c r="B2722" s="351">
        <v>2</v>
      </c>
      <c r="C2722" s="391">
        <v>1.08</v>
      </c>
      <c r="D2722" s="392">
        <f t="shared" si="672"/>
        <v>0.23760000000000001</v>
      </c>
      <c r="E2722" s="355"/>
      <c r="F2722" s="392">
        <f t="shared" si="692"/>
        <v>0.97200000000000009</v>
      </c>
      <c r="G2722" s="392">
        <f>C2722+D2722+E2722+F2722</f>
        <v>2.2896000000000001</v>
      </c>
      <c r="H2722" s="392">
        <f t="shared" ref="H2722:H2724" si="694">G2722*0.35</f>
        <v>0.80135999999999996</v>
      </c>
      <c r="I2722" s="393">
        <f>G2722+H2722</f>
        <v>3.0909599999999999</v>
      </c>
      <c r="J2722" s="353"/>
    </row>
    <row r="2723" spans="1:10">
      <c r="A2723" s="350"/>
      <c r="B2723" s="351"/>
      <c r="C2723" s="391"/>
      <c r="D2723" s="392"/>
      <c r="E2723" s="355"/>
      <c r="F2723" s="392"/>
      <c r="G2723" s="392"/>
      <c r="H2723" s="392"/>
      <c r="I2723" s="393"/>
      <c r="J2723" s="353"/>
    </row>
    <row r="2724" spans="1:10" ht="42">
      <c r="A2724" s="345" t="s">
        <v>1655</v>
      </c>
      <c r="B2724" s="346"/>
      <c r="C2724" s="412">
        <f>C2725+C2726</f>
        <v>18.600000000000001</v>
      </c>
      <c r="D2724" s="412">
        <f t="shared" si="672"/>
        <v>4.0920000000000005</v>
      </c>
      <c r="E2724" s="412">
        <v>0.18</v>
      </c>
      <c r="F2724" s="412">
        <f t="shared" ref="F2724:F2727" si="695">C2724*0.9</f>
        <v>16.740000000000002</v>
      </c>
      <c r="G2724" s="412">
        <f t="shared" ref="G2724" si="696">C2724+D2724+E2724+F2724</f>
        <v>39.612000000000002</v>
      </c>
      <c r="H2724" s="412">
        <f t="shared" si="694"/>
        <v>13.8642</v>
      </c>
      <c r="I2724" s="413">
        <f t="shared" ref="I2724" si="697">G2724+H2724</f>
        <v>53.476200000000006</v>
      </c>
      <c r="J2724" s="349">
        <f>I2724+I2727+I2728</f>
        <v>65.067300000000003</v>
      </c>
    </row>
    <row r="2725" spans="1:10">
      <c r="A2725" s="350" t="s">
        <v>258</v>
      </c>
      <c r="B2725" s="350">
        <v>15</v>
      </c>
      <c r="C2725" s="391">
        <v>11.4</v>
      </c>
      <c r="D2725" s="392">
        <f t="shared" si="672"/>
        <v>2.508</v>
      </c>
      <c r="E2725" s="392"/>
      <c r="F2725" s="392">
        <f t="shared" si="695"/>
        <v>10.26</v>
      </c>
      <c r="G2725" s="392"/>
      <c r="H2725" s="392"/>
      <c r="I2725" s="393"/>
      <c r="J2725" s="353"/>
    </row>
    <row r="2726" spans="1:10">
      <c r="A2726" s="350" t="s">
        <v>337</v>
      </c>
      <c r="B2726" s="350">
        <v>15</v>
      </c>
      <c r="C2726" s="391">
        <v>7.2</v>
      </c>
      <c r="D2726" s="392">
        <f t="shared" si="672"/>
        <v>1.5840000000000001</v>
      </c>
      <c r="E2726" s="392"/>
      <c r="F2726" s="392">
        <f t="shared" si="695"/>
        <v>6.48</v>
      </c>
      <c r="G2726" s="392"/>
      <c r="H2726" s="392"/>
      <c r="I2726" s="393"/>
      <c r="J2726" s="353"/>
    </row>
    <row r="2727" spans="1:10">
      <c r="A2727" s="350" t="s">
        <v>385</v>
      </c>
      <c r="B2727" s="351">
        <v>7.5</v>
      </c>
      <c r="C2727" s="391">
        <v>4.05</v>
      </c>
      <c r="D2727" s="392">
        <f t="shared" si="672"/>
        <v>0.89100000000000001</v>
      </c>
      <c r="E2727" s="355"/>
      <c r="F2727" s="392">
        <f t="shared" si="695"/>
        <v>3.645</v>
      </c>
      <c r="G2727" s="392">
        <f>C2727+D2727+E2727+F2727</f>
        <v>8.5860000000000003</v>
      </c>
      <c r="H2727" s="392">
        <f t="shared" ref="H2727:H2729" si="698">G2727*0.35</f>
        <v>3.0051000000000001</v>
      </c>
      <c r="I2727" s="393">
        <f>G2727+H2727</f>
        <v>11.591100000000001</v>
      </c>
      <c r="J2727" s="353"/>
    </row>
    <row r="2728" spans="1:10">
      <c r="A2728" s="350"/>
      <c r="B2728" s="351"/>
      <c r="C2728" s="391"/>
      <c r="D2728" s="392"/>
      <c r="E2728" s="355"/>
      <c r="F2728" s="392"/>
      <c r="G2728" s="392"/>
      <c r="H2728" s="392"/>
      <c r="I2728" s="393"/>
      <c r="J2728" s="353"/>
    </row>
    <row r="2729" spans="1:10">
      <c r="A2729" s="345" t="s">
        <v>1656</v>
      </c>
      <c r="B2729" s="346"/>
      <c r="C2729" s="412">
        <f>C2730+C2731</f>
        <v>18.600000000000001</v>
      </c>
      <c r="D2729" s="412">
        <f t="shared" ref="D2729:D2732" si="699">C2729*0.22</f>
        <v>4.0920000000000005</v>
      </c>
      <c r="E2729" s="412">
        <v>0.18</v>
      </c>
      <c r="F2729" s="412">
        <f t="shared" ref="F2729:F2732" si="700">C2729*0.9</f>
        <v>16.740000000000002</v>
      </c>
      <c r="G2729" s="412">
        <f t="shared" ref="G2729" si="701">C2729+D2729+E2729+F2729</f>
        <v>39.612000000000002</v>
      </c>
      <c r="H2729" s="412">
        <f t="shared" si="698"/>
        <v>13.8642</v>
      </c>
      <c r="I2729" s="413">
        <f t="shared" ref="I2729" si="702">G2729+H2729</f>
        <v>53.476200000000006</v>
      </c>
      <c r="J2729" s="349">
        <f>I2729+I2732+I2733</f>
        <v>65.067300000000003</v>
      </c>
    </row>
    <row r="2730" spans="1:10">
      <c r="A2730" s="350" t="s">
        <v>258</v>
      </c>
      <c r="B2730" s="350">
        <v>15</v>
      </c>
      <c r="C2730" s="391">
        <v>11.4</v>
      </c>
      <c r="D2730" s="392">
        <f t="shared" si="699"/>
        <v>2.508</v>
      </c>
      <c r="E2730" s="392"/>
      <c r="F2730" s="392">
        <f t="shared" si="700"/>
        <v>10.26</v>
      </c>
      <c r="G2730" s="392"/>
      <c r="H2730" s="392"/>
      <c r="I2730" s="393"/>
      <c r="J2730" s="353"/>
    </row>
    <row r="2731" spans="1:10">
      <c r="A2731" s="350" t="s">
        <v>337</v>
      </c>
      <c r="B2731" s="350">
        <v>15</v>
      </c>
      <c r="C2731" s="391">
        <v>7.2</v>
      </c>
      <c r="D2731" s="392">
        <f t="shared" si="699"/>
        <v>1.5840000000000001</v>
      </c>
      <c r="E2731" s="392"/>
      <c r="F2731" s="392">
        <f t="shared" si="700"/>
        <v>6.48</v>
      </c>
      <c r="G2731" s="392"/>
      <c r="H2731" s="392"/>
      <c r="I2731" s="393"/>
      <c r="J2731" s="353"/>
    </row>
    <row r="2732" spans="1:10">
      <c r="A2732" s="350" t="s">
        <v>385</v>
      </c>
      <c r="B2732" s="351">
        <v>7.5</v>
      </c>
      <c r="C2732" s="391">
        <v>4.05</v>
      </c>
      <c r="D2732" s="392">
        <f t="shared" si="699"/>
        <v>0.89100000000000001</v>
      </c>
      <c r="E2732" s="355"/>
      <c r="F2732" s="392">
        <f t="shared" si="700"/>
        <v>3.645</v>
      </c>
      <c r="G2732" s="392">
        <f>C2732+D2732+E2732+F2732</f>
        <v>8.5860000000000003</v>
      </c>
      <c r="H2732" s="392">
        <f t="shared" ref="H2732:H2734" si="703">G2732*0.35</f>
        <v>3.0051000000000001</v>
      </c>
      <c r="I2732" s="393">
        <f>G2732+H2732</f>
        <v>11.591100000000001</v>
      </c>
      <c r="J2732" s="353"/>
    </row>
    <row r="2733" spans="1:10">
      <c r="A2733" s="350"/>
      <c r="B2733" s="351"/>
      <c r="C2733" s="391"/>
      <c r="D2733" s="392"/>
      <c r="E2733" s="355"/>
      <c r="F2733" s="392"/>
      <c r="G2733" s="392"/>
      <c r="H2733" s="392"/>
      <c r="I2733" s="393"/>
      <c r="J2733" s="353"/>
    </row>
    <row r="2734" spans="1:10" ht="31.5">
      <c r="A2734" s="345" t="s">
        <v>1657</v>
      </c>
      <c r="B2734" s="346"/>
      <c r="C2734" s="412">
        <f>C2735+C2736</f>
        <v>18.600000000000001</v>
      </c>
      <c r="D2734" s="412">
        <f t="shared" ref="D2734:D2737" si="704">C2734*0.22</f>
        <v>4.0920000000000005</v>
      </c>
      <c r="E2734" s="412">
        <v>0.18</v>
      </c>
      <c r="F2734" s="412">
        <f t="shared" ref="F2734:F2737" si="705">C2734*0.9</f>
        <v>16.740000000000002</v>
      </c>
      <c r="G2734" s="412">
        <f t="shared" ref="G2734" si="706">C2734+D2734+E2734+F2734</f>
        <v>39.612000000000002</v>
      </c>
      <c r="H2734" s="412">
        <f t="shared" si="703"/>
        <v>13.8642</v>
      </c>
      <c r="I2734" s="413">
        <f t="shared" ref="I2734" si="707">G2734+H2734</f>
        <v>53.476200000000006</v>
      </c>
      <c r="J2734" s="349">
        <f>I2734+I2737+I2738</f>
        <v>65.067300000000003</v>
      </c>
    </row>
    <row r="2735" spans="1:10">
      <c r="A2735" s="350" t="s">
        <v>258</v>
      </c>
      <c r="B2735" s="350">
        <v>15</v>
      </c>
      <c r="C2735" s="391">
        <v>11.4</v>
      </c>
      <c r="D2735" s="392">
        <f t="shared" si="704"/>
        <v>2.508</v>
      </c>
      <c r="E2735" s="392"/>
      <c r="F2735" s="392">
        <f t="shared" si="705"/>
        <v>10.26</v>
      </c>
      <c r="G2735" s="392"/>
      <c r="H2735" s="392"/>
      <c r="I2735" s="393"/>
      <c r="J2735" s="353"/>
    </row>
    <row r="2736" spans="1:10">
      <c r="A2736" s="350" t="s">
        <v>337</v>
      </c>
      <c r="B2736" s="350">
        <v>15</v>
      </c>
      <c r="C2736" s="391">
        <v>7.2</v>
      </c>
      <c r="D2736" s="392">
        <f t="shared" si="704"/>
        <v>1.5840000000000001</v>
      </c>
      <c r="E2736" s="392"/>
      <c r="F2736" s="392">
        <f t="shared" si="705"/>
        <v>6.48</v>
      </c>
      <c r="G2736" s="392"/>
      <c r="H2736" s="392"/>
      <c r="I2736" s="393"/>
      <c r="J2736" s="353"/>
    </row>
    <row r="2737" spans="1:10">
      <c r="A2737" s="350" t="s">
        <v>385</v>
      </c>
      <c r="B2737" s="351">
        <v>7.5</v>
      </c>
      <c r="C2737" s="391">
        <v>4.05</v>
      </c>
      <c r="D2737" s="392">
        <f t="shared" si="704"/>
        <v>0.89100000000000001</v>
      </c>
      <c r="E2737" s="355"/>
      <c r="F2737" s="392">
        <f t="shared" si="705"/>
        <v>3.645</v>
      </c>
      <c r="G2737" s="392">
        <f>C2737+D2737+E2737+F2737</f>
        <v>8.5860000000000003</v>
      </c>
      <c r="H2737" s="392">
        <f t="shared" ref="H2737" si="708">G2737*0.35</f>
        <v>3.0051000000000001</v>
      </c>
      <c r="I2737" s="393">
        <f>G2737+H2737</f>
        <v>11.591100000000001</v>
      </c>
      <c r="J2737" s="353"/>
    </row>
    <row r="2738" spans="1:10">
      <c r="A2738" s="350"/>
      <c r="B2738" s="351"/>
      <c r="C2738" s="391"/>
      <c r="D2738" s="392"/>
      <c r="E2738" s="355"/>
      <c r="F2738" s="392"/>
      <c r="G2738" s="392"/>
      <c r="H2738" s="392"/>
      <c r="I2738" s="393"/>
      <c r="J2738" s="353"/>
    </row>
    <row r="2739" spans="1:10" ht="21">
      <c r="A2739" s="345" t="s">
        <v>1658</v>
      </c>
      <c r="B2739" s="346"/>
      <c r="C2739" s="412">
        <f>C2740+C2741</f>
        <v>18.600000000000001</v>
      </c>
      <c r="D2739" s="412">
        <f>C2739*0.22</f>
        <v>4.0920000000000005</v>
      </c>
      <c r="E2739" s="412">
        <v>0.18</v>
      </c>
      <c r="F2739" s="412">
        <f>C2739*0.9</f>
        <v>16.740000000000002</v>
      </c>
      <c r="G2739" s="412">
        <f t="shared" ref="G2739" si="709">C2739+D2739+E2739+F2739</f>
        <v>39.612000000000002</v>
      </c>
      <c r="H2739" s="412">
        <f t="shared" ref="H2739" si="710">G2739*0.35</f>
        <v>13.8642</v>
      </c>
      <c r="I2739" s="413">
        <f t="shared" ref="I2739" si="711">G2739+H2739</f>
        <v>53.476200000000006</v>
      </c>
      <c r="J2739" s="349">
        <f>I2739+I2742+I2743</f>
        <v>65.067300000000003</v>
      </c>
    </row>
    <row r="2740" spans="1:10">
      <c r="A2740" s="350" t="s">
        <v>258</v>
      </c>
      <c r="B2740" s="350">
        <v>15</v>
      </c>
      <c r="C2740" s="391">
        <v>11.4</v>
      </c>
      <c r="D2740" s="392">
        <f>C2740*0.22</f>
        <v>2.508</v>
      </c>
      <c r="E2740" s="392"/>
      <c r="F2740" s="392">
        <f>C2740*0.9</f>
        <v>10.26</v>
      </c>
      <c r="G2740" s="392"/>
      <c r="H2740" s="392"/>
      <c r="I2740" s="393"/>
      <c r="J2740" s="353"/>
    </row>
    <row r="2741" spans="1:10">
      <c r="A2741" s="350" t="s">
        <v>337</v>
      </c>
      <c r="B2741" s="350">
        <v>15</v>
      </c>
      <c r="C2741" s="391">
        <v>7.2</v>
      </c>
      <c r="D2741" s="392">
        <f>C2741*0.22</f>
        <v>1.5840000000000001</v>
      </c>
      <c r="E2741" s="392"/>
      <c r="F2741" s="392">
        <f>C2741*0.9</f>
        <v>6.48</v>
      </c>
      <c r="G2741" s="392"/>
      <c r="H2741" s="392"/>
      <c r="I2741" s="393"/>
      <c r="J2741" s="353"/>
    </row>
    <row r="2742" spans="1:10">
      <c r="A2742" s="350" t="s">
        <v>385</v>
      </c>
      <c r="B2742" s="351">
        <v>7.5</v>
      </c>
      <c r="C2742" s="391">
        <v>4.05</v>
      </c>
      <c r="D2742" s="392">
        <f>C2742*0.22</f>
        <v>0.89100000000000001</v>
      </c>
      <c r="E2742" s="355"/>
      <c r="F2742" s="392">
        <f>C2742*0.9</f>
        <v>3.645</v>
      </c>
      <c r="G2742" s="392">
        <f>C2742+D2742+E2742+F2742</f>
        <v>8.5860000000000003</v>
      </c>
      <c r="H2742" s="392">
        <f>G2742*0.35</f>
        <v>3.0051000000000001</v>
      </c>
      <c r="I2742" s="393">
        <f>G2742+H2742</f>
        <v>11.591100000000001</v>
      </c>
      <c r="J2742" s="353"/>
    </row>
    <row r="2743" spans="1:10">
      <c r="A2743" s="350"/>
      <c r="B2743" s="351"/>
      <c r="C2743" s="391"/>
      <c r="D2743" s="392"/>
      <c r="E2743" s="355"/>
      <c r="F2743" s="392"/>
      <c r="G2743" s="392"/>
      <c r="H2743" s="392"/>
      <c r="I2743" s="393"/>
      <c r="J2743" s="353"/>
    </row>
    <row r="2744" spans="1:10" ht="21">
      <c r="A2744" s="345" t="s">
        <v>1659</v>
      </c>
      <c r="B2744" s="346"/>
      <c r="C2744" s="412">
        <f>C2745+C2746</f>
        <v>18.600000000000001</v>
      </c>
      <c r="D2744" s="412">
        <f t="shared" ref="D2744:D2747" si="712">C2744*0.22</f>
        <v>4.0920000000000005</v>
      </c>
      <c r="E2744" s="412">
        <v>0.18</v>
      </c>
      <c r="F2744" s="412">
        <f t="shared" si="692"/>
        <v>16.740000000000002</v>
      </c>
      <c r="G2744" s="412">
        <f t="shared" ref="G2744" si="713">C2744+D2744+E2744+F2744</f>
        <v>39.612000000000002</v>
      </c>
      <c r="H2744" s="412">
        <f t="shared" ref="H2744" si="714">G2744*0.35</f>
        <v>13.8642</v>
      </c>
      <c r="I2744" s="413">
        <f t="shared" ref="I2744" si="715">G2744+H2744</f>
        <v>53.476200000000006</v>
      </c>
      <c r="J2744" s="349">
        <f>I2744+I2747+I2748</f>
        <v>65.067300000000003</v>
      </c>
    </row>
    <row r="2745" spans="1:10">
      <c r="A2745" s="350" t="s">
        <v>258</v>
      </c>
      <c r="B2745" s="350">
        <v>15</v>
      </c>
      <c r="C2745" s="391">
        <v>11.4</v>
      </c>
      <c r="D2745" s="392">
        <f t="shared" si="712"/>
        <v>2.508</v>
      </c>
      <c r="E2745" s="392"/>
      <c r="F2745" s="392">
        <f t="shared" si="692"/>
        <v>10.26</v>
      </c>
      <c r="G2745" s="392"/>
      <c r="H2745" s="392"/>
      <c r="I2745" s="393"/>
      <c r="J2745" s="353"/>
    </row>
    <row r="2746" spans="1:10">
      <c r="A2746" s="350" t="s">
        <v>337</v>
      </c>
      <c r="B2746" s="350">
        <v>15</v>
      </c>
      <c r="C2746" s="391">
        <v>7.2</v>
      </c>
      <c r="D2746" s="392">
        <f t="shared" si="712"/>
        <v>1.5840000000000001</v>
      </c>
      <c r="E2746" s="392"/>
      <c r="F2746" s="392">
        <f t="shared" si="692"/>
        <v>6.48</v>
      </c>
      <c r="G2746" s="392"/>
      <c r="H2746" s="392"/>
      <c r="I2746" s="393"/>
      <c r="J2746" s="353"/>
    </row>
    <row r="2747" spans="1:10">
      <c r="A2747" s="350" t="s">
        <v>385</v>
      </c>
      <c r="B2747" s="351">
        <v>7.5</v>
      </c>
      <c r="C2747" s="391">
        <v>4.05</v>
      </c>
      <c r="D2747" s="392">
        <f t="shared" si="712"/>
        <v>0.89100000000000001</v>
      </c>
      <c r="E2747" s="355"/>
      <c r="F2747" s="392">
        <f t="shared" si="692"/>
        <v>3.645</v>
      </c>
      <c r="G2747" s="392">
        <f>C2747+D2747+E2747+F2747</f>
        <v>8.5860000000000003</v>
      </c>
      <c r="H2747" s="392">
        <f t="shared" ref="H2747" si="716">G2747*0.35</f>
        <v>3.0051000000000001</v>
      </c>
      <c r="I2747" s="393">
        <f>G2747+H2747</f>
        <v>11.591100000000001</v>
      </c>
      <c r="J2747" s="353"/>
    </row>
    <row r="2748" spans="1:10">
      <c r="A2748" s="350"/>
      <c r="B2748" s="351"/>
      <c r="C2748" s="391"/>
      <c r="D2748" s="392"/>
      <c r="E2748" s="355"/>
      <c r="F2748" s="392"/>
      <c r="G2748" s="392"/>
      <c r="H2748" s="392"/>
      <c r="I2748" s="393"/>
      <c r="J2748" s="353"/>
    </row>
    <row r="2749" spans="1:10" ht="31.5">
      <c r="A2749" s="345" t="s">
        <v>1660</v>
      </c>
      <c r="B2749" s="346"/>
      <c r="C2749" s="412">
        <f>C2750+C2751</f>
        <v>18.600000000000001</v>
      </c>
      <c r="D2749" s="412">
        <f t="shared" ref="D2749:D2752" si="717">C2749*0.22</f>
        <v>4.0920000000000005</v>
      </c>
      <c r="E2749" s="412">
        <v>0.18</v>
      </c>
      <c r="F2749" s="412">
        <f t="shared" ref="F2749:F2752" si="718">C2749*0.9</f>
        <v>16.740000000000002</v>
      </c>
      <c r="G2749" s="412">
        <f t="shared" ref="G2749" si="719">C2749+D2749+E2749+F2749</f>
        <v>39.612000000000002</v>
      </c>
      <c r="H2749" s="412">
        <f t="shared" ref="H2749" si="720">G2749*0.35</f>
        <v>13.8642</v>
      </c>
      <c r="I2749" s="413">
        <f t="shared" ref="I2749" si="721">G2749+H2749</f>
        <v>53.476200000000006</v>
      </c>
      <c r="J2749" s="349">
        <f>I2749+I2752</f>
        <v>65.067300000000003</v>
      </c>
    </row>
    <row r="2750" spans="1:10">
      <c r="A2750" s="350" t="s">
        <v>258</v>
      </c>
      <c r="B2750" s="350">
        <v>15</v>
      </c>
      <c r="C2750" s="391">
        <v>11.4</v>
      </c>
      <c r="D2750" s="392">
        <f t="shared" si="717"/>
        <v>2.508</v>
      </c>
      <c r="E2750" s="392"/>
      <c r="F2750" s="392">
        <f t="shared" si="718"/>
        <v>10.26</v>
      </c>
      <c r="G2750" s="392"/>
      <c r="H2750" s="392"/>
      <c r="I2750" s="393"/>
      <c r="J2750" s="355"/>
    </row>
    <row r="2751" spans="1:10">
      <c r="A2751" s="350" t="s">
        <v>337</v>
      </c>
      <c r="B2751" s="350">
        <v>15</v>
      </c>
      <c r="C2751" s="391">
        <v>7.2</v>
      </c>
      <c r="D2751" s="392">
        <f t="shared" si="717"/>
        <v>1.5840000000000001</v>
      </c>
      <c r="E2751" s="392"/>
      <c r="F2751" s="392">
        <f t="shared" si="718"/>
        <v>6.48</v>
      </c>
      <c r="G2751" s="392"/>
      <c r="H2751" s="392"/>
      <c r="I2751" s="393"/>
      <c r="J2751" s="355"/>
    </row>
    <row r="2752" spans="1:10">
      <c r="A2752" s="350" t="s">
        <v>385</v>
      </c>
      <c r="B2752" s="351">
        <v>7.5</v>
      </c>
      <c r="C2752" s="391">
        <v>4.05</v>
      </c>
      <c r="D2752" s="392">
        <f t="shared" si="717"/>
        <v>0.89100000000000001</v>
      </c>
      <c r="E2752" s="355"/>
      <c r="F2752" s="392">
        <f t="shared" si="718"/>
        <v>3.645</v>
      </c>
      <c r="G2752" s="392">
        <f>C2752+D2752+E2752+F2752</f>
        <v>8.5860000000000003</v>
      </c>
      <c r="H2752" s="392">
        <f t="shared" ref="H2752" si="722">G2752*0.35</f>
        <v>3.0051000000000001</v>
      </c>
      <c r="I2752" s="393">
        <f>G2752+H2752</f>
        <v>11.591100000000001</v>
      </c>
      <c r="J2752" s="355"/>
    </row>
    <row r="2753" spans="1:10" ht="12.75">
      <c r="A2753" s="493"/>
      <c r="B2753" s="494"/>
      <c r="C2753" s="495"/>
      <c r="D2753" s="495"/>
      <c r="E2753" s="495"/>
      <c r="F2753" s="495"/>
      <c r="G2753" s="495"/>
      <c r="H2753" s="495"/>
      <c r="I2753" s="496"/>
      <c r="J2753" s="497"/>
    </row>
    <row r="2754" spans="1:10" ht="12.75">
      <c r="A2754" s="498" t="s">
        <v>1661</v>
      </c>
      <c r="B2754" s="499"/>
      <c r="C2754" s="499"/>
      <c r="D2754" s="499"/>
      <c r="E2754" s="499"/>
      <c r="F2754" s="499"/>
      <c r="G2754" s="499"/>
      <c r="H2754" s="499"/>
      <c r="I2754" s="499"/>
      <c r="J2754" s="500"/>
    </row>
    <row r="2755" spans="1:10">
      <c r="A2755" s="345" t="s">
        <v>1662</v>
      </c>
      <c r="B2755" s="346"/>
      <c r="C2755" s="412">
        <f>C2756+C2757</f>
        <v>33.299999999999997</v>
      </c>
      <c r="D2755" s="412">
        <f t="shared" ref="D2755:D2758" si="723">C2755*0.22</f>
        <v>7.3259999999999996</v>
      </c>
      <c r="E2755" s="412">
        <v>189</v>
      </c>
      <c r="F2755" s="412">
        <f t="shared" ref="F2755:F2783" si="724">C2755*0.9</f>
        <v>29.97</v>
      </c>
      <c r="G2755" s="412">
        <f>C2755+D2755+E2755+F2755</f>
        <v>259.596</v>
      </c>
      <c r="H2755" s="412">
        <f t="shared" ref="H2755" si="725">G2755*0.35</f>
        <v>90.858599999999996</v>
      </c>
      <c r="I2755" s="413">
        <f>G2755+H2755</f>
        <v>350.45460000000003</v>
      </c>
      <c r="J2755" s="349">
        <f>I2755+I2758+I2759</f>
        <v>373.63680000000005</v>
      </c>
    </row>
    <row r="2756" spans="1:10">
      <c r="A2756" s="350" t="s">
        <v>258</v>
      </c>
      <c r="B2756" s="350">
        <v>30</v>
      </c>
      <c r="C2756" s="391">
        <v>18.899999999999999</v>
      </c>
      <c r="D2756" s="392">
        <f t="shared" si="723"/>
        <v>4.1579999999999995</v>
      </c>
      <c r="E2756" s="360"/>
      <c r="F2756" s="392">
        <f t="shared" si="724"/>
        <v>17.009999999999998</v>
      </c>
      <c r="G2756" s="392"/>
      <c r="H2756" s="392"/>
      <c r="I2756" s="393"/>
      <c r="J2756" s="353"/>
    </row>
    <row r="2757" spans="1:10">
      <c r="A2757" s="350" t="s">
        <v>337</v>
      </c>
      <c r="B2757" s="350">
        <v>30</v>
      </c>
      <c r="C2757" s="391">
        <v>14.4</v>
      </c>
      <c r="D2757" s="392">
        <f t="shared" si="723"/>
        <v>3.1680000000000001</v>
      </c>
      <c r="E2757" s="360"/>
      <c r="F2757" s="392">
        <f t="shared" si="724"/>
        <v>12.96</v>
      </c>
      <c r="G2757" s="392"/>
      <c r="H2757" s="392"/>
      <c r="I2757" s="393"/>
      <c r="J2757" s="353"/>
    </row>
    <row r="2758" spans="1:10">
      <c r="A2758" s="350" t="s">
        <v>385</v>
      </c>
      <c r="B2758" s="351">
        <v>15</v>
      </c>
      <c r="C2758" s="391">
        <v>8.1</v>
      </c>
      <c r="D2758" s="392">
        <f t="shared" si="723"/>
        <v>1.782</v>
      </c>
      <c r="E2758" s="355"/>
      <c r="F2758" s="392">
        <f t="shared" si="724"/>
        <v>7.29</v>
      </c>
      <c r="G2758" s="392">
        <f>C2758+D2758+E2758+F2758</f>
        <v>17.172000000000001</v>
      </c>
      <c r="H2758" s="392">
        <f t="shared" ref="H2758:H2760" si="726">G2758*0.35</f>
        <v>6.0102000000000002</v>
      </c>
      <c r="I2758" s="393">
        <f>G2758+H2758</f>
        <v>23.182200000000002</v>
      </c>
      <c r="J2758" s="353"/>
    </row>
    <row r="2759" spans="1:10">
      <c r="A2759" s="350"/>
      <c r="B2759" s="351"/>
      <c r="C2759" s="391"/>
      <c r="D2759" s="392"/>
      <c r="E2759" s="355"/>
      <c r="F2759" s="392"/>
      <c r="G2759" s="392"/>
      <c r="H2759" s="392"/>
      <c r="I2759" s="393"/>
      <c r="J2759" s="353"/>
    </row>
    <row r="2760" spans="1:10">
      <c r="A2760" s="345" t="s">
        <v>1663</v>
      </c>
      <c r="B2760" s="346"/>
      <c r="C2760" s="412">
        <f>C2761+C2762</f>
        <v>33.299999999999997</v>
      </c>
      <c r="D2760" s="412">
        <f t="shared" ref="D2760:D2763" si="727">C2760*0.22</f>
        <v>7.3259999999999996</v>
      </c>
      <c r="E2760" s="412">
        <v>40</v>
      </c>
      <c r="F2760" s="412">
        <f t="shared" ref="F2760:F2763" si="728">C2760*0.9</f>
        <v>29.97</v>
      </c>
      <c r="G2760" s="412">
        <f>C2760+D2760+E2760+F2760</f>
        <v>110.596</v>
      </c>
      <c r="H2760" s="412">
        <f t="shared" si="726"/>
        <v>38.708599999999997</v>
      </c>
      <c r="I2760" s="413">
        <f>G2760+H2760</f>
        <v>149.30459999999999</v>
      </c>
      <c r="J2760" s="349">
        <f>I2760+I2763+I2764</f>
        <v>172.48679999999999</v>
      </c>
    </row>
    <row r="2761" spans="1:10">
      <c r="A2761" s="350" t="s">
        <v>258</v>
      </c>
      <c r="B2761" s="350">
        <v>30</v>
      </c>
      <c r="C2761" s="391">
        <v>18.899999999999999</v>
      </c>
      <c r="D2761" s="392">
        <f t="shared" si="727"/>
        <v>4.1579999999999995</v>
      </c>
      <c r="E2761" s="360"/>
      <c r="F2761" s="392">
        <f t="shared" si="728"/>
        <v>17.009999999999998</v>
      </c>
      <c r="G2761" s="392"/>
      <c r="H2761" s="392"/>
      <c r="I2761" s="393"/>
      <c r="J2761" s="353"/>
    </row>
    <row r="2762" spans="1:10">
      <c r="A2762" s="350" t="s">
        <v>337</v>
      </c>
      <c r="B2762" s="350">
        <v>30</v>
      </c>
      <c r="C2762" s="391">
        <v>14.4</v>
      </c>
      <c r="D2762" s="392">
        <f t="shared" si="727"/>
        <v>3.1680000000000001</v>
      </c>
      <c r="E2762" s="360"/>
      <c r="F2762" s="392">
        <f t="shared" si="728"/>
        <v>12.96</v>
      </c>
      <c r="G2762" s="392"/>
      <c r="H2762" s="392"/>
      <c r="I2762" s="393"/>
      <c r="J2762" s="353"/>
    </row>
    <row r="2763" spans="1:10">
      <c r="A2763" s="350" t="s">
        <v>385</v>
      </c>
      <c r="B2763" s="351">
        <v>15</v>
      </c>
      <c r="C2763" s="391">
        <v>8.1</v>
      </c>
      <c r="D2763" s="392">
        <f t="shared" si="727"/>
        <v>1.782</v>
      </c>
      <c r="E2763" s="355"/>
      <c r="F2763" s="392">
        <f t="shared" si="728"/>
        <v>7.29</v>
      </c>
      <c r="G2763" s="392">
        <f>C2763+D2763+E2763+F2763</f>
        <v>17.172000000000001</v>
      </c>
      <c r="H2763" s="392">
        <f t="shared" ref="H2763" si="729">G2763*0.35</f>
        <v>6.0102000000000002</v>
      </c>
      <c r="I2763" s="393">
        <f>G2763+H2763</f>
        <v>23.182200000000002</v>
      </c>
      <c r="J2763" s="353"/>
    </row>
    <row r="2764" spans="1:10">
      <c r="A2764" s="350"/>
      <c r="B2764" s="351"/>
      <c r="C2764" s="391"/>
      <c r="D2764" s="392"/>
      <c r="E2764" s="355"/>
      <c r="F2764" s="392"/>
      <c r="G2764" s="392"/>
      <c r="H2764" s="392"/>
      <c r="I2764" s="393"/>
      <c r="J2764" s="353"/>
    </row>
    <row r="2765" spans="1:10">
      <c r="A2765" s="345" t="s">
        <v>1664</v>
      </c>
      <c r="B2765" s="346"/>
      <c r="C2765" s="412">
        <f>C2766+C2767</f>
        <v>22.2</v>
      </c>
      <c r="D2765" s="412">
        <f t="shared" ref="D2765:D2783" si="730">C2765*0.22</f>
        <v>4.8839999999999995</v>
      </c>
      <c r="E2765" s="412">
        <v>106</v>
      </c>
      <c r="F2765" s="412">
        <f t="shared" si="724"/>
        <v>19.98</v>
      </c>
      <c r="G2765" s="412">
        <f t="shared" ref="G2765:G2770" si="731">C2765+D2765+E2765+F2765</f>
        <v>153.06399999999999</v>
      </c>
      <c r="H2765" s="412">
        <f t="shared" ref="H2765:H2770" si="732">G2765*0.35</f>
        <v>53.572399999999995</v>
      </c>
      <c r="I2765" s="413">
        <f t="shared" ref="I2765:I2770" si="733">G2765+H2765</f>
        <v>206.63639999999998</v>
      </c>
      <c r="J2765" s="349">
        <f>I2765+I2768+I2769</f>
        <v>222.09119999999999</v>
      </c>
    </row>
    <row r="2766" spans="1:10">
      <c r="A2766" s="350" t="s">
        <v>258</v>
      </c>
      <c r="B2766" s="350">
        <v>20</v>
      </c>
      <c r="C2766" s="391">
        <v>12.6</v>
      </c>
      <c r="D2766" s="392"/>
      <c r="E2766" s="392"/>
      <c r="F2766" s="392"/>
      <c r="G2766" s="392"/>
      <c r="H2766" s="392"/>
      <c r="I2766" s="393"/>
      <c r="J2766" s="353"/>
    </row>
    <row r="2767" spans="1:10">
      <c r="A2767" s="350" t="s">
        <v>337</v>
      </c>
      <c r="B2767" s="350">
        <v>20</v>
      </c>
      <c r="C2767" s="391">
        <v>9.6</v>
      </c>
      <c r="D2767" s="392"/>
      <c r="E2767" s="392"/>
      <c r="F2767" s="392"/>
      <c r="G2767" s="392"/>
      <c r="H2767" s="392"/>
      <c r="I2767" s="393"/>
      <c r="J2767" s="353"/>
    </row>
    <row r="2768" spans="1:10">
      <c r="A2768" s="350" t="s">
        <v>385</v>
      </c>
      <c r="B2768" s="351">
        <v>10</v>
      </c>
      <c r="C2768" s="391">
        <v>5.4</v>
      </c>
      <c r="D2768" s="392">
        <f t="shared" si="730"/>
        <v>1.1880000000000002</v>
      </c>
      <c r="E2768" s="355"/>
      <c r="F2768" s="392">
        <f t="shared" si="724"/>
        <v>4.8600000000000003</v>
      </c>
      <c r="G2768" s="392">
        <f t="shared" si="731"/>
        <v>11.448</v>
      </c>
      <c r="H2768" s="392">
        <f t="shared" si="732"/>
        <v>4.0068000000000001</v>
      </c>
      <c r="I2768" s="393">
        <f t="shared" si="733"/>
        <v>15.454800000000001</v>
      </c>
      <c r="J2768" s="353"/>
    </row>
    <row r="2769" spans="1:10">
      <c r="A2769" s="350"/>
      <c r="B2769" s="351"/>
      <c r="C2769" s="391"/>
      <c r="D2769" s="392"/>
      <c r="E2769" s="355"/>
      <c r="F2769" s="392"/>
      <c r="G2769" s="392"/>
      <c r="H2769" s="392"/>
      <c r="I2769" s="393"/>
      <c r="J2769" s="353"/>
    </row>
    <row r="2770" spans="1:10">
      <c r="A2770" s="345" t="s">
        <v>1665</v>
      </c>
      <c r="B2770" s="346"/>
      <c r="C2770" s="412">
        <f>C2771+C2772</f>
        <v>18.600000000000001</v>
      </c>
      <c r="D2770" s="412">
        <f t="shared" si="730"/>
        <v>4.0920000000000005</v>
      </c>
      <c r="E2770" s="412">
        <v>5</v>
      </c>
      <c r="F2770" s="412">
        <f t="shared" si="724"/>
        <v>16.740000000000002</v>
      </c>
      <c r="G2770" s="412">
        <f t="shared" si="731"/>
        <v>44.432000000000002</v>
      </c>
      <c r="H2770" s="412">
        <f t="shared" si="732"/>
        <v>15.5512</v>
      </c>
      <c r="I2770" s="413">
        <f t="shared" si="733"/>
        <v>59.983200000000004</v>
      </c>
      <c r="J2770" s="349">
        <f>I2770+I2773+I2774</f>
        <v>71.574300000000008</v>
      </c>
    </row>
    <row r="2771" spans="1:10">
      <c r="A2771" s="350" t="s">
        <v>258</v>
      </c>
      <c r="B2771" s="350">
        <v>15</v>
      </c>
      <c r="C2771" s="391">
        <v>11.4</v>
      </c>
      <c r="D2771" s="392">
        <f t="shared" si="730"/>
        <v>2.508</v>
      </c>
      <c r="E2771" s="392"/>
      <c r="F2771" s="392">
        <f t="shared" si="724"/>
        <v>10.26</v>
      </c>
      <c r="G2771" s="392"/>
      <c r="H2771" s="392"/>
      <c r="I2771" s="393"/>
      <c r="J2771" s="353"/>
    </row>
    <row r="2772" spans="1:10">
      <c r="A2772" s="350" t="s">
        <v>337</v>
      </c>
      <c r="B2772" s="350">
        <v>15</v>
      </c>
      <c r="C2772" s="391">
        <v>7.2</v>
      </c>
      <c r="D2772" s="392">
        <f t="shared" si="730"/>
        <v>1.5840000000000001</v>
      </c>
      <c r="E2772" s="392"/>
      <c r="F2772" s="392">
        <f t="shared" si="724"/>
        <v>6.48</v>
      </c>
      <c r="G2772" s="392"/>
      <c r="H2772" s="392"/>
      <c r="I2772" s="393"/>
      <c r="J2772" s="353"/>
    </row>
    <row r="2773" spans="1:10">
      <c r="A2773" s="350" t="s">
        <v>385</v>
      </c>
      <c r="B2773" s="351">
        <v>7.5</v>
      </c>
      <c r="C2773" s="391">
        <v>4.05</v>
      </c>
      <c r="D2773" s="392">
        <f t="shared" si="730"/>
        <v>0.89100000000000001</v>
      </c>
      <c r="E2773" s="355"/>
      <c r="F2773" s="392">
        <f t="shared" si="724"/>
        <v>3.645</v>
      </c>
      <c r="G2773" s="392">
        <f>C2773+D2773+E2773+F2773</f>
        <v>8.5860000000000003</v>
      </c>
      <c r="H2773" s="392">
        <f t="shared" ref="H2773:H2780" si="734">G2773*0.35</f>
        <v>3.0051000000000001</v>
      </c>
      <c r="I2773" s="393">
        <f>G2773+H2773</f>
        <v>11.591100000000001</v>
      </c>
      <c r="J2773" s="353"/>
    </row>
    <row r="2774" spans="1:10">
      <c r="A2774" s="350"/>
      <c r="B2774" s="351"/>
      <c r="C2774" s="391"/>
      <c r="D2774" s="392"/>
      <c r="E2774" s="355"/>
      <c r="F2774" s="392"/>
      <c r="G2774" s="392"/>
      <c r="H2774" s="392"/>
      <c r="I2774" s="393"/>
      <c r="J2774" s="353"/>
    </row>
    <row r="2775" spans="1:10">
      <c r="A2775" s="345" t="s">
        <v>1666</v>
      </c>
      <c r="B2775" s="346"/>
      <c r="C2775" s="412">
        <f>C2776+C2777</f>
        <v>18.600000000000001</v>
      </c>
      <c r="D2775" s="412">
        <f t="shared" ref="D2775:D2778" si="735">C2775*0.22</f>
        <v>4.0920000000000005</v>
      </c>
      <c r="E2775" s="412">
        <v>5</v>
      </c>
      <c r="F2775" s="412">
        <f t="shared" ref="F2775:F2778" si="736">C2775*0.9</f>
        <v>16.740000000000002</v>
      </c>
      <c r="G2775" s="412">
        <f t="shared" ref="G2775" si="737">C2775+D2775+E2775+F2775</f>
        <v>44.432000000000002</v>
      </c>
      <c r="H2775" s="412">
        <f t="shared" si="734"/>
        <v>15.5512</v>
      </c>
      <c r="I2775" s="413">
        <f t="shared" ref="I2775" si="738">G2775+H2775</f>
        <v>59.983200000000004</v>
      </c>
      <c r="J2775" s="349">
        <f>I2775+I2778+I2779</f>
        <v>71.574300000000008</v>
      </c>
    </row>
    <row r="2776" spans="1:10">
      <c r="A2776" s="350" t="s">
        <v>258</v>
      </c>
      <c r="B2776" s="350">
        <v>15</v>
      </c>
      <c r="C2776" s="391">
        <v>11.4</v>
      </c>
      <c r="D2776" s="392">
        <f t="shared" si="735"/>
        <v>2.508</v>
      </c>
      <c r="E2776" s="392"/>
      <c r="F2776" s="392">
        <f t="shared" si="736"/>
        <v>10.26</v>
      </c>
      <c r="G2776" s="392"/>
      <c r="H2776" s="392"/>
      <c r="I2776" s="393"/>
      <c r="J2776" s="353"/>
    </row>
    <row r="2777" spans="1:10">
      <c r="A2777" s="350" t="s">
        <v>337</v>
      </c>
      <c r="B2777" s="350">
        <v>15</v>
      </c>
      <c r="C2777" s="391">
        <v>7.2</v>
      </c>
      <c r="D2777" s="392">
        <f t="shared" si="735"/>
        <v>1.5840000000000001</v>
      </c>
      <c r="E2777" s="392"/>
      <c r="F2777" s="392">
        <f t="shared" si="736"/>
        <v>6.48</v>
      </c>
      <c r="G2777" s="392"/>
      <c r="H2777" s="392"/>
      <c r="I2777" s="393"/>
      <c r="J2777" s="353"/>
    </row>
    <row r="2778" spans="1:10">
      <c r="A2778" s="350" t="s">
        <v>385</v>
      </c>
      <c r="B2778" s="351">
        <v>7.5</v>
      </c>
      <c r="C2778" s="391">
        <v>4.05</v>
      </c>
      <c r="D2778" s="392">
        <f t="shared" si="735"/>
        <v>0.89100000000000001</v>
      </c>
      <c r="E2778" s="355"/>
      <c r="F2778" s="392">
        <f t="shared" si="736"/>
        <v>3.645</v>
      </c>
      <c r="G2778" s="392">
        <f>C2778+D2778+E2778+F2778</f>
        <v>8.5860000000000003</v>
      </c>
      <c r="H2778" s="392">
        <f t="shared" ref="H2778" si="739">G2778*0.35</f>
        <v>3.0051000000000001</v>
      </c>
      <c r="I2778" s="393">
        <f>G2778+H2778</f>
        <v>11.591100000000001</v>
      </c>
      <c r="J2778" s="353"/>
    </row>
    <row r="2779" spans="1:10">
      <c r="A2779" s="350"/>
      <c r="B2779" s="351"/>
      <c r="C2779" s="391"/>
      <c r="D2779" s="392"/>
      <c r="E2779" s="355"/>
      <c r="F2779" s="392"/>
      <c r="G2779" s="392"/>
      <c r="H2779" s="392"/>
      <c r="I2779" s="393"/>
      <c r="J2779" s="353"/>
    </row>
    <row r="2780" spans="1:10">
      <c r="A2780" s="345" t="s">
        <v>1667</v>
      </c>
      <c r="B2780" s="346"/>
      <c r="C2780" s="412">
        <f>C2781+C2782</f>
        <v>11.1</v>
      </c>
      <c r="D2780" s="412">
        <f t="shared" si="730"/>
        <v>2.4419999999999997</v>
      </c>
      <c r="E2780" s="412">
        <v>0.18</v>
      </c>
      <c r="F2780" s="412">
        <f t="shared" si="724"/>
        <v>9.99</v>
      </c>
      <c r="G2780" s="412">
        <f>C2780+D2780+E2780+F2780</f>
        <v>23.712</v>
      </c>
      <c r="H2780" s="412">
        <f t="shared" si="734"/>
        <v>8.299199999999999</v>
      </c>
      <c r="I2780" s="413">
        <f>G2780+H2780</f>
        <v>32.011200000000002</v>
      </c>
      <c r="J2780" s="349">
        <f>I2780+I2784+I2783</f>
        <v>39.738600000000005</v>
      </c>
    </row>
    <row r="2781" spans="1:10">
      <c r="A2781" s="350" t="s">
        <v>258</v>
      </c>
      <c r="B2781" s="350">
        <v>10</v>
      </c>
      <c r="C2781" s="391">
        <v>6.3</v>
      </c>
      <c r="D2781" s="392">
        <f t="shared" si="730"/>
        <v>1.3859999999999999</v>
      </c>
      <c r="E2781" s="392"/>
      <c r="F2781" s="392">
        <f t="shared" si="724"/>
        <v>5.67</v>
      </c>
      <c r="G2781" s="392"/>
      <c r="H2781" s="392"/>
      <c r="I2781" s="393"/>
      <c r="J2781" s="353"/>
    </row>
    <row r="2782" spans="1:10">
      <c r="A2782" s="350" t="s">
        <v>337</v>
      </c>
      <c r="B2782" s="350">
        <v>10</v>
      </c>
      <c r="C2782" s="391">
        <v>4.8</v>
      </c>
      <c r="D2782" s="392">
        <f t="shared" si="730"/>
        <v>1.056</v>
      </c>
      <c r="E2782" s="392"/>
      <c r="F2782" s="392">
        <f t="shared" si="724"/>
        <v>4.32</v>
      </c>
      <c r="G2782" s="392"/>
      <c r="H2782" s="392"/>
      <c r="I2782" s="393"/>
      <c r="J2782" s="353"/>
    </row>
    <row r="2783" spans="1:10">
      <c r="A2783" s="350" t="s">
        <v>385</v>
      </c>
      <c r="B2783" s="351">
        <v>5</v>
      </c>
      <c r="C2783" s="391">
        <v>2.7</v>
      </c>
      <c r="D2783" s="392">
        <f t="shared" si="730"/>
        <v>0.59400000000000008</v>
      </c>
      <c r="E2783" s="355"/>
      <c r="F2783" s="392">
        <f t="shared" si="724"/>
        <v>2.4300000000000002</v>
      </c>
      <c r="G2783" s="392">
        <f t="shared" ref="G2783" si="740">C2783+D2783+E2783+F2783</f>
        <v>5.7240000000000002</v>
      </c>
      <c r="H2783" s="392">
        <f t="shared" ref="H2783" si="741">G2783*0.35</f>
        <v>2.0034000000000001</v>
      </c>
      <c r="I2783" s="393">
        <f t="shared" ref="I2783" si="742">G2783+H2783</f>
        <v>7.7274000000000003</v>
      </c>
      <c r="J2783" s="353"/>
    </row>
    <row r="2784" spans="1:10">
      <c r="A2784" s="350"/>
      <c r="B2784" s="351"/>
      <c r="C2784" s="391"/>
      <c r="D2784" s="392"/>
      <c r="E2784" s="355"/>
      <c r="F2784" s="392"/>
      <c r="G2784" s="392"/>
      <c r="H2784" s="392"/>
      <c r="I2784" s="393"/>
      <c r="J2784" s="353"/>
    </row>
    <row r="2785" spans="1:10">
      <c r="A2785" s="345" t="s">
        <v>1668</v>
      </c>
      <c r="B2785" s="346"/>
      <c r="C2785" s="412">
        <f>C2786+C2787</f>
        <v>22.2</v>
      </c>
      <c r="D2785" s="412">
        <f t="shared" ref="D2785:D2793" si="743">C2785*0.22</f>
        <v>4.8839999999999995</v>
      </c>
      <c r="E2785" s="412">
        <v>125</v>
      </c>
      <c r="F2785" s="412">
        <f t="shared" ref="F2785:F2793" si="744">C2785*0.9</f>
        <v>19.98</v>
      </c>
      <c r="G2785" s="412">
        <f t="shared" ref="G2785:G2790" si="745">C2785+D2785+E2785+F2785</f>
        <v>172.06399999999999</v>
      </c>
      <c r="H2785" s="412">
        <f t="shared" ref="H2785:H2790" si="746">G2785*0.35</f>
        <v>60.222399999999993</v>
      </c>
      <c r="I2785" s="413">
        <f t="shared" ref="I2785:I2790" si="747">G2785+H2785</f>
        <v>232.28639999999999</v>
      </c>
      <c r="J2785" s="349">
        <f>I2785+I2788+I2789</f>
        <v>247.74119999999999</v>
      </c>
    </row>
    <row r="2786" spans="1:10">
      <c r="A2786" s="350" t="s">
        <v>258</v>
      </c>
      <c r="B2786" s="350">
        <v>20</v>
      </c>
      <c r="C2786" s="391">
        <v>12.6</v>
      </c>
      <c r="D2786" s="392"/>
      <c r="E2786" s="392"/>
      <c r="F2786" s="392"/>
      <c r="G2786" s="392"/>
      <c r="H2786" s="392"/>
      <c r="I2786" s="393"/>
      <c r="J2786" s="353"/>
    </row>
    <row r="2787" spans="1:10">
      <c r="A2787" s="350" t="s">
        <v>337</v>
      </c>
      <c r="B2787" s="350">
        <v>20</v>
      </c>
      <c r="C2787" s="391">
        <v>9.6</v>
      </c>
      <c r="D2787" s="392"/>
      <c r="E2787" s="392"/>
      <c r="F2787" s="392"/>
      <c r="G2787" s="392"/>
      <c r="H2787" s="392"/>
      <c r="I2787" s="393"/>
      <c r="J2787" s="353"/>
    </row>
    <row r="2788" spans="1:10">
      <c r="A2788" s="350" t="s">
        <v>385</v>
      </c>
      <c r="B2788" s="351">
        <v>10</v>
      </c>
      <c r="C2788" s="391">
        <v>5.4</v>
      </c>
      <c r="D2788" s="392">
        <f t="shared" si="743"/>
        <v>1.1880000000000002</v>
      </c>
      <c r="E2788" s="355"/>
      <c r="F2788" s="392">
        <f t="shared" si="744"/>
        <v>4.8600000000000003</v>
      </c>
      <c r="G2788" s="392">
        <f t="shared" si="745"/>
        <v>11.448</v>
      </c>
      <c r="H2788" s="392">
        <f t="shared" si="746"/>
        <v>4.0068000000000001</v>
      </c>
      <c r="I2788" s="393">
        <f t="shared" si="747"/>
        <v>15.454800000000001</v>
      </c>
      <c r="J2788" s="353"/>
    </row>
    <row r="2789" spans="1:10">
      <c r="A2789" s="350"/>
      <c r="B2789" s="351"/>
      <c r="C2789" s="391"/>
      <c r="D2789" s="392"/>
      <c r="E2789" s="355"/>
      <c r="F2789" s="392"/>
      <c r="G2789" s="392"/>
      <c r="H2789" s="392"/>
      <c r="I2789" s="393"/>
      <c r="J2789" s="353"/>
    </row>
    <row r="2790" spans="1:10">
      <c r="A2790" s="345" t="s">
        <v>1669</v>
      </c>
      <c r="B2790" s="346"/>
      <c r="C2790" s="412">
        <f>C2791+C2792</f>
        <v>18.600000000000001</v>
      </c>
      <c r="D2790" s="412">
        <f t="shared" si="743"/>
        <v>4.0920000000000005</v>
      </c>
      <c r="E2790" s="412">
        <v>5</v>
      </c>
      <c r="F2790" s="412">
        <f t="shared" si="744"/>
        <v>16.740000000000002</v>
      </c>
      <c r="G2790" s="412">
        <f t="shared" si="745"/>
        <v>44.432000000000002</v>
      </c>
      <c r="H2790" s="412">
        <f t="shared" si="746"/>
        <v>15.5512</v>
      </c>
      <c r="I2790" s="413">
        <f t="shared" si="747"/>
        <v>59.983200000000004</v>
      </c>
      <c r="J2790" s="349">
        <f>I2790+I2793+I2794</f>
        <v>71.574300000000008</v>
      </c>
    </row>
    <row r="2791" spans="1:10">
      <c r="A2791" s="350" t="s">
        <v>258</v>
      </c>
      <c r="B2791" s="350">
        <v>15</v>
      </c>
      <c r="C2791" s="391">
        <v>11.4</v>
      </c>
      <c r="D2791" s="392"/>
      <c r="E2791" s="392"/>
      <c r="F2791" s="392"/>
      <c r="G2791" s="392"/>
      <c r="H2791" s="392"/>
      <c r="I2791" s="393"/>
      <c r="J2791" s="353"/>
    </row>
    <row r="2792" spans="1:10">
      <c r="A2792" s="350" t="s">
        <v>337</v>
      </c>
      <c r="B2792" s="350">
        <v>15</v>
      </c>
      <c r="C2792" s="391">
        <v>7.2</v>
      </c>
      <c r="D2792" s="392"/>
      <c r="E2792" s="392"/>
      <c r="F2792" s="392"/>
      <c r="G2792" s="392"/>
      <c r="H2792" s="392"/>
      <c r="I2792" s="393"/>
      <c r="J2792" s="353"/>
    </row>
    <row r="2793" spans="1:10">
      <c r="A2793" s="350" t="s">
        <v>385</v>
      </c>
      <c r="B2793" s="351">
        <v>7.5</v>
      </c>
      <c r="C2793" s="391">
        <v>4.05</v>
      </c>
      <c r="D2793" s="392">
        <f t="shared" si="743"/>
        <v>0.89100000000000001</v>
      </c>
      <c r="E2793" s="355"/>
      <c r="F2793" s="392">
        <f t="shared" si="744"/>
        <v>3.645</v>
      </c>
      <c r="G2793" s="392">
        <f>C2793+D2793+E2793+F2793</f>
        <v>8.5860000000000003</v>
      </c>
      <c r="H2793" s="392">
        <f t="shared" ref="H2793:H2795" si="748">G2793*0.35</f>
        <v>3.0051000000000001</v>
      </c>
      <c r="I2793" s="393">
        <f>G2793+H2793</f>
        <v>11.591100000000001</v>
      </c>
      <c r="J2793" s="353"/>
    </row>
    <row r="2794" spans="1:10">
      <c r="A2794" s="350"/>
      <c r="B2794" s="351"/>
      <c r="C2794" s="391"/>
      <c r="D2794" s="392"/>
      <c r="E2794" s="355"/>
      <c r="F2794" s="392"/>
      <c r="G2794" s="392"/>
      <c r="H2794" s="392"/>
      <c r="I2794" s="393"/>
      <c r="J2794" s="353"/>
    </row>
    <row r="2795" spans="1:10">
      <c r="A2795" s="345" t="s">
        <v>1670</v>
      </c>
      <c r="B2795" s="346"/>
      <c r="C2795" s="412">
        <f>C2796+C2797</f>
        <v>18.600000000000001</v>
      </c>
      <c r="D2795" s="412">
        <f t="shared" ref="D2795:D2808" si="749">C2795*0.22</f>
        <v>4.0920000000000005</v>
      </c>
      <c r="E2795" s="412">
        <v>0.18</v>
      </c>
      <c r="F2795" s="412">
        <f t="shared" ref="F2795:F2798" si="750">C2795*0.9</f>
        <v>16.740000000000002</v>
      </c>
      <c r="G2795" s="412">
        <f t="shared" ref="G2795" si="751">C2795+D2795+E2795+F2795</f>
        <v>39.612000000000002</v>
      </c>
      <c r="H2795" s="412">
        <f t="shared" si="748"/>
        <v>13.8642</v>
      </c>
      <c r="I2795" s="413">
        <f t="shared" ref="I2795" si="752">G2795+H2795</f>
        <v>53.476200000000006</v>
      </c>
      <c r="J2795" s="349">
        <f>I2795+I2798+I2799</f>
        <v>65.067300000000003</v>
      </c>
    </row>
    <row r="2796" spans="1:10">
      <c r="A2796" s="350" t="s">
        <v>258</v>
      </c>
      <c r="B2796" s="350">
        <v>15</v>
      </c>
      <c r="C2796" s="391">
        <v>11.4</v>
      </c>
      <c r="D2796" s="392"/>
      <c r="E2796" s="392"/>
      <c r="F2796" s="392"/>
      <c r="G2796" s="392"/>
      <c r="H2796" s="392"/>
      <c r="I2796" s="393"/>
      <c r="J2796" s="353"/>
    </row>
    <row r="2797" spans="1:10">
      <c r="A2797" s="350" t="s">
        <v>337</v>
      </c>
      <c r="B2797" s="350">
        <v>15</v>
      </c>
      <c r="C2797" s="391">
        <v>7.2</v>
      </c>
      <c r="D2797" s="392"/>
      <c r="E2797" s="392"/>
      <c r="F2797" s="392"/>
      <c r="G2797" s="392"/>
      <c r="H2797" s="392"/>
      <c r="I2797" s="393"/>
      <c r="J2797" s="353"/>
    </row>
    <row r="2798" spans="1:10">
      <c r="A2798" s="350" t="s">
        <v>385</v>
      </c>
      <c r="B2798" s="351">
        <v>7.5</v>
      </c>
      <c r="C2798" s="391">
        <v>4.05</v>
      </c>
      <c r="D2798" s="392">
        <f t="shared" si="749"/>
        <v>0.89100000000000001</v>
      </c>
      <c r="E2798" s="355"/>
      <c r="F2798" s="392">
        <f t="shared" si="750"/>
        <v>3.645</v>
      </c>
      <c r="G2798" s="392">
        <f>C2798+D2798+E2798+F2798</f>
        <v>8.5860000000000003</v>
      </c>
      <c r="H2798" s="392">
        <f t="shared" ref="H2798:H2800" si="753">G2798*0.35</f>
        <v>3.0051000000000001</v>
      </c>
      <c r="I2798" s="393">
        <f>G2798+H2798</f>
        <v>11.591100000000001</v>
      </c>
      <c r="J2798" s="353"/>
    </row>
    <row r="2799" spans="1:10">
      <c r="A2799" s="350"/>
      <c r="B2799" s="351"/>
      <c r="C2799" s="391"/>
      <c r="D2799" s="392"/>
      <c r="E2799" s="355"/>
      <c r="F2799" s="392"/>
      <c r="G2799" s="392"/>
      <c r="H2799" s="392"/>
      <c r="I2799" s="393"/>
      <c r="J2799" s="353"/>
    </row>
    <row r="2800" spans="1:10">
      <c r="A2800" s="345" t="s">
        <v>1671</v>
      </c>
      <c r="B2800" s="346"/>
      <c r="C2800" s="412">
        <f>C2801+C2802</f>
        <v>33.299999999999997</v>
      </c>
      <c r="D2800" s="412">
        <f t="shared" si="749"/>
        <v>7.3259999999999996</v>
      </c>
      <c r="E2800" s="412">
        <v>13</v>
      </c>
      <c r="F2800" s="412">
        <f t="shared" ref="F2800:F2808" si="754">C2800*0.9</f>
        <v>29.97</v>
      </c>
      <c r="G2800" s="412">
        <f>C2800+D2800+E2800+F2800</f>
        <v>83.596000000000004</v>
      </c>
      <c r="H2800" s="412">
        <f t="shared" si="753"/>
        <v>29.258599999999998</v>
      </c>
      <c r="I2800" s="413">
        <f>G2800+H2800</f>
        <v>112.8546</v>
      </c>
      <c r="J2800" s="349">
        <f>I2800+I2803+I2804</f>
        <v>136.0368</v>
      </c>
    </row>
    <row r="2801" spans="1:10">
      <c r="A2801" s="350" t="s">
        <v>258</v>
      </c>
      <c r="B2801" s="350">
        <v>30</v>
      </c>
      <c r="C2801" s="391">
        <v>18.899999999999999</v>
      </c>
      <c r="D2801" s="392"/>
      <c r="E2801" s="360"/>
      <c r="F2801" s="392"/>
      <c r="G2801" s="392"/>
      <c r="H2801" s="392"/>
      <c r="I2801" s="393"/>
      <c r="J2801" s="353"/>
    </row>
    <row r="2802" spans="1:10">
      <c r="A2802" s="350" t="s">
        <v>337</v>
      </c>
      <c r="B2802" s="350">
        <v>30</v>
      </c>
      <c r="C2802" s="391">
        <v>14.4</v>
      </c>
      <c r="D2802" s="392"/>
      <c r="E2802" s="360"/>
      <c r="F2802" s="392"/>
      <c r="G2802" s="392"/>
      <c r="H2802" s="392"/>
      <c r="I2802" s="393"/>
      <c r="J2802" s="353"/>
    </row>
    <row r="2803" spans="1:10">
      <c r="A2803" s="350" t="s">
        <v>385</v>
      </c>
      <c r="B2803" s="351">
        <v>15</v>
      </c>
      <c r="C2803" s="391">
        <v>8.1</v>
      </c>
      <c r="D2803" s="392">
        <f t="shared" si="749"/>
        <v>1.782</v>
      </c>
      <c r="E2803" s="355"/>
      <c r="F2803" s="392">
        <f t="shared" si="754"/>
        <v>7.29</v>
      </c>
      <c r="G2803" s="392">
        <f>C2803+D2803+E2803+F2803</f>
        <v>17.172000000000001</v>
      </c>
      <c r="H2803" s="392">
        <f t="shared" ref="H2803:H2808" si="755">G2803*0.35</f>
        <v>6.0102000000000002</v>
      </c>
      <c r="I2803" s="393">
        <f>G2803+H2803</f>
        <v>23.182200000000002</v>
      </c>
      <c r="J2803" s="353"/>
    </row>
    <row r="2804" spans="1:10">
      <c r="A2804" s="350"/>
      <c r="B2804" s="351"/>
      <c r="C2804" s="391"/>
      <c r="D2804" s="392"/>
      <c r="E2804" s="355"/>
      <c r="F2804" s="392"/>
      <c r="G2804" s="392"/>
      <c r="H2804" s="392"/>
      <c r="I2804" s="393"/>
      <c r="J2804" s="353"/>
    </row>
    <row r="2805" spans="1:10">
      <c r="A2805" s="345" t="s">
        <v>1672</v>
      </c>
      <c r="B2805" s="346"/>
      <c r="C2805" s="412">
        <f>C2806+C2807</f>
        <v>22.2</v>
      </c>
      <c r="D2805" s="412">
        <f t="shared" si="749"/>
        <v>4.8839999999999995</v>
      </c>
      <c r="E2805" s="412">
        <v>0.18</v>
      </c>
      <c r="F2805" s="412">
        <f t="shared" si="754"/>
        <v>19.98</v>
      </c>
      <c r="G2805" s="412">
        <f t="shared" ref="G2805:G2808" si="756">C2805+D2805+E2805+F2805</f>
        <v>47.244</v>
      </c>
      <c r="H2805" s="412">
        <f t="shared" si="755"/>
        <v>16.535399999999999</v>
      </c>
      <c r="I2805" s="413">
        <f t="shared" ref="I2805:I2808" si="757">G2805+H2805</f>
        <v>63.779399999999995</v>
      </c>
      <c r="J2805" s="349">
        <f>I2805+I2808+I2809</f>
        <v>79.234200000000001</v>
      </c>
    </row>
    <row r="2806" spans="1:10">
      <c r="A2806" s="350" t="s">
        <v>258</v>
      </c>
      <c r="B2806" s="350">
        <v>20</v>
      </c>
      <c r="C2806" s="391">
        <v>12.6</v>
      </c>
      <c r="D2806" s="392"/>
      <c r="E2806" s="392"/>
      <c r="F2806" s="392"/>
      <c r="G2806" s="392"/>
      <c r="H2806" s="392"/>
      <c r="I2806" s="393"/>
      <c r="J2806" s="353"/>
    </row>
    <row r="2807" spans="1:10">
      <c r="A2807" s="350" t="s">
        <v>337</v>
      </c>
      <c r="B2807" s="350">
        <v>20</v>
      </c>
      <c r="C2807" s="391">
        <v>9.6</v>
      </c>
      <c r="D2807" s="392"/>
      <c r="E2807" s="392"/>
      <c r="F2807" s="392"/>
      <c r="G2807" s="392"/>
      <c r="H2807" s="392"/>
      <c r="I2807" s="393"/>
      <c r="J2807" s="353"/>
    </row>
    <row r="2808" spans="1:10">
      <c r="A2808" s="350" t="s">
        <v>385</v>
      </c>
      <c r="B2808" s="351">
        <v>10</v>
      </c>
      <c r="C2808" s="391">
        <v>5.4</v>
      </c>
      <c r="D2808" s="392">
        <f t="shared" si="749"/>
        <v>1.1880000000000002</v>
      </c>
      <c r="E2808" s="355"/>
      <c r="F2808" s="392">
        <f t="shared" si="754"/>
        <v>4.8600000000000003</v>
      </c>
      <c r="G2808" s="392">
        <f t="shared" si="756"/>
        <v>11.448</v>
      </c>
      <c r="H2808" s="392">
        <f t="shared" si="755"/>
        <v>4.0068000000000001</v>
      </c>
      <c r="I2808" s="393">
        <f t="shared" si="757"/>
        <v>15.454800000000001</v>
      </c>
      <c r="J2808" s="353"/>
    </row>
    <row r="2809" spans="1:10">
      <c r="A2809" s="350"/>
      <c r="B2809" s="351"/>
      <c r="C2809" s="391"/>
      <c r="D2809" s="392"/>
      <c r="E2809" s="355"/>
      <c r="F2809" s="392"/>
      <c r="G2809" s="392"/>
      <c r="H2809" s="392"/>
      <c r="I2809" s="393"/>
      <c r="J2809" s="353"/>
    </row>
    <row r="2810" spans="1:10">
      <c r="A2810" s="345" t="s">
        <v>1673</v>
      </c>
      <c r="B2810" s="346"/>
      <c r="C2810" s="412">
        <f>C2811+C2812</f>
        <v>22.2</v>
      </c>
      <c r="D2810" s="412">
        <f t="shared" ref="D2810:D2813" si="758">C2810*0.22</f>
        <v>4.8839999999999995</v>
      </c>
      <c r="E2810" s="412">
        <v>8</v>
      </c>
      <c r="F2810" s="412">
        <f t="shared" ref="F2810:F2813" si="759">C2810*0.9</f>
        <v>19.98</v>
      </c>
      <c r="G2810" s="412">
        <f t="shared" ref="G2810:G2813" si="760">C2810+D2810+E2810+F2810</f>
        <v>55.064000000000007</v>
      </c>
      <c r="H2810" s="412">
        <f t="shared" ref="H2810:H2813" si="761">G2810*0.35</f>
        <v>19.272400000000001</v>
      </c>
      <c r="I2810" s="413">
        <f t="shared" ref="I2810:I2813" si="762">G2810+H2810</f>
        <v>74.336400000000012</v>
      </c>
      <c r="J2810" s="349">
        <f>I2810+I2813+I2814</f>
        <v>89.791200000000018</v>
      </c>
    </row>
    <row r="2811" spans="1:10">
      <c r="A2811" s="350" t="s">
        <v>258</v>
      </c>
      <c r="B2811" s="350">
        <v>20</v>
      </c>
      <c r="C2811" s="391">
        <v>12.6</v>
      </c>
      <c r="D2811" s="392"/>
      <c r="E2811" s="392"/>
      <c r="F2811" s="392"/>
      <c r="G2811" s="392"/>
      <c r="H2811" s="392"/>
      <c r="I2811" s="393"/>
      <c r="J2811" s="353"/>
    </row>
    <row r="2812" spans="1:10">
      <c r="A2812" s="350" t="s">
        <v>337</v>
      </c>
      <c r="B2812" s="350">
        <v>20</v>
      </c>
      <c r="C2812" s="391">
        <v>9.6</v>
      </c>
      <c r="D2812" s="392"/>
      <c r="E2812" s="392"/>
      <c r="F2812" s="392"/>
      <c r="G2812" s="392"/>
      <c r="H2812" s="392"/>
      <c r="I2812" s="393"/>
      <c r="J2812" s="353"/>
    </row>
    <row r="2813" spans="1:10">
      <c r="A2813" s="350" t="s">
        <v>385</v>
      </c>
      <c r="B2813" s="351">
        <v>10</v>
      </c>
      <c r="C2813" s="391">
        <v>5.4</v>
      </c>
      <c r="D2813" s="392">
        <f t="shared" si="758"/>
        <v>1.1880000000000002</v>
      </c>
      <c r="E2813" s="355"/>
      <c r="F2813" s="392">
        <f t="shared" si="759"/>
        <v>4.8600000000000003</v>
      </c>
      <c r="G2813" s="392">
        <f t="shared" si="760"/>
        <v>11.448</v>
      </c>
      <c r="H2813" s="392">
        <f t="shared" si="761"/>
        <v>4.0068000000000001</v>
      </c>
      <c r="I2813" s="393">
        <f t="shared" si="762"/>
        <v>15.454800000000001</v>
      </c>
      <c r="J2813" s="353"/>
    </row>
    <row r="2814" spans="1:10">
      <c r="A2814" s="350"/>
      <c r="B2814" s="351"/>
      <c r="C2814" s="391"/>
      <c r="D2814" s="392"/>
      <c r="E2814" s="355"/>
      <c r="F2814" s="392"/>
      <c r="G2814" s="392"/>
      <c r="H2814" s="392"/>
      <c r="I2814" s="393"/>
      <c r="J2814" s="353"/>
    </row>
    <row r="2815" spans="1:10">
      <c r="A2815" s="345" t="s">
        <v>1674</v>
      </c>
      <c r="B2815" s="346"/>
      <c r="C2815" s="412">
        <f>C2816+C2817</f>
        <v>22.2</v>
      </c>
      <c r="D2815" s="412">
        <f t="shared" ref="D2815:D2823" si="763">C2815*0.22</f>
        <v>4.8839999999999995</v>
      </c>
      <c r="E2815" s="412">
        <v>19</v>
      </c>
      <c r="F2815" s="412">
        <f t="shared" ref="F2815:F2823" si="764">C2815*0.9</f>
        <v>19.98</v>
      </c>
      <c r="G2815" s="412">
        <f t="shared" ref="G2815:G2818" si="765">C2815+D2815+E2815+F2815</f>
        <v>66.064000000000007</v>
      </c>
      <c r="H2815" s="412">
        <f t="shared" ref="H2815:H2820" si="766">G2815*0.35</f>
        <v>23.122400000000003</v>
      </c>
      <c r="I2815" s="413">
        <f t="shared" ref="I2815:I2818" si="767">G2815+H2815</f>
        <v>89.186400000000006</v>
      </c>
      <c r="J2815" s="349">
        <f>I2815+I2818+I2819</f>
        <v>104.64120000000001</v>
      </c>
    </row>
    <row r="2816" spans="1:10">
      <c r="A2816" s="350" t="s">
        <v>258</v>
      </c>
      <c r="B2816" s="350">
        <v>20</v>
      </c>
      <c r="C2816" s="391">
        <v>12.6</v>
      </c>
      <c r="D2816" s="392"/>
      <c r="E2816" s="392"/>
      <c r="F2816" s="392"/>
      <c r="G2816" s="392"/>
      <c r="H2816" s="392"/>
      <c r="I2816" s="393"/>
      <c r="J2816" s="353"/>
    </row>
    <row r="2817" spans="1:10">
      <c r="A2817" s="350" t="s">
        <v>337</v>
      </c>
      <c r="B2817" s="350">
        <v>20</v>
      </c>
      <c r="C2817" s="391">
        <v>9.6</v>
      </c>
      <c r="D2817" s="392"/>
      <c r="E2817" s="392"/>
      <c r="F2817" s="392"/>
      <c r="G2817" s="392"/>
      <c r="H2817" s="392"/>
      <c r="I2817" s="393"/>
      <c r="J2817" s="353"/>
    </row>
    <row r="2818" spans="1:10">
      <c r="A2818" s="350" t="s">
        <v>385</v>
      </c>
      <c r="B2818" s="351">
        <v>10</v>
      </c>
      <c r="C2818" s="391">
        <v>5.4</v>
      </c>
      <c r="D2818" s="392">
        <f t="shared" si="763"/>
        <v>1.1880000000000002</v>
      </c>
      <c r="E2818" s="355"/>
      <c r="F2818" s="392">
        <f t="shared" si="764"/>
        <v>4.8600000000000003</v>
      </c>
      <c r="G2818" s="392">
        <f t="shared" si="765"/>
        <v>11.448</v>
      </c>
      <c r="H2818" s="392">
        <f t="shared" si="766"/>
        <v>4.0068000000000001</v>
      </c>
      <c r="I2818" s="393">
        <f t="shared" si="767"/>
        <v>15.454800000000001</v>
      </c>
      <c r="J2818" s="353"/>
    </row>
    <row r="2819" spans="1:10">
      <c r="A2819" s="350"/>
      <c r="B2819" s="351"/>
      <c r="C2819" s="391"/>
      <c r="D2819" s="392"/>
      <c r="E2819" s="355"/>
      <c r="F2819" s="392"/>
      <c r="G2819" s="392"/>
      <c r="H2819" s="392"/>
      <c r="I2819" s="393"/>
      <c r="J2819" s="353"/>
    </row>
    <row r="2820" spans="1:10">
      <c r="A2820" s="345" t="s">
        <v>1675</v>
      </c>
      <c r="B2820" s="346"/>
      <c r="C2820" s="412">
        <f>C2821+C2822</f>
        <v>11.1</v>
      </c>
      <c r="D2820" s="412">
        <f t="shared" si="763"/>
        <v>2.4419999999999997</v>
      </c>
      <c r="E2820" s="412">
        <v>5</v>
      </c>
      <c r="F2820" s="412">
        <f t="shared" si="764"/>
        <v>9.99</v>
      </c>
      <c r="G2820" s="412">
        <f>C2820+D2820+E2820+F2820</f>
        <v>28.532000000000004</v>
      </c>
      <c r="H2820" s="412">
        <f t="shared" si="766"/>
        <v>9.9862000000000002</v>
      </c>
      <c r="I2820" s="413">
        <f>G2820+H2820</f>
        <v>38.518200000000007</v>
      </c>
      <c r="J2820" s="349">
        <f>I2820+I2824+I2823</f>
        <v>46.24560000000001</v>
      </c>
    </row>
    <row r="2821" spans="1:10">
      <c r="A2821" s="350" t="s">
        <v>258</v>
      </c>
      <c r="B2821" s="350">
        <v>10</v>
      </c>
      <c r="C2821" s="391">
        <v>6.3</v>
      </c>
      <c r="D2821" s="392"/>
      <c r="E2821" s="392"/>
      <c r="F2821" s="392"/>
      <c r="G2821" s="392"/>
      <c r="H2821" s="392"/>
      <c r="I2821" s="393"/>
      <c r="J2821" s="355"/>
    </row>
    <row r="2822" spans="1:10">
      <c r="A2822" s="350" t="s">
        <v>337</v>
      </c>
      <c r="B2822" s="350">
        <v>10</v>
      </c>
      <c r="C2822" s="391">
        <v>4.8</v>
      </c>
      <c r="D2822" s="392"/>
      <c r="E2822" s="392"/>
      <c r="F2822" s="392"/>
      <c r="G2822" s="392"/>
      <c r="H2822" s="392"/>
      <c r="I2822" s="393"/>
      <c r="J2822" s="355"/>
    </row>
    <row r="2823" spans="1:10">
      <c r="A2823" s="350" t="s">
        <v>385</v>
      </c>
      <c r="B2823" s="351">
        <v>5</v>
      </c>
      <c r="C2823" s="391">
        <v>2.7</v>
      </c>
      <c r="D2823" s="392">
        <f t="shared" si="763"/>
        <v>0.59400000000000008</v>
      </c>
      <c r="E2823" s="355"/>
      <c r="F2823" s="392">
        <f t="shared" si="764"/>
        <v>2.4300000000000002</v>
      </c>
      <c r="G2823" s="392">
        <f t="shared" ref="G2823" si="768">C2823+D2823+E2823+F2823</f>
        <v>5.7240000000000002</v>
      </c>
      <c r="H2823" s="392">
        <f t="shared" ref="H2823" si="769">G2823*0.35</f>
        <v>2.0034000000000001</v>
      </c>
      <c r="I2823" s="393">
        <f t="shared" ref="I2823" si="770">G2823+H2823</f>
        <v>7.7274000000000003</v>
      </c>
      <c r="J2823" s="355"/>
    </row>
    <row r="2824" spans="1:10">
      <c r="A2824" s="350"/>
      <c r="B2824" s="351"/>
      <c r="C2824" s="391"/>
      <c r="D2824" s="392"/>
      <c r="E2824" s="355"/>
      <c r="F2824" s="392"/>
      <c r="G2824" s="392"/>
      <c r="H2824" s="392"/>
      <c r="I2824" s="393"/>
      <c r="J2824" s="355"/>
    </row>
    <row r="2825" spans="1:10" ht="12.75">
      <c r="A2825" s="498" t="s">
        <v>1676</v>
      </c>
      <c r="B2825" s="499"/>
      <c r="C2825" s="499"/>
      <c r="D2825" s="499"/>
      <c r="E2825" s="499"/>
      <c r="F2825" s="499"/>
      <c r="G2825" s="499"/>
      <c r="H2825" s="499"/>
      <c r="I2825" s="499"/>
      <c r="J2825" s="500"/>
    </row>
    <row r="2826" spans="1:10" ht="21">
      <c r="A2826" s="345" t="s">
        <v>1677</v>
      </c>
      <c r="B2826" s="346"/>
      <c r="C2826" s="412">
        <f>C2827+C2828</f>
        <v>11.1</v>
      </c>
      <c r="D2826" s="412">
        <f t="shared" ref="D2826" si="771">C2826*0.22</f>
        <v>2.4419999999999997</v>
      </c>
      <c r="E2826" s="412">
        <v>21</v>
      </c>
      <c r="F2826" s="412">
        <f t="shared" ref="F2826" si="772">C2826*0.9</f>
        <v>9.99</v>
      </c>
      <c r="G2826" s="412">
        <f>C2826+D2826+E2826+F2826</f>
        <v>44.532000000000004</v>
      </c>
      <c r="H2826" s="412">
        <f>G2826*0.35</f>
        <v>15.5862</v>
      </c>
      <c r="I2826" s="413">
        <f>G2826+H2826</f>
        <v>60.118200000000002</v>
      </c>
      <c r="J2826" s="349">
        <f>I2826+I2830+I2829</f>
        <v>67.845600000000005</v>
      </c>
    </row>
    <row r="2827" spans="1:10">
      <c r="A2827" s="350" t="s">
        <v>258</v>
      </c>
      <c r="B2827" s="350">
        <v>10</v>
      </c>
      <c r="C2827" s="391">
        <v>6.6</v>
      </c>
      <c r="D2827" s="392"/>
      <c r="E2827" s="392"/>
      <c r="F2827" s="392"/>
      <c r="G2827" s="392"/>
      <c r="H2827" s="392"/>
      <c r="I2827" s="393"/>
      <c r="J2827" s="353"/>
    </row>
    <row r="2828" spans="1:10">
      <c r="A2828" s="350" t="s">
        <v>337</v>
      </c>
      <c r="B2828" s="350">
        <v>10</v>
      </c>
      <c r="C2828" s="391">
        <v>4.5</v>
      </c>
      <c r="D2828" s="392"/>
      <c r="E2828" s="392"/>
      <c r="F2828" s="392"/>
      <c r="G2828" s="392"/>
      <c r="H2828" s="392"/>
      <c r="I2828" s="393"/>
      <c r="J2828" s="353"/>
    </row>
    <row r="2829" spans="1:10">
      <c r="A2829" s="350" t="s">
        <v>385</v>
      </c>
      <c r="B2829" s="351">
        <v>5</v>
      </c>
      <c r="C2829" s="391">
        <v>2.7</v>
      </c>
      <c r="D2829" s="392">
        <f>C2829*0.22</f>
        <v>0.59400000000000008</v>
      </c>
      <c r="E2829" s="355"/>
      <c r="F2829" s="392">
        <f>C2829*0.9</f>
        <v>2.4300000000000002</v>
      </c>
      <c r="G2829" s="392">
        <f>C2829+D2829+E2829+F2829</f>
        <v>5.7240000000000002</v>
      </c>
      <c r="H2829" s="392">
        <f>G2829*0.35</f>
        <v>2.0034000000000001</v>
      </c>
      <c r="I2829" s="393">
        <f>G2829+H2829</f>
        <v>7.7274000000000003</v>
      </c>
      <c r="J2829" s="353"/>
    </row>
    <row r="2830" spans="1:10">
      <c r="A2830" s="350"/>
      <c r="B2830" s="351"/>
      <c r="C2830" s="391"/>
      <c r="D2830" s="392"/>
      <c r="E2830" s="355"/>
      <c r="F2830" s="392"/>
      <c r="G2830" s="392"/>
      <c r="H2830" s="392"/>
      <c r="I2830" s="393"/>
      <c r="J2830" s="353"/>
    </row>
    <row r="2831" spans="1:10" ht="21">
      <c r="A2831" s="345" t="s">
        <v>1678</v>
      </c>
      <c r="B2831" s="346"/>
      <c r="C2831" s="412">
        <f>C2832+C2833</f>
        <v>11.1</v>
      </c>
      <c r="D2831" s="412">
        <f t="shared" ref="D2831" si="773">C2831*0.22</f>
        <v>2.4419999999999997</v>
      </c>
      <c r="E2831" s="412">
        <v>21</v>
      </c>
      <c r="F2831" s="412">
        <f t="shared" ref="F2831" si="774">C2831*0.9</f>
        <v>9.99</v>
      </c>
      <c r="G2831" s="412">
        <f>C2831+D2831+E2831+F2831</f>
        <v>44.532000000000004</v>
      </c>
      <c r="H2831" s="412">
        <f>G2831*0.35</f>
        <v>15.5862</v>
      </c>
      <c r="I2831" s="413">
        <f>G2831+H2831</f>
        <v>60.118200000000002</v>
      </c>
      <c r="J2831" s="349">
        <f>I2831+I2835+I2834</f>
        <v>67.845600000000005</v>
      </c>
    </row>
    <row r="2832" spans="1:10">
      <c r="A2832" s="350" t="s">
        <v>258</v>
      </c>
      <c r="B2832" s="350">
        <v>10</v>
      </c>
      <c r="C2832" s="391">
        <v>6.6</v>
      </c>
      <c r="D2832" s="392"/>
      <c r="E2832" s="392"/>
      <c r="F2832" s="392"/>
      <c r="G2832" s="392"/>
      <c r="H2832" s="392"/>
      <c r="I2832" s="393"/>
      <c r="J2832" s="353"/>
    </row>
    <row r="2833" spans="1:10">
      <c r="A2833" s="350" t="s">
        <v>337</v>
      </c>
      <c r="B2833" s="350">
        <v>10</v>
      </c>
      <c r="C2833" s="391">
        <v>4.5</v>
      </c>
      <c r="D2833" s="392"/>
      <c r="E2833" s="392"/>
      <c r="F2833" s="392"/>
      <c r="G2833" s="392"/>
      <c r="H2833" s="392"/>
      <c r="I2833" s="393"/>
      <c r="J2833" s="353"/>
    </row>
    <row r="2834" spans="1:10">
      <c r="A2834" s="350" t="s">
        <v>385</v>
      </c>
      <c r="B2834" s="351">
        <v>5</v>
      </c>
      <c r="C2834" s="391">
        <v>2.7</v>
      </c>
      <c r="D2834" s="392">
        <f>C2834*0.22</f>
        <v>0.59400000000000008</v>
      </c>
      <c r="E2834" s="355"/>
      <c r="F2834" s="392">
        <f>C2834*0.9</f>
        <v>2.4300000000000002</v>
      </c>
      <c r="G2834" s="392">
        <f>C2834+D2834+E2834+F2834</f>
        <v>5.7240000000000002</v>
      </c>
      <c r="H2834" s="392">
        <f>G2834*0.35</f>
        <v>2.0034000000000001</v>
      </c>
      <c r="I2834" s="393">
        <f>G2834+H2834</f>
        <v>7.7274000000000003</v>
      </c>
      <c r="J2834" s="353"/>
    </row>
    <row r="2835" spans="1:10">
      <c r="A2835" s="350"/>
      <c r="B2835" s="351"/>
      <c r="C2835" s="391"/>
      <c r="D2835" s="392"/>
      <c r="E2835" s="355"/>
      <c r="F2835" s="392"/>
      <c r="G2835" s="392"/>
      <c r="H2835" s="392"/>
      <c r="I2835" s="393"/>
      <c r="J2835" s="353"/>
    </row>
    <row r="2836" spans="1:10">
      <c r="A2836" s="345" t="s">
        <v>1679</v>
      </c>
      <c r="B2836" s="346"/>
      <c r="C2836" s="412">
        <f>C2837+C2838</f>
        <v>16.649999999999999</v>
      </c>
      <c r="D2836" s="412">
        <f t="shared" ref="D2836" si="775">C2836*0.22</f>
        <v>3.6629999999999998</v>
      </c>
      <c r="E2836" s="412">
        <v>28</v>
      </c>
      <c r="F2836" s="412">
        <f t="shared" ref="F2836" si="776">C2836*0.9</f>
        <v>14.984999999999999</v>
      </c>
      <c r="G2836" s="412">
        <f>C2836+D2836+E2836+F2836</f>
        <v>63.298000000000002</v>
      </c>
      <c r="H2836" s="412">
        <f>G2836*0.35</f>
        <v>22.154299999999999</v>
      </c>
      <c r="I2836" s="413">
        <f>G2836+H2836</f>
        <v>85.452300000000008</v>
      </c>
      <c r="J2836" s="349">
        <f>I2836+I2840+I2839</f>
        <v>96.270660000000007</v>
      </c>
    </row>
    <row r="2837" spans="1:10">
      <c r="A2837" s="350" t="s">
        <v>258</v>
      </c>
      <c r="B2837" s="350">
        <v>15</v>
      </c>
      <c r="C2837" s="391">
        <v>9.9</v>
      </c>
      <c r="D2837" s="392"/>
      <c r="E2837" s="392"/>
      <c r="F2837" s="392"/>
      <c r="G2837" s="392"/>
      <c r="H2837" s="392"/>
      <c r="I2837" s="393"/>
      <c r="J2837" s="353"/>
    </row>
    <row r="2838" spans="1:10">
      <c r="A2838" s="350" t="s">
        <v>337</v>
      </c>
      <c r="B2838" s="350">
        <v>15</v>
      </c>
      <c r="C2838" s="391">
        <v>6.75</v>
      </c>
      <c r="D2838" s="392"/>
      <c r="E2838" s="392"/>
      <c r="F2838" s="392"/>
      <c r="G2838" s="392"/>
      <c r="H2838" s="392"/>
      <c r="I2838" s="393"/>
      <c r="J2838" s="353"/>
    </row>
    <row r="2839" spans="1:10">
      <c r="A2839" s="350" t="s">
        <v>385</v>
      </c>
      <c r="B2839" s="351">
        <v>7</v>
      </c>
      <c r="C2839" s="391">
        <v>3.78</v>
      </c>
      <c r="D2839" s="392">
        <f>C2839*0.22</f>
        <v>0.83160000000000001</v>
      </c>
      <c r="E2839" s="355"/>
      <c r="F2839" s="392">
        <f>C2839*0.9</f>
        <v>3.4019999999999997</v>
      </c>
      <c r="G2839" s="392">
        <f>C2839+D2839+E2839+F2839</f>
        <v>8.0136000000000003</v>
      </c>
      <c r="H2839" s="392">
        <f>G2839*0.35</f>
        <v>2.8047599999999999</v>
      </c>
      <c r="I2839" s="393">
        <f>G2839+H2839</f>
        <v>10.81836</v>
      </c>
      <c r="J2839" s="353"/>
    </row>
    <row r="2840" spans="1:10">
      <c r="A2840" s="350"/>
      <c r="B2840" s="351"/>
      <c r="C2840" s="391"/>
      <c r="D2840" s="392"/>
      <c r="E2840" s="355"/>
      <c r="F2840" s="392"/>
      <c r="G2840" s="392"/>
      <c r="H2840" s="392"/>
      <c r="I2840" s="393"/>
      <c r="J2840" s="353"/>
    </row>
    <row r="2841" spans="1:10" ht="21">
      <c r="A2841" s="345" t="s">
        <v>1680</v>
      </c>
      <c r="B2841" s="346"/>
      <c r="C2841" s="412">
        <f>C2842+C2843</f>
        <v>16.649999999999999</v>
      </c>
      <c r="D2841" s="412">
        <f t="shared" ref="D2841" si="777">C2841*0.22</f>
        <v>3.6629999999999998</v>
      </c>
      <c r="E2841" s="412">
        <v>22</v>
      </c>
      <c r="F2841" s="412">
        <f t="shared" ref="F2841" si="778">C2841*0.9</f>
        <v>14.984999999999999</v>
      </c>
      <c r="G2841" s="412">
        <f>C2841+D2841+E2841+F2841</f>
        <v>57.298000000000002</v>
      </c>
      <c r="H2841" s="412">
        <f>G2841*0.35</f>
        <v>20.054299999999998</v>
      </c>
      <c r="I2841" s="413">
        <f>G2841+H2841</f>
        <v>77.3523</v>
      </c>
      <c r="J2841" s="349">
        <f>I2841+I2845+I2844</f>
        <v>88.170659999999998</v>
      </c>
    </row>
    <row r="2842" spans="1:10">
      <c r="A2842" s="350" t="s">
        <v>258</v>
      </c>
      <c r="B2842" s="350">
        <v>15</v>
      </c>
      <c r="C2842" s="391">
        <v>9.9</v>
      </c>
      <c r="D2842" s="392"/>
      <c r="E2842" s="392"/>
      <c r="F2842" s="392"/>
      <c r="G2842" s="392"/>
      <c r="H2842" s="392"/>
      <c r="I2842" s="393"/>
      <c r="J2842" s="353"/>
    </row>
    <row r="2843" spans="1:10">
      <c r="A2843" s="350" t="s">
        <v>337</v>
      </c>
      <c r="B2843" s="350">
        <v>15</v>
      </c>
      <c r="C2843" s="391">
        <v>6.75</v>
      </c>
      <c r="D2843" s="392"/>
      <c r="E2843" s="392"/>
      <c r="F2843" s="392"/>
      <c r="G2843" s="392"/>
      <c r="H2843" s="392"/>
      <c r="I2843" s="393"/>
      <c r="J2843" s="353"/>
    </row>
    <row r="2844" spans="1:10">
      <c r="A2844" s="350" t="s">
        <v>385</v>
      </c>
      <c r="B2844" s="351">
        <v>7</v>
      </c>
      <c r="C2844" s="391">
        <v>3.78</v>
      </c>
      <c r="D2844" s="392">
        <f>C2844*0.22</f>
        <v>0.83160000000000001</v>
      </c>
      <c r="E2844" s="355"/>
      <c r="F2844" s="392">
        <f>C2844*0.9</f>
        <v>3.4019999999999997</v>
      </c>
      <c r="G2844" s="392">
        <f>C2844+D2844+E2844+F2844</f>
        <v>8.0136000000000003</v>
      </c>
      <c r="H2844" s="392">
        <f>G2844*0.35</f>
        <v>2.8047599999999999</v>
      </c>
      <c r="I2844" s="393">
        <f>G2844+H2844</f>
        <v>10.81836</v>
      </c>
      <c r="J2844" s="353"/>
    </row>
    <row r="2845" spans="1:10">
      <c r="A2845" s="350"/>
      <c r="B2845" s="351"/>
      <c r="C2845" s="391"/>
      <c r="D2845" s="392"/>
      <c r="E2845" s="355"/>
      <c r="F2845" s="392"/>
      <c r="G2845" s="392"/>
      <c r="H2845" s="392"/>
      <c r="I2845" s="393"/>
      <c r="J2845" s="353"/>
    </row>
    <row r="2846" spans="1:10">
      <c r="A2846" s="345" t="s">
        <v>1681</v>
      </c>
      <c r="B2846" s="346"/>
      <c r="C2846" s="412">
        <f>C2847+C2848</f>
        <v>16.649999999999999</v>
      </c>
      <c r="D2846" s="412">
        <f t="shared" ref="D2846" si="779">C2846*0.22</f>
        <v>3.6629999999999998</v>
      </c>
      <c r="E2846" s="412">
        <v>50</v>
      </c>
      <c r="F2846" s="412">
        <f t="shared" ref="F2846" si="780">C2846*0.9</f>
        <v>14.984999999999999</v>
      </c>
      <c r="G2846" s="412">
        <f>C2846+D2846+E2846+F2846</f>
        <v>85.298000000000002</v>
      </c>
      <c r="H2846" s="412">
        <f>G2846*0.35</f>
        <v>29.854299999999999</v>
      </c>
      <c r="I2846" s="413">
        <f>G2846+H2846</f>
        <v>115.1523</v>
      </c>
      <c r="J2846" s="349">
        <f>I2846+I2850+I2849</f>
        <v>125.97066</v>
      </c>
    </row>
    <row r="2847" spans="1:10">
      <c r="A2847" s="350" t="s">
        <v>258</v>
      </c>
      <c r="B2847" s="350">
        <v>15</v>
      </c>
      <c r="C2847" s="391">
        <v>9.9</v>
      </c>
      <c r="D2847" s="392"/>
      <c r="E2847" s="392"/>
      <c r="F2847" s="392"/>
      <c r="G2847" s="392"/>
      <c r="H2847" s="392"/>
      <c r="I2847" s="393"/>
      <c r="J2847" s="353"/>
    </row>
    <row r="2848" spans="1:10">
      <c r="A2848" s="350" t="s">
        <v>337</v>
      </c>
      <c r="B2848" s="350">
        <v>15</v>
      </c>
      <c r="C2848" s="391">
        <v>6.75</v>
      </c>
      <c r="D2848" s="392"/>
      <c r="E2848" s="392"/>
      <c r="F2848" s="392"/>
      <c r="G2848" s="392"/>
      <c r="H2848" s="392"/>
      <c r="I2848" s="393"/>
      <c r="J2848" s="353"/>
    </row>
    <row r="2849" spans="1:10">
      <c r="A2849" s="350" t="s">
        <v>385</v>
      </c>
      <c r="B2849" s="351">
        <v>7</v>
      </c>
      <c r="C2849" s="391">
        <v>3.78</v>
      </c>
      <c r="D2849" s="392">
        <f>C2849*0.22</f>
        <v>0.83160000000000001</v>
      </c>
      <c r="E2849" s="355"/>
      <c r="F2849" s="392">
        <f>C2849*0.9</f>
        <v>3.4019999999999997</v>
      </c>
      <c r="G2849" s="392">
        <f>C2849+D2849+E2849+F2849</f>
        <v>8.0136000000000003</v>
      </c>
      <c r="H2849" s="392">
        <f>G2849*0.35</f>
        <v>2.8047599999999999</v>
      </c>
      <c r="I2849" s="393">
        <f>G2849+H2849</f>
        <v>10.81836</v>
      </c>
      <c r="J2849" s="353"/>
    </row>
    <row r="2850" spans="1:10">
      <c r="A2850" s="350"/>
      <c r="B2850" s="351"/>
      <c r="C2850" s="391"/>
      <c r="D2850" s="392"/>
      <c r="E2850" s="355"/>
      <c r="F2850" s="392"/>
      <c r="G2850" s="392"/>
      <c r="H2850" s="392"/>
      <c r="I2850" s="393"/>
      <c r="J2850" s="353"/>
    </row>
    <row r="2851" spans="1:10">
      <c r="A2851" s="345" t="s">
        <v>1682</v>
      </c>
      <c r="B2851" s="346"/>
      <c r="C2851" s="412">
        <f>C2852+C2853</f>
        <v>16.649999999999999</v>
      </c>
      <c r="D2851" s="412">
        <f>C2851*0.22</f>
        <v>3.6629999999999998</v>
      </c>
      <c r="E2851" s="412">
        <v>40</v>
      </c>
      <c r="F2851" s="412">
        <f>C2851*0.9</f>
        <v>14.984999999999999</v>
      </c>
      <c r="G2851" s="412">
        <f>C2851+D2851+E2851+F2851</f>
        <v>75.298000000000002</v>
      </c>
      <c r="H2851" s="412">
        <f>G2851*0.35</f>
        <v>26.354299999999999</v>
      </c>
      <c r="I2851" s="413">
        <f>G2851+H2851</f>
        <v>101.6523</v>
      </c>
      <c r="J2851" s="349">
        <f>I2851+I2855+I2854</f>
        <v>112.47066</v>
      </c>
    </row>
    <row r="2852" spans="1:10">
      <c r="A2852" s="350" t="s">
        <v>258</v>
      </c>
      <c r="B2852" s="350">
        <v>15</v>
      </c>
      <c r="C2852" s="391">
        <v>9.9</v>
      </c>
      <c r="D2852" s="392"/>
      <c r="E2852" s="392"/>
      <c r="F2852" s="392"/>
      <c r="G2852" s="392"/>
      <c r="H2852" s="392"/>
      <c r="I2852" s="393"/>
      <c r="J2852" s="353"/>
    </row>
    <row r="2853" spans="1:10">
      <c r="A2853" s="350" t="s">
        <v>337</v>
      </c>
      <c r="B2853" s="350">
        <v>15</v>
      </c>
      <c r="C2853" s="391">
        <v>6.75</v>
      </c>
      <c r="D2853" s="392"/>
      <c r="E2853" s="392"/>
      <c r="F2853" s="392"/>
      <c r="G2853" s="392"/>
      <c r="H2853" s="392"/>
      <c r="I2853" s="393"/>
      <c r="J2853" s="353"/>
    </row>
    <row r="2854" spans="1:10">
      <c r="A2854" s="350" t="s">
        <v>385</v>
      </c>
      <c r="B2854" s="351">
        <v>7</v>
      </c>
      <c r="C2854" s="391">
        <v>3.78</v>
      </c>
      <c r="D2854" s="392">
        <f>C2854*0.22</f>
        <v>0.83160000000000001</v>
      </c>
      <c r="E2854" s="355"/>
      <c r="F2854" s="392">
        <f>C2854*0.9</f>
        <v>3.4019999999999997</v>
      </c>
      <c r="G2854" s="392">
        <f>C2854+D2854+E2854+F2854</f>
        <v>8.0136000000000003</v>
      </c>
      <c r="H2854" s="392">
        <f>G2854*0.35</f>
        <v>2.8047599999999999</v>
      </c>
      <c r="I2854" s="393">
        <f>G2854+H2854</f>
        <v>10.81836</v>
      </c>
      <c r="J2854" s="353"/>
    </row>
    <row r="2855" spans="1:10">
      <c r="A2855" s="350"/>
      <c r="B2855" s="351"/>
      <c r="C2855" s="391"/>
      <c r="D2855" s="392"/>
      <c r="E2855" s="355"/>
      <c r="F2855" s="392"/>
      <c r="G2855" s="392"/>
      <c r="H2855" s="392"/>
      <c r="I2855" s="393"/>
      <c r="J2855" s="353"/>
    </row>
    <row r="2856" spans="1:10">
      <c r="A2856" s="345" t="s">
        <v>1683</v>
      </c>
      <c r="B2856" s="346"/>
      <c r="C2856" s="412">
        <f>C2857+C2858</f>
        <v>16.649999999999999</v>
      </c>
      <c r="D2856" s="412">
        <f>C2856*0.22</f>
        <v>3.6629999999999998</v>
      </c>
      <c r="E2856" s="412">
        <v>25</v>
      </c>
      <c r="F2856" s="412">
        <f>C2856*0.9</f>
        <v>14.984999999999999</v>
      </c>
      <c r="G2856" s="412">
        <f>C2856+D2856+E2856+F2856</f>
        <v>60.298000000000002</v>
      </c>
      <c r="H2856" s="412">
        <f>G2856*0.35</f>
        <v>21.104299999999999</v>
      </c>
      <c r="I2856" s="413">
        <f>G2856+H2856</f>
        <v>81.402299999999997</v>
      </c>
      <c r="J2856" s="349">
        <f>I2856+I2860+I2859</f>
        <v>92.220659999999995</v>
      </c>
    </row>
    <row r="2857" spans="1:10">
      <c r="A2857" s="350" t="s">
        <v>258</v>
      </c>
      <c r="B2857" s="350">
        <v>15</v>
      </c>
      <c r="C2857" s="391">
        <v>9.9</v>
      </c>
      <c r="D2857" s="392"/>
      <c r="E2857" s="392"/>
      <c r="F2857" s="392"/>
      <c r="G2857" s="392"/>
      <c r="H2857" s="392"/>
      <c r="I2857" s="393"/>
      <c r="J2857" s="353"/>
    </row>
    <row r="2858" spans="1:10">
      <c r="A2858" s="350" t="s">
        <v>337</v>
      </c>
      <c r="B2858" s="350">
        <v>15</v>
      </c>
      <c r="C2858" s="391">
        <v>6.75</v>
      </c>
      <c r="D2858" s="392"/>
      <c r="E2858" s="392"/>
      <c r="F2858" s="392"/>
      <c r="G2858" s="392"/>
      <c r="H2858" s="392"/>
      <c r="I2858" s="393"/>
      <c r="J2858" s="353"/>
    </row>
    <row r="2859" spans="1:10">
      <c r="A2859" s="350" t="s">
        <v>385</v>
      </c>
      <c r="B2859" s="351">
        <v>7</v>
      </c>
      <c r="C2859" s="391">
        <v>3.78</v>
      </c>
      <c r="D2859" s="392">
        <f>C2859*0.22</f>
        <v>0.83160000000000001</v>
      </c>
      <c r="E2859" s="355"/>
      <c r="F2859" s="392">
        <f>C2859*0.9</f>
        <v>3.4019999999999997</v>
      </c>
      <c r="G2859" s="392">
        <f>C2859+D2859+E2859+F2859</f>
        <v>8.0136000000000003</v>
      </c>
      <c r="H2859" s="392">
        <f>G2859*0.35</f>
        <v>2.8047599999999999</v>
      </c>
      <c r="I2859" s="393">
        <f>G2859+H2859</f>
        <v>10.81836</v>
      </c>
      <c r="J2859" s="353"/>
    </row>
    <row r="2860" spans="1:10">
      <c r="A2860" s="350"/>
      <c r="B2860" s="351"/>
      <c r="C2860" s="391"/>
      <c r="D2860" s="392"/>
      <c r="E2860" s="355"/>
      <c r="F2860" s="392"/>
      <c r="G2860" s="392"/>
      <c r="H2860" s="392"/>
      <c r="I2860" s="393"/>
      <c r="J2860" s="353"/>
    </row>
    <row r="2861" spans="1:10" ht="21">
      <c r="A2861" s="345" t="s">
        <v>1684</v>
      </c>
      <c r="B2861" s="346"/>
      <c r="C2861" s="412">
        <f>C2862+C2863</f>
        <v>16.649999999999999</v>
      </c>
      <c r="D2861" s="412">
        <f t="shared" ref="D2861" si="781">C2861*0.22</f>
        <v>3.6629999999999998</v>
      </c>
      <c r="E2861" s="412">
        <v>20</v>
      </c>
      <c r="F2861" s="412">
        <f t="shared" ref="F2861" si="782">C2861*0.9</f>
        <v>14.984999999999999</v>
      </c>
      <c r="G2861" s="412">
        <f>C2861+D2861+E2861+F2861</f>
        <v>55.298000000000002</v>
      </c>
      <c r="H2861" s="412">
        <f>G2861*0.35</f>
        <v>19.354299999999999</v>
      </c>
      <c r="I2861" s="413">
        <f>G2861+H2861</f>
        <v>74.652299999999997</v>
      </c>
      <c r="J2861" s="349">
        <f>I2861+I2865+I2864</f>
        <v>85.470659999999995</v>
      </c>
    </row>
    <row r="2862" spans="1:10">
      <c r="A2862" s="350" t="s">
        <v>258</v>
      </c>
      <c r="B2862" s="350">
        <v>15</v>
      </c>
      <c r="C2862" s="391">
        <v>9.9</v>
      </c>
      <c r="D2862" s="392"/>
      <c r="E2862" s="392"/>
      <c r="F2862" s="392"/>
      <c r="G2862" s="392"/>
      <c r="H2862" s="392"/>
      <c r="I2862" s="393"/>
      <c r="J2862" s="353"/>
    </row>
    <row r="2863" spans="1:10">
      <c r="A2863" s="350" t="s">
        <v>337</v>
      </c>
      <c r="B2863" s="350">
        <v>15</v>
      </c>
      <c r="C2863" s="391">
        <v>6.75</v>
      </c>
      <c r="D2863" s="392"/>
      <c r="E2863" s="392"/>
      <c r="F2863" s="392"/>
      <c r="G2863" s="392"/>
      <c r="H2863" s="392"/>
      <c r="I2863" s="393"/>
      <c r="J2863" s="353"/>
    </row>
    <row r="2864" spans="1:10">
      <c r="A2864" s="350" t="s">
        <v>385</v>
      </c>
      <c r="B2864" s="351">
        <v>7</v>
      </c>
      <c r="C2864" s="391">
        <v>3.78</v>
      </c>
      <c r="D2864" s="392">
        <f>C2864*0.22</f>
        <v>0.83160000000000001</v>
      </c>
      <c r="E2864" s="355"/>
      <c r="F2864" s="392">
        <f>C2864*0.9</f>
        <v>3.4019999999999997</v>
      </c>
      <c r="G2864" s="392">
        <f>C2864+D2864+E2864+F2864</f>
        <v>8.0136000000000003</v>
      </c>
      <c r="H2864" s="392">
        <f>G2864*0.35</f>
        <v>2.8047599999999999</v>
      </c>
      <c r="I2864" s="393">
        <f>G2864+H2864</f>
        <v>10.81836</v>
      </c>
      <c r="J2864" s="353"/>
    </row>
    <row r="2865" spans="1:10">
      <c r="A2865" s="350"/>
      <c r="B2865" s="351"/>
      <c r="C2865" s="391"/>
      <c r="D2865" s="392"/>
      <c r="E2865" s="355"/>
      <c r="F2865" s="392"/>
      <c r="G2865" s="392"/>
      <c r="H2865" s="392"/>
      <c r="I2865" s="393"/>
      <c r="J2865" s="353"/>
    </row>
    <row r="2866" spans="1:10" ht="21">
      <c r="A2866" s="345" t="s">
        <v>1685</v>
      </c>
      <c r="B2866" s="346"/>
      <c r="C2866" s="412">
        <f>C2867+C2868</f>
        <v>16.649999999999999</v>
      </c>
      <c r="D2866" s="412">
        <f t="shared" ref="D2866" si="783">C2866*0.22</f>
        <v>3.6629999999999998</v>
      </c>
      <c r="E2866" s="412">
        <v>0.18</v>
      </c>
      <c r="F2866" s="412">
        <f t="shared" ref="F2866" si="784">C2866*0.9</f>
        <v>14.984999999999999</v>
      </c>
      <c r="G2866" s="412">
        <f>C2866+D2866+E2866+F2866</f>
        <v>35.477999999999994</v>
      </c>
      <c r="H2866" s="412">
        <f>G2866*0.35</f>
        <v>12.417299999999997</v>
      </c>
      <c r="I2866" s="413">
        <f>G2866+H2866</f>
        <v>47.895299999999992</v>
      </c>
      <c r="J2866" s="349">
        <f>I2866+I2870+I2869</f>
        <v>58.71365999999999</v>
      </c>
    </row>
    <row r="2867" spans="1:10">
      <c r="A2867" s="350" t="s">
        <v>258</v>
      </c>
      <c r="B2867" s="350">
        <v>15</v>
      </c>
      <c r="C2867" s="391">
        <v>9.9</v>
      </c>
      <c r="D2867" s="392"/>
      <c r="E2867" s="392"/>
      <c r="F2867" s="392"/>
      <c r="G2867" s="392"/>
      <c r="H2867" s="392"/>
      <c r="I2867" s="393"/>
      <c r="J2867" s="353"/>
    </row>
    <row r="2868" spans="1:10">
      <c r="A2868" s="350" t="s">
        <v>337</v>
      </c>
      <c r="B2868" s="350">
        <v>15</v>
      </c>
      <c r="C2868" s="391">
        <v>6.75</v>
      </c>
      <c r="D2868" s="392"/>
      <c r="E2868" s="392"/>
      <c r="F2868" s="392"/>
      <c r="G2868" s="392"/>
      <c r="H2868" s="392"/>
      <c r="I2868" s="393"/>
      <c r="J2868" s="353"/>
    </row>
    <row r="2869" spans="1:10">
      <c r="A2869" s="350" t="s">
        <v>385</v>
      </c>
      <c r="B2869" s="351">
        <v>7</v>
      </c>
      <c r="C2869" s="391">
        <v>3.78</v>
      </c>
      <c r="D2869" s="392">
        <f>C2869*0.22</f>
        <v>0.83160000000000001</v>
      </c>
      <c r="E2869" s="355"/>
      <c r="F2869" s="392">
        <f>C2869*0.9</f>
        <v>3.4019999999999997</v>
      </c>
      <c r="G2869" s="392">
        <f>C2869+D2869+E2869+F2869</f>
        <v>8.0136000000000003</v>
      </c>
      <c r="H2869" s="392">
        <f>G2869*0.35</f>
        <v>2.8047599999999999</v>
      </c>
      <c r="I2869" s="393">
        <f>G2869+H2869</f>
        <v>10.81836</v>
      </c>
      <c r="J2869" s="353"/>
    </row>
    <row r="2870" spans="1:10">
      <c r="A2870" s="350"/>
      <c r="B2870" s="351"/>
      <c r="C2870" s="391"/>
      <c r="D2870" s="392"/>
      <c r="E2870" s="355"/>
      <c r="F2870" s="392"/>
      <c r="G2870" s="392"/>
      <c r="H2870" s="392"/>
      <c r="I2870" s="393"/>
      <c r="J2870" s="353"/>
    </row>
    <row r="2871" spans="1:10">
      <c r="A2871" s="345" t="s">
        <v>1686</v>
      </c>
      <c r="B2871" s="346"/>
      <c r="C2871" s="412">
        <f>C2872+C2873</f>
        <v>16.649999999999999</v>
      </c>
      <c r="D2871" s="412">
        <f t="shared" ref="D2871" si="785">C2871*0.22</f>
        <v>3.6629999999999998</v>
      </c>
      <c r="E2871" s="412">
        <v>0.18</v>
      </c>
      <c r="F2871" s="412">
        <f t="shared" ref="F2871" si="786">C2871*0.9</f>
        <v>14.984999999999999</v>
      </c>
      <c r="G2871" s="412">
        <f>C2871+D2871+E2871+F2871</f>
        <v>35.477999999999994</v>
      </c>
      <c r="H2871" s="412">
        <f>G2871*0.35</f>
        <v>12.417299999999997</v>
      </c>
      <c r="I2871" s="413">
        <f>G2871+H2871</f>
        <v>47.895299999999992</v>
      </c>
      <c r="J2871" s="349">
        <f>I2871+I2875+I2874</f>
        <v>58.71365999999999</v>
      </c>
    </row>
    <row r="2872" spans="1:10">
      <c r="A2872" s="350" t="s">
        <v>258</v>
      </c>
      <c r="B2872" s="350">
        <v>15</v>
      </c>
      <c r="C2872" s="391">
        <v>9.9</v>
      </c>
      <c r="D2872" s="392"/>
      <c r="E2872" s="392"/>
      <c r="F2872" s="392"/>
      <c r="G2872" s="392"/>
      <c r="H2872" s="392"/>
      <c r="I2872" s="393"/>
      <c r="J2872" s="353"/>
    </row>
    <row r="2873" spans="1:10">
      <c r="A2873" s="350" t="s">
        <v>337</v>
      </c>
      <c r="B2873" s="350">
        <v>15</v>
      </c>
      <c r="C2873" s="391">
        <v>6.75</v>
      </c>
      <c r="D2873" s="392"/>
      <c r="E2873" s="392"/>
      <c r="F2873" s="392"/>
      <c r="G2873" s="392"/>
      <c r="H2873" s="392"/>
      <c r="I2873" s="393"/>
      <c r="J2873" s="353"/>
    </row>
    <row r="2874" spans="1:10">
      <c r="A2874" s="350" t="s">
        <v>385</v>
      </c>
      <c r="B2874" s="351">
        <v>7</v>
      </c>
      <c r="C2874" s="391">
        <v>3.78</v>
      </c>
      <c r="D2874" s="392">
        <f>C2874*0.22</f>
        <v>0.83160000000000001</v>
      </c>
      <c r="E2874" s="355"/>
      <c r="F2874" s="392">
        <f>C2874*0.9</f>
        <v>3.4019999999999997</v>
      </c>
      <c r="G2874" s="392">
        <f>C2874+D2874+E2874+F2874</f>
        <v>8.0136000000000003</v>
      </c>
      <c r="H2874" s="392">
        <f>G2874*0.35</f>
        <v>2.8047599999999999</v>
      </c>
      <c r="I2874" s="393">
        <f>G2874+H2874</f>
        <v>10.81836</v>
      </c>
      <c r="J2874" s="353"/>
    </row>
    <row r="2875" spans="1:10">
      <c r="A2875" s="350"/>
      <c r="B2875" s="351"/>
      <c r="C2875" s="391"/>
      <c r="D2875" s="392"/>
      <c r="E2875" s="355"/>
      <c r="F2875" s="392"/>
      <c r="G2875" s="392"/>
      <c r="H2875" s="392"/>
      <c r="I2875" s="393"/>
      <c r="J2875" s="353"/>
    </row>
    <row r="2876" spans="1:10">
      <c r="A2876" s="345" t="s">
        <v>1687</v>
      </c>
      <c r="B2876" s="346"/>
      <c r="C2876" s="412">
        <f>C2877+C2878</f>
        <v>16.649999999999999</v>
      </c>
      <c r="D2876" s="412">
        <f t="shared" ref="D2876" si="787">C2876*0.22</f>
        <v>3.6629999999999998</v>
      </c>
      <c r="E2876" s="412">
        <v>25.18</v>
      </c>
      <c r="F2876" s="412">
        <f t="shared" ref="F2876" si="788">C2876*0.9</f>
        <v>14.984999999999999</v>
      </c>
      <c r="G2876" s="412">
        <f>C2876+D2876+E2876+F2876</f>
        <v>60.477999999999994</v>
      </c>
      <c r="H2876" s="412">
        <f>G2876*0.35</f>
        <v>21.167299999999997</v>
      </c>
      <c r="I2876" s="413">
        <f>G2876+H2876</f>
        <v>81.645299999999992</v>
      </c>
      <c r="J2876" s="349">
        <f>I2876+I2880+I2879</f>
        <v>92.46365999999999</v>
      </c>
    </row>
    <row r="2877" spans="1:10">
      <c r="A2877" s="350" t="s">
        <v>258</v>
      </c>
      <c r="B2877" s="350">
        <v>15</v>
      </c>
      <c r="C2877" s="391">
        <v>9.9</v>
      </c>
      <c r="D2877" s="392"/>
      <c r="E2877" s="392"/>
      <c r="F2877" s="392"/>
      <c r="G2877" s="392"/>
      <c r="H2877" s="392"/>
      <c r="I2877" s="393"/>
      <c r="J2877" s="353"/>
    </row>
    <row r="2878" spans="1:10">
      <c r="A2878" s="350" t="s">
        <v>337</v>
      </c>
      <c r="B2878" s="350">
        <v>15</v>
      </c>
      <c r="C2878" s="391">
        <v>6.75</v>
      </c>
      <c r="D2878" s="392"/>
      <c r="E2878" s="392"/>
      <c r="F2878" s="392"/>
      <c r="G2878" s="392"/>
      <c r="H2878" s="392"/>
      <c r="I2878" s="393"/>
      <c r="J2878" s="353"/>
    </row>
    <row r="2879" spans="1:10">
      <c r="A2879" s="350" t="s">
        <v>385</v>
      </c>
      <c r="B2879" s="351">
        <v>7</v>
      </c>
      <c r="C2879" s="391">
        <v>3.78</v>
      </c>
      <c r="D2879" s="392">
        <f>C2879*0.22</f>
        <v>0.83160000000000001</v>
      </c>
      <c r="E2879" s="355"/>
      <c r="F2879" s="392">
        <f>C2879*0.9</f>
        <v>3.4019999999999997</v>
      </c>
      <c r="G2879" s="392">
        <f>C2879+D2879+E2879+F2879</f>
        <v>8.0136000000000003</v>
      </c>
      <c r="H2879" s="392">
        <f>G2879*0.35</f>
        <v>2.8047599999999999</v>
      </c>
      <c r="I2879" s="393">
        <f>G2879+H2879</f>
        <v>10.81836</v>
      </c>
      <c r="J2879" s="353"/>
    </row>
    <row r="2880" spans="1:10">
      <c r="A2880" s="350"/>
      <c r="B2880" s="351"/>
      <c r="C2880" s="391"/>
      <c r="D2880" s="392"/>
      <c r="E2880" s="355"/>
      <c r="F2880" s="392"/>
      <c r="G2880" s="392"/>
      <c r="H2880" s="392"/>
      <c r="I2880" s="393"/>
      <c r="J2880" s="353"/>
    </row>
    <row r="2881" spans="1:10" ht="21">
      <c r="A2881" s="345" t="s">
        <v>1688</v>
      </c>
      <c r="B2881" s="346"/>
      <c r="C2881" s="412">
        <f>C2882+C2883</f>
        <v>33.299999999999997</v>
      </c>
      <c r="D2881" s="412">
        <f t="shared" ref="D2881" si="789">C2881*0.22</f>
        <v>7.3259999999999996</v>
      </c>
      <c r="E2881" s="412">
        <v>0.18</v>
      </c>
      <c r="F2881" s="412">
        <f t="shared" ref="F2881" si="790">C2881*0.9</f>
        <v>29.97</v>
      </c>
      <c r="G2881" s="412">
        <f>C2881+D2881+E2881+F2881</f>
        <v>70.775999999999996</v>
      </c>
      <c r="H2881" s="412">
        <f>G2881*0.35</f>
        <v>24.771599999999996</v>
      </c>
      <c r="I2881" s="413">
        <f>G2881+H2881</f>
        <v>95.547599999999989</v>
      </c>
      <c r="J2881" s="349">
        <f>I2881+I2885+I2884</f>
        <v>118.72979999999998</v>
      </c>
    </row>
    <row r="2882" spans="1:10">
      <c r="A2882" s="350" t="s">
        <v>258</v>
      </c>
      <c r="B2882" s="350">
        <v>30</v>
      </c>
      <c r="C2882" s="391">
        <v>19.8</v>
      </c>
      <c r="D2882" s="392"/>
      <c r="E2882" s="392"/>
      <c r="F2882" s="392"/>
      <c r="G2882" s="392"/>
      <c r="H2882" s="392"/>
      <c r="I2882" s="393"/>
      <c r="J2882" s="353"/>
    </row>
    <row r="2883" spans="1:10">
      <c r="A2883" s="350" t="s">
        <v>337</v>
      </c>
      <c r="B2883" s="350">
        <v>30</v>
      </c>
      <c r="C2883" s="391">
        <v>13.5</v>
      </c>
      <c r="D2883" s="392"/>
      <c r="E2883" s="392"/>
      <c r="F2883" s="392"/>
      <c r="G2883" s="392"/>
      <c r="H2883" s="392"/>
      <c r="I2883" s="393"/>
      <c r="J2883" s="353"/>
    </row>
    <row r="2884" spans="1:10">
      <c r="A2884" s="350" t="s">
        <v>385</v>
      </c>
      <c r="B2884" s="351">
        <v>15</v>
      </c>
      <c r="C2884" s="391">
        <v>8.1</v>
      </c>
      <c r="D2884" s="392">
        <f>C2884*0.22</f>
        <v>1.782</v>
      </c>
      <c r="E2884" s="355"/>
      <c r="F2884" s="392">
        <f>C2884*0.9</f>
        <v>7.29</v>
      </c>
      <c r="G2884" s="392">
        <f>C2884+D2884+E2884+F2884</f>
        <v>17.172000000000001</v>
      </c>
      <c r="H2884" s="392">
        <f>G2884*0.35</f>
        <v>6.0102000000000002</v>
      </c>
      <c r="I2884" s="393">
        <f>G2884+H2884</f>
        <v>23.182200000000002</v>
      </c>
      <c r="J2884" s="353"/>
    </row>
    <row r="2885" spans="1:10">
      <c r="A2885" s="350"/>
      <c r="B2885" s="351"/>
      <c r="C2885" s="391"/>
      <c r="D2885" s="392"/>
      <c r="E2885" s="355"/>
      <c r="F2885" s="392"/>
      <c r="G2885" s="392"/>
      <c r="H2885" s="392"/>
      <c r="I2885" s="393"/>
      <c r="J2885" s="353"/>
    </row>
    <row r="2886" spans="1:10" ht="31.5">
      <c r="A2886" s="345" t="s">
        <v>1689</v>
      </c>
      <c r="B2886" s="346"/>
      <c r="C2886" s="412">
        <f>C2887+C2888</f>
        <v>22.2</v>
      </c>
      <c r="D2886" s="412">
        <f t="shared" ref="D2886" si="791">C2886*0.22</f>
        <v>4.8839999999999995</v>
      </c>
      <c r="E2886" s="412">
        <v>0.18</v>
      </c>
      <c r="F2886" s="412">
        <f t="shared" ref="F2886" si="792">C2886*0.9</f>
        <v>19.98</v>
      </c>
      <c r="G2886" s="412">
        <f>C2886+D2886+E2886+F2886</f>
        <v>47.244</v>
      </c>
      <c r="H2886" s="412">
        <f>G2886*0.35</f>
        <v>16.535399999999999</v>
      </c>
      <c r="I2886" s="413">
        <f>G2886+H2886</f>
        <v>63.779399999999995</v>
      </c>
      <c r="J2886" s="349">
        <f>I2886+I2890+I2889</f>
        <v>79.234200000000001</v>
      </c>
    </row>
    <row r="2887" spans="1:10">
      <c r="A2887" s="350" t="s">
        <v>258</v>
      </c>
      <c r="B2887" s="350">
        <v>20</v>
      </c>
      <c r="C2887" s="391">
        <v>13.2</v>
      </c>
      <c r="D2887" s="392"/>
      <c r="E2887" s="392"/>
      <c r="F2887" s="392"/>
      <c r="G2887" s="392"/>
      <c r="H2887" s="392"/>
      <c r="I2887" s="393"/>
      <c r="J2887" s="353"/>
    </row>
    <row r="2888" spans="1:10">
      <c r="A2888" s="350" t="s">
        <v>337</v>
      </c>
      <c r="B2888" s="350">
        <v>20</v>
      </c>
      <c r="C2888" s="391">
        <v>9</v>
      </c>
      <c r="D2888" s="392"/>
      <c r="E2888" s="392"/>
      <c r="F2888" s="392"/>
      <c r="G2888" s="392"/>
      <c r="H2888" s="392"/>
      <c r="I2888" s="393"/>
      <c r="J2888" s="353"/>
    </row>
    <row r="2889" spans="1:10">
      <c r="A2889" s="350" t="s">
        <v>385</v>
      </c>
      <c r="B2889" s="351">
        <v>10</v>
      </c>
      <c r="C2889" s="391">
        <v>5.4</v>
      </c>
      <c r="D2889" s="392">
        <f>C2889*0.22</f>
        <v>1.1880000000000002</v>
      </c>
      <c r="E2889" s="355"/>
      <c r="F2889" s="392">
        <f>C2889*0.9</f>
        <v>4.8600000000000003</v>
      </c>
      <c r="G2889" s="392">
        <f>C2889+D2889+E2889+F2889</f>
        <v>11.448</v>
      </c>
      <c r="H2889" s="392">
        <f>G2889*0.35</f>
        <v>4.0068000000000001</v>
      </c>
      <c r="I2889" s="393">
        <f>G2889+H2889</f>
        <v>15.454800000000001</v>
      </c>
      <c r="J2889" s="353"/>
    </row>
    <row r="2890" spans="1:10">
      <c r="A2890" s="350"/>
      <c r="B2890" s="351"/>
      <c r="C2890" s="391"/>
      <c r="D2890" s="392"/>
      <c r="E2890" s="355"/>
      <c r="F2890" s="392"/>
      <c r="G2890" s="392"/>
      <c r="H2890" s="392"/>
      <c r="I2890" s="393"/>
      <c r="J2890" s="353"/>
    </row>
    <row r="2891" spans="1:10" ht="21">
      <c r="A2891" s="345" t="s">
        <v>1690</v>
      </c>
      <c r="B2891" s="346"/>
      <c r="C2891" s="412">
        <f>C2892+C2893</f>
        <v>11.1</v>
      </c>
      <c r="D2891" s="412">
        <f t="shared" ref="D2891" si="793">C2891*0.22</f>
        <v>2.4419999999999997</v>
      </c>
      <c r="E2891" s="412">
        <v>25.18</v>
      </c>
      <c r="F2891" s="412">
        <f t="shared" ref="F2891" si="794">C2891*0.9</f>
        <v>9.99</v>
      </c>
      <c r="G2891" s="412">
        <f>C2891+D2891+E2891+F2891</f>
        <v>48.712000000000003</v>
      </c>
      <c r="H2891" s="412">
        <f>G2891*0.35</f>
        <v>17.049199999999999</v>
      </c>
      <c r="I2891" s="413">
        <f>G2891+H2891</f>
        <v>65.761200000000002</v>
      </c>
      <c r="J2891" s="349">
        <f>I2891+I2895+I2894</f>
        <v>73.488600000000005</v>
      </c>
    </row>
    <row r="2892" spans="1:10">
      <c r="A2892" s="350" t="s">
        <v>258</v>
      </c>
      <c r="B2892" s="350">
        <v>10</v>
      </c>
      <c r="C2892" s="391">
        <v>6.6</v>
      </c>
      <c r="D2892" s="392"/>
      <c r="E2892" s="392"/>
      <c r="F2892" s="392"/>
      <c r="G2892" s="392"/>
      <c r="H2892" s="392"/>
      <c r="I2892" s="393"/>
      <c r="J2892" s="355"/>
    </row>
    <row r="2893" spans="1:10">
      <c r="A2893" s="350" t="s">
        <v>337</v>
      </c>
      <c r="B2893" s="350">
        <v>10</v>
      </c>
      <c r="C2893" s="391">
        <v>4.5</v>
      </c>
      <c r="D2893" s="392"/>
      <c r="E2893" s="392"/>
      <c r="F2893" s="392"/>
      <c r="G2893" s="392"/>
      <c r="H2893" s="392"/>
      <c r="I2893" s="393"/>
      <c r="J2893" s="355"/>
    </row>
    <row r="2894" spans="1:10">
      <c r="A2894" s="350" t="s">
        <v>385</v>
      </c>
      <c r="B2894" s="351">
        <v>5</v>
      </c>
      <c r="C2894" s="391">
        <v>2.7</v>
      </c>
      <c r="D2894" s="392">
        <f>C2894*0.22</f>
        <v>0.59400000000000008</v>
      </c>
      <c r="E2894" s="355"/>
      <c r="F2894" s="392">
        <f>C2894*0.9</f>
        <v>2.4300000000000002</v>
      </c>
      <c r="G2894" s="392">
        <f>C2894+D2894+E2894+F2894</f>
        <v>5.7240000000000002</v>
      </c>
      <c r="H2894" s="392">
        <f>G2894*0.35</f>
        <v>2.0034000000000001</v>
      </c>
      <c r="I2894" s="393">
        <f>G2894+H2894</f>
        <v>7.7274000000000003</v>
      </c>
      <c r="J2894" s="355"/>
    </row>
    <row r="2895" spans="1:10">
      <c r="A2895" s="350"/>
      <c r="B2895" s="351"/>
      <c r="C2895" s="391"/>
      <c r="D2895" s="392"/>
      <c r="E2895" s="355"/>
      <c r="F2895" s="392"/>
      <c r="G2895" s="392"/>
      <c r="H2895" s="392"/>
      <c r="I2895" s="393"/>
      <c r="J2895" s="355"/>
    </row>
    <row r="2896" spans="1:10" ht="12.75">
      <c r="A2896" s="501" t="s">
        <v>1691</v>
      </c>
      <c r="B2896" s="501"/>
      <c r="C2896" s="501"/>
      <c r="D2896" s="501"/>
      <c r="E2896" s="501"/>
      <c r="F2896" s="501"/>
      <c r="G2896" s="501"/>
      <c r="H2896" s="501"/>
      <c r="I2896" s="501"/>
      <c r="J2896" s="502"/>
    </row>
    <row r="2897" spans="1:10">
      <c r="A2897" s="445" t="s">
        <v>480</v>
      </c>
      <c r="B2897" s="384">
        <v>10</v>
      </c>
      <c r="C2897" s="384">
        <f>C2898+C2899</f>
        <v>7.2</v>
      </c>
      <c r="D2897" s="412">
        <f>C2897*0.22</f>
        <v>1.5840000000000001</v>
      </c>
      <c r="E2897" s="412">
        <v>0.18</v>
      </c>
      <c r="F2897" s="412">
        <f>C2897*0.9</f>
        <v>6.48</v>
      </c>
      <c r="G2897" s="412">
        <f t="shared" ref="G2897:G2977" si="795">F2897+E2897+D2897+C2897</f>
        <v>15.443999999999999</v>
      </c>
      <c r="H2897" s="412">
        <f t="shared" ref="H2897:H2977" si="796">G2897*0.35</f>
        <v>5.4053999999999993</v>
      </c>
      <c r="I2897" s="348">
        <f>G2897+H2897</f>
        <v>20.849399999999999</v>
      </c>
      <c r="J2897" s="355"/>
    </row>
    <row r="2898" spans="1:10">
      <c r="A2898" s="386" t="s">
        <v>1692</v>
      </c>
      <c r="B2898" s="386">
        <v>10</v>
      </c>
      <c r="C2898" s="392">
        <v>4.5</v>
      </c>
      <c r="D2898" s="424">
        <f t="shared" ref="D2898:D2899" si="797">C2898*0.22</f>
        <v>0.99</v>
      </c>
      <c r="E2898" s="392"/>
      <c r="F2898" s="392">
        <f>C2898*0.9</f>
        <v>4.05</v>
      </c>
      <c r="G2898" s="392"/>
      <c r="H2898" s="392"/>
      <c r="I2898" s="388"/>
      <c r="J2898" s="355"/>
    </row>
    <row r="2899" spans="1:10">
      <c r="A2899" s="386" t="s">
        <v>385</v>
      </c>
      <c r="B2899" s="386">
        <v>5</v>
      </c>
      <c r="C2899" s="392">
        <v>2.7</v>
      </c>
      <c r="D2899" s="424">
        <f t="shared" si="797"/>
        <v>0.59400000000000008</v>
      </c>
      <c r="E2899" s="392"/>
      <c r="F2899" s="392">
        <f>C2899*0.9</f>
        <v>2.4300000000000002</v>
      </c>
      <c r="G2899" s="392"/>
      <c r="H2899" s="392"/>
      <c r="I2899" s="388"/>
      <c r="J2899" s="355"/>
    </row>
    <row r="2900" spans="1:10">
      <c r="A2900" s="350"/>
      <c r="B2900" s="386"/>
      <c r="C2900" s="392"/>
      <c r="D2900" s="424"/>
      <c r="E2900" s="392"/>
      <c r="F2900" s="392"/>
      <c r="G2900" s="392"/>
      <c r="H2900" s="392"/>
      <c r="I2900" s="388"/>
      <c r="J2900" s="355"/>
    </row>
    <row r="2901" spans="1:10">
      <c r="A2901" s="445" t="s">
        <v>476</v>
      </c>
      <c r="B2901" s="384">
        <v>10</v>
      </c>
      <c r="C2901" s="384">
        <f>C2902+C2903</f>
        <v>7.2</v>
      </c>
      <c r="D2901" s="412">
        <f t="shared" ref="D2901:D2979" si="798">C2901*0.22</f>
        <v>1.5840000000000001</v>
      </c>
      <c r="E2901" s="412">
        <v>0.18</v>
      </c>
      <c r="F2901" s="412">
        <f>C2901*0.9</f>
        <v>6.48</v>
      </c>
      <c r="G2901" s="412">
        <f t="shared" si="795"/>
        <v>15.443999999999999</v>
      </c>
      <c r="H2901" s="412">
        <f t="shared" si="796"/>
        <v>5.4053999999999993</v>
      </c>
      <c r="I2901" s="348">
        <f t="shared" ref="I2901:I2977" si="799">G2901+H2901</f>
        <v>20.849399999999999</v>
      </c>
      <c r="J2901" s="355"/>
    </row>
    <row r="2902" spans="1:10">
      <c r="A2902" s="386" t="s">
        <v>1692</v>
      </c>
      <c r="B2902" s="386">
        <v>10</v>
      </c>
      <c r="C2902" s="392">
        <v>4.5</v>
      </c>
      <c r="D2902" s="392">
        <f t="shared" si="798"/>
        <v>0.99</v>
      </c>
      <c r="E2902" s="392"/>
      <c r="F2902" s="392">
        <f>C2902*0.9</f>
        <v>4.05</v>
      </c>
      <c r="G2902" s="392"/>
      <c r="H2902" s="392"/>
      <c r="I2902" s="388"/>
      <c r="J2902" s="355"/>
    </row>
    <row r="2903" spans="1:10">
      <c r="A2903" s="386" t="s">
        <v>385</v>
      </c>
      <c r="B2903" s="386">
        <v>5</v>
      </c>
      <c r="C2903" s="392">
        <v>2.7</v>
      </c>
      <c r="D2903" s="392">
        <f t="shared" si="798"/>
        <v>0.59400000000000008</v>
      </c>
      <c r="E2903" s="392"/>
      <c r="F2903" s="392">
        <f>C2903*0.9</f>
        <v>2.4300000000000002</v>
      </c>
      <c r="G2903" s="392"/>
      <c r="H2903" s="392"/>
      <c r="I2903" s="388"/>
      <c r="J2903" s="355"/>
    </row>
    <row r="2904" spans="1:10">
      <c r="A2904" s="350"/>
      <c r="B2904" s="386"/>
      <c r="C2904" s="392"/>
      <c r="D2904" s="392"/>
      <c r="E2904" s="392"/>
      <c r="F2904" s="392"/>
      <c r="G2904" s="392"/>
      <c r="H2904" s="392"/>
      <c r="I2904" s="388"/>
      <c r="J2904" s="355"/>
    </row>
    <row r="2905" spans="1:10">
      <c r="A2905" s="445" t="s">
        <v>1693</v>
      </c>
      <c r="B2905" s="384"/>
      <c r="C2905" s="384">
        <f>C2906+C2907</f>
        <v>7.2</v>
      </c>
      <c r="D2905" s="412">
        <f t="shared" si="798"/>
        <v>1.5840000000000001</v>
      </c>
      <c r="E2905" s="412">
        <v>0.18</v>
      </c>
      <c r="F2905" s="412">
        <f t="shared" ref="F2905:F2977" si="800">C2905*0.9</f>
        <v>6.48</v>
      </c>
      <c r="G2905" s="412">
        <f t="shared" si="795"/>
        <v>15.443999999999999</v>
      </c>
      <c r="H2905" s="412">
        <f t="shared" si="796"/>
        <v>5.4053999999999993</v>
      </c>
      <c r="I2905" s="348">
        <f t="shared" si="799"/>
        <v>20.849399999999999</v>
      </c>
      <c r="J2905" s="355"/>
    </row>
    <row r="2906" spans="1:10">
      <c r="A2906" s="386" t="s">
        <v>1692</v>
      </c>
      <c r="B2906" s="386">
        <v>10</v>
      </c>
      <c r="C2906" s="392">
        <v>4.5</v>
      </c>
      <c r="D2906" s="392">
        <f t="shared" si="798"/>
        <v>0.99</v>
      </c>
      <c r="E2906" s="392"/>
      <c r="F2906" s="392">
        <f t="shared" si="800"/>
        <v>4.05</v>
      </c>
      <c r="G2906" s="392"/>
      <c r="H2906" s="392"/>
      <c r="I2906" s="388"/>
      <c r="J2906" s="355"/>
    </row>
    <row r="2907" spans="1:10">
      <c r="A2907" s="386" t="s">
        <v>385</v>
      </c>
      <c r="B2907" s="386">
        <v>5</v>
      </c>
      <c r="C2907" s="392">
        <v>2.7</v>
      </c>
      <c r="D2907" s="392">
        <f t="shared" si="798"/>
        <v>0.59400000000000008</v>
      </c>
      <c r="E2907" s="392"/>
      <c r="F2907" s="392">
        <f t="shared" si="800"/>
        <v>2.4300000000000002</v>
      </c>
      <c r="G2907" s="392"/>
      <c r="H2907" s="392"/>
      <c r="I2907" s="388"/>
      <c r="J2907" s="355"/>
    </row>
    <row r="2908" spans="1:10">
      <c r="A2908" s="350"/>
      <c r="B2908" s="386"/>
      <c r="C2908" s="392"/>
      <c r="D2908" s="392"/>
      <c r="E2908" s="392"/>
      <c r="F2908" s="392"/>
      <c r="G2908" s="392"/>
      <c r="H2908" s="392"/>
      <c r="I2908" s="388"/>
      <c r="J2908" s="355"/>
    </row>
    <row r="2909" spans="1:10">
      <c r="A2909" s="445" t="s">
        <v>1694</v>
      </c>
      <c r="B2909" s="384"/>
      <c r="C2909" s="384">
        <f>C2910+C2911</f>
        <v>10.53</v>
      </c>
      <c r="D2909" s="412">
        <f t="shared" si="798"/>
        <v>2.3165999999999998</v>
      </c>
      <c r="E2909" s="412">
        <v>0.18</v>
      </c>
      <c r="F2909" s="412">
        <f t="shared" si="800"/>
        <v>9.4770000000000003</v>
      </c>
      <c r="G2909" s="412">
        <f t="shared" si="795"/>
        <v>22.503599999999999</v>
      </c>
      <c r="H2909" s="412">
        <f t="shared" si="796"/>
        <v>7.8762599999999994</v>
      </c>
      <c r="I2909" s="348">
        <f t="shared" si="799"/>
        <v>30.379859999999997</v>
      </c>
      <c r="J2909" s="355"/>
    </row>
    <row r="2910" spans="1:10">
      <c r="A2910" s="386" t="s">
        <v>1692</v>
      </c>
      <c r="B2910" s="386">
        <v>15</v>
      </c>
      <c r="C2910" s="386">
        <v>6.75</v>
      </c>
      <c r="D2910" s="392">
        <f t="shared" si="798"/>
        <v>1.4850000000000001</v>
      </c>
      <c r="E2910" s="392"/>
      <c r="F2910" s="392">
        <f t="shared" si="800"/>
        <v>6.0750000000000002</v>
      </c>
      <c r="G2910" s="392"/>
      <c r="H2910" s="392"/>
      <c r="I2910" s="388"/>
      <c r="J2910" s="355"/>
    </row>
    <row r="2911" spans="1:10">
      <c r="A2911" s="386" t="s">
        <v>385</v>
      </c>
      <c r="B2911" s="386">
        <v>7</v>
      </c>
      <c r="C2911" s="386">
        <v>3.78</v>
      </c>
      <c r="D2911" s="392">
        <f t="shared" si="798"/>
        <v>0.83160000000000001</v>
      </c>
      <c r="E2911" s="392"/>
      <c r="F2911" s="392">
        <f t="shared" si="800"/>
        <v>3.4019999999999997</v>
      </c>
      <c r="G2911" s="392"/>
      <c r="H2911" s="392"/>
      <c r="I2911" s="388"/>
      <c r="J2911" s="355"/>
    </row>
    <row r="2912" spans="1:10">
      <c r="A2912" s="350"/>
      <c r="B2912" s="386"/>
      <c r="C2912" s="386"/>
      <c r="D2912" s="392"/>
      <c r="E2912" s="392"/>
      <c r="F2912" s="392"/>
      <c r="G2912" s="392"/>
      <c r="H2912" s="392"/>
      <c r="I2912" s="388"/>
      <c r="J2912" s="355"/>
    </row>
    <row r="2913" spans="1:10">
      <c r="A2913" s="383" t="s">
        <v>1695</v>
      </c>
      <c r="B2913" s="384"/>
      <c r="C2913" s="384">
        <f>C2914+C2915</f>
        <v>14.4</v>
      </c>
      <c r="D2913" s="412">
        <f t="shared" si="798"/>
        <v>3.1680000000000001</v>
      </c>
      <c r="E2913" s="412">
        <v>0.18</v>
      </c>
      <c r="F2913" s="412">
        <f t="shared" si="800"/>
        <v>12.96</v>
      </c>
      <c r="G2913" s="412">
        <f t="shared" si="795"/>
        <v>30.707999999999998</v>
      </c>
      <c r="H2913" s="412">
        <f t="shared" si="796"/>
        <v>10.747799999999998</v>
      </c>
      <c r="I2913" s="348">
        <f t="shared" si="799"/>
        <v>41.455799999999996</v>
      </c>
      <c r="J2913" s="355"/>
    </row>
    <row r="2914" spans="1:10">
      <c r="A2914" s="386" t="s">
        <v>1692</v>
      </c>
      <c r="B2914" s="386">
        <v>20</v>
      </c>
      <c r="C2914" s="392">
        <v>9</v>
      </c>
      <c r="D2914" s="392">
        <f t="shared" si="798"/>
        <v>1.98</v>
      </c>
      <c r="E2914" s="392"/>
      <c r="F2914" s="392">
        <f t="shared" si="800"/>
        <v>8.1</v>
      </c>
      <c r="G2914" s="392"/>
      <c r="H2914" s="392"/>
      <c r="I2914" s="388"/>
      <c r="J2914" s="355"/>
    </row>
    <row r="2915" spans="1:10">
      <c r="A2915" s="386" t="s">
        <v>385</v>
      </c>
      <c r="B2915" s="386">
        <v>10</v>
      </c>
      <c r="C2915" s="392">
        <v>5.4</v>
      </c>
      <c r="D2915" s="392">
        <f t="shared" si="798"/>
        <v>1.1880000000000002</v>
      </c>
      <c r="E2915" s="392"/>
      <c r="F2915" s="392">
        <f t="shared" si="800"/>
        <v>4.8600000000000003</v>
      </c>
      <c r="G2915" s="392"/>
      <c r="H2915" s="392"/>
      <c r="I2915" s="388"/>
      <c r="J2915" s="355"/>
    </row>
    <row r="2916" spans="1:10">
      <c r="A2916" s="350"/>
      <c r="B2916" s="386"/>
      <c r="C2916" s="392"/>
      <c r="D2916" s="392"/>
      <c r="E2916" s="392"/>
      <c r="F2916" s="392"/>
      <c r="G2916" s="392"/>
      <c r="H2916" s="392"/>
      <c r="I2916" s="388"/>
      <c r="J2916" s="355"/>
    </row>
    <row r="2917" spans="1:10">
      <c r="A2917" s="445" t="s">
        <v>1696</v>
      </c>
      <c r="B2917" s="384"/>
      <c r="C2917" s="384">
        <f>C2918+C2919</f>
        <v>7.2</v>
      </c>
      <c r="D2917" s="412">
        <f t="shared" ref="D2917:D2919" si="801">C2917*0.22</f>
        <v>1.5840000000000001</v>
      </c>
      <c r="E2917" s="412">
        <v>0.18</v>
      </c>
      <c r="F2917" s="412">
        <f t="shared" ref="F2917:F2919" si="802">C2917*0.9</f>
        <v>6.48</v>
      </c>
      <c r="G2917" s="412">
        <f t="shared" ref="G2917" si="803">F2917+E2917+D2917+C2917</f>
        <v>15.443999999999999</v>
      </c>
      <c r="H2917" s="412">
        <f t="shared" ref="H2917" si="804">G2917*0.35</f>
        <v>5.4053999999999993</v>
      </c>
      <c r="I2917" s="348">
        <f t="shared" ref="I2917" si="805">G2917+H2917</f>
        <v>20.849399999999999</v>
      </c>
      <c r="J2917" s="355"/>
    </row>
    <row r="2918" spans="1:10">
      <c r="A2918" s="386" t="s">
        <v>1692</v>
      </c>
      <c r="B2918" s="386">
        <v>10</v>
      </c>
      <c r="C2918" s="392">
        <v>4.5</v>
      </c>
      <c r="D2918" s="392">
        <f t="shared" si="801"/>
        <v>0.99</v>
      </c>
      <c r="E2918" s="392"/>
      <c r="F2918" s="392">
        <f t="shared" si="802"/>
        <v>4.05</v>
      </c>
      <c r="G2918" s="392"/>
      <c r="H2918" s="392"/>
      <c r="I2918" s="388"/>
      <c r="J2918" s="355"/>
    </row>
    <row r="2919" spans="1:10">
      <c r="A2919" s="386" t="s">
        <v>385</v>
      </c>
      <c r="B2919" s="386">
        <v>5</v>
      </c>
      <c r="C2919" s="392">
        <v>2.7</v>
      </c>
      <c r="D2919" s="392">
        <f t="shared" si="801"/>
        <v>0.59400000000000008</v>
      </c>
      <c r="E2919" s="392"/>
      <c r="F2919" s="392">
        <f t="shared" si="802"/>
        <v>2.4300000000000002</v>
      </c>
      <c r="G2919" s="392"/>
      <c r="H2919" s="392"/>
      <c r="I2919" s="388"/>
      <c r="J2919" s="355"/>
    </row>
    <row r="2920" spans="1:10">
      <c r="A2920" s="350"/>
      <c r="B2920" s="386"/>
      <c r="C2920" s="392"/>
      <c r="D2920" s="392"/>
      <c r="E2920" s="392"/>
      <c r="F2920" s="392"/>
      <c r="G2920" s="392"/>
      <c r="H2920" s="392"/>
      <c r="I2920" s="388"/>
      <c r="J2920" s="355"/>
    </row>
    <row r="2921" spans="1:10">
      <c r="A2921" s="445" t="s">
        <v>1697</v>
      </c>
      <c r="B2921" s="384"/>
      <c r="C2921" s="412">
        <f>C2922+C2923</f>
        <v>7.2</v>
      </c>
      <c r="D2921" s="412">
        <f t="shared" ref="D2921:D2923" si="806">C2921*0.22</f>
        <v>1.5840000000000001</v>
      </c>
      <c r="E2921" s="412">
        <v>0.18</v>
      </c>
      <c r="F2921" s="412">
        <f t="shared" ref="F2921:F2923" si="807">C2921*0.9</f>
        <v>6.48</v>
      </c>
      <c r="G2921" s="412">
        <f t="shared" ref="G2921" si="808">F2921+E2921+D2921+C2921</f>
        <v>15.443999999999999</v>
      </c>
      <c r="H2921" s="412">
        <f t="shared" ref="H2921" si="809">G2921*0.35</f>
        <v>5.4053999999999993</v>
      </c>
      <c r="I2921" s="348">
        <f t="shared" ref="I2921" si="810">G2921+H2921</f>
        <v>20.849399999999999</v>
      </c>
      <c r="J2921" s="355"/>
    </row>
    <row r="2922" spans="1:10">
      <c r="A2922" s="386" t="s">
        <v>1692</v>
      </c>
      <c r="B2922" s="386">
        <v>10</v>
      </c>
      <c r="C2922" s="392">
        <v>4.5</v>
      </c>
      <c r="D2922" s="392">
        <f t="shared" si="806"/>
        <v>0.99</v>
      </c>
      <c r="E2922" s="392"/>
      <c r="F2922" s="392">
        <f t="shared" si="807"/>
        <v>4.05</v>
      </c>
      <c r="G2922" s="392"/>
      <c r="H2922" s="392"/>
      <c r="I2922" s="388"/>
      <c r="J2922" s="355"/>
    </row>
    <row r="2923" spans="1:10">
      <c r="A2923" s="386" t="s">
        <v>385</v>
      </c>
      <c r="B2923" s="386">
        <v>5</v>
      </c>
      <c r="C2923" s="392">
        <v>2.7</v>
      </c>
      <c r="D2923" s="392">
        <f t="shared" si="806"/>
        <v>0.59400000000000008</v>
      </c>
      <c r="E2923" s="392"/>
      <c r="F2923" s="392">
        <f t="shared" si="807"/>
        <v>2.4300000000000002</v>
      </c>
      <c r="G2923" s="392"/>
      <c r="H2923" s="392"/>
      <c r="I2923" s="388"/>
      <c r="J2923" s="355"/>
    </row>
    <row r="2924" spans="1:10">
      <c r="A2924" s="350"/>
      <c r="B2924" s="386"/>
      <c r="C2924" s="392"/>
      <c r="D2924" s="392"/>
      <c r="E2924" s="392"/>
      <c r="F2924" s="392"/>
      <c r="G2924" s="392"/>
      <c r="H2924" s="392"/>
      <c r="I2924" s="388"/>
      <c r="J2924" s="355"/>
    </row>
    <row r="2925" spans="1:10">
      <c r="A2925" s="445" t="s">
        <v>1698</v>
      </c>
      <c r="B2925" s="384"/>
      <c r="C2925" s="412">
        <f>C2926+C2927</f>
        <v>10.53</v>
      </c>
      <c r="D2925" s="412">
        <f t="shared" si="798"/>
        <v>2.3165999999999998</v>
      </c>
      <c r="E2925" s="412">
        <v>0.18</v>
      </c>
      <c r="F2925" s="412">
        <f t="shared" si="800"/>
        <v>9.4770000000000003</v>
      </c>
      <c r="G2925" s="412">
        <f t="shared" si="795"/>
        <v>22.503599999999999</v>
      </c>
      <c r="H2925" s="412">
        <f t="shared" si="796"/>
        <v>7.8762599999999994</v>
      </c>
      <c r="I2925" s="348">
        <f t="shared" si="799"/>
        <v>30.379859999999997</v>
      </c>
      <c r="J2925" s="355"/>
    </row>
    <row r="2926" spans="1:10">
      <c r="A2926" s="386" t="s">
        <v>1692</v>
      </c>
      <c r="B2926" s="386">
        <v>15</v>
      </c>
      <c r="C2926" s="386">
        <v>6.75</v>
      </c>
      <c r="D2926" s="392">
        <f t="shared" si="798"/>
        <v>1.4850000000000001</v>
      </c>
      <c r="E2926" s="392"/>
      <c r="F2926" s="392">
        <f t="shared" si="800"/>
        <v>6.0750000000000002</v>
      </c>
      <c r="G2926" s="392"/>
      <c r="H2926" s="392"/>
      <c r="I2926" s="388"/>
      <c r="J2926" s="355"/>
    </row>
    <row r="2927" spans="1:10">
      <c r="A2927" s="386" t="s">
        <v>385</v>
      </c>
      <c r="B2927" s="386">
        <v>7</v>
      </c>
      <c r="C2927" s="386">
        <v>3.78</v>
      </c>
      <c r="D2927" s="392">
        <f t="shared" si="798"/>
        <v>0.83160000000000001</v>
      </c>
      <c r="E2927" s="392"/>
      <c r="F2927" s="392">
        <f t="shared" si="800"/>
        <v>3.4019999999999997</v>
      </c>
      <c r="G2927" s="392"/>
      <c r="H2927" s="392"/>
      <c r="I2927" s="388"/>
      <c r="J2927" s="355"/>
    </row>
    <row r="2928" spans="1:10">
      <c r="A2928" s="350"/>
      <c r="B2928" s="386"/>
      <c r="C2928" s="386"/>
      <c r="D2928" s="392"/>
      <c r="E2928" s="392"/>
      <c r="F2928" s="392"/>
      <c r="G2928" s="392"/>
      <c r="H2928" s="392"/>
      <c r="I2928" s="388"/>
      <c r="J2928" s="355"/>
    </row>
    <row r="2929" spans="1:10">
      <c r="A2929" s="383" t="s">
        <v>1699</v>
      </c>
      <c r="B2929" s="384"/>
      <c r="C2929" s="412">
        <f>C2930+C2931</f>
        <v>7.2</v>
      </c>
      <c r="D2929" s="412">
        <f t="shared" si="798"/>
        <v>1.5840000000000001</v>
      </c>
      <c r="E2929" s="412">
        <v>0.18</v>
      </c>
      <c r="F2929" s="412">
        <f t="shared" si="800"/>
        <v>6.48</v>
      </c>
      <c r="G2929" s="412">
        <f t="shared" si="795"/>
        <v>15.443999999999999</v>
      </c>
      <c r="H2929" s="412">
        <f t="shared" si="796"/>
        <v>5.4053999999999993</v>
      </c>
      <c r="I2929" s="348">
        <f t="shared" si="799"/>
        <v>20.849399999999999</v>
      </c>
      <c r="J2929" s="355"/>
    </row>
    <row r="2930" spans="1:10">
      <c r="A2930" s="386" t="s">
        <v>1692</v>
      </c>
      <c r="B2930" s="386">
        <v>10</v>
      </c>
      <c r="C2930" s="392">
        <v>4.5</v>
      </c>
      <c r="D2930" s="392">
        <f t="shared" si="798"/>
        <v>0.99</v>
      </c>
      <c r="E2930" s="392"/>
      <c r="F2930" s="392">
        <f t="shared" si="800"/>
        <v>4.05</v>
      </c>
      <c r="G2930" s="392"/>
      <c r="H2930" s="392"/>
      <c r="I2930" s="388"/>
      <c r="J2930" s="355"/>
    </row>
    <row r="2931" spans="1:10">
      <c r="A2931" s="386" t="s">
        <v>385</v>
      </c>
      <c r="B2931" s="386">
        <v>5</v>
      </c>
      <c r="C2931" s="392">
        <v>2.7</v>
      </c>
      <c r="D2931" s="392">
        <f t="shared" si="798"/>
        <v>0.59400000000000008</v>
      </c>
      <c r="E2931" s="392"/>
      <c r="F2931" s="392">
        <f t="shared" si="800"/>
        <v>2.4300000000000002</v>
      </c>
      <c r="G2931" s="392"/>
      <c r="H2931" s="392"/>
      <c r="I2931" s="388"/>
      <c r="J2931" s="355"/>
    </row>
    <row r="2932" spans="1:10">
      <c r="A2932" s="350"/>
      <c r="B2932" s="386"/>
      <c r="C2932" s="392"/>
      <c r="D2932" s="392"/>
      <c r="E2932" s="392"/>
      <c r="F2932" s="392"/>
      <c r="G2932" s="392"/>
      <c r="H2932" s="392"/>
      <c r="I2932" s="388"/>
      <c r="J2932" s="355"/>
    </row>
    <row r="2933" spans="1:10">
      <c r="A2933" s="445" t="s">
        <v>1700</v>
      </c>
      <c r="B2933" s="384"/>
      <c r="C2933" s="412">
        <f>C2934+C2935</f>
        <v>7.2</v>
      </c>
      <c r="D2933" s="412">
        <f t="shared" si="798"/>
        <v>1.5840000000000001</v>
      </c>
      <c r="E2933" s="412">
        <v>0.18</v>
      </c>
      <c r="F2933" s="412">
        <f t="shared" si="800"/>
        <v>6.48</v>
      </c>
      <c r="G2933" s="412">
        <f t="shared" si="795"/>
        <v>15.443999999999999</v>
      </c>
      <c r="H2933" s="412">
        <f t="shared" si="796"/>
        <v>5.4053999999999993</v>
      </c>
      <c r="I2933" s="348">
        <f t="shared" si="799"/>
        <v>20.849399999999999</v>
      </c>
      <c r="J2933" s="355"/>
    </row>
    <row r="2934" spans="1:10">
      <c r="A2934" s="386" t="s">
        <v>1692</v>
      </c>
      <c r="B2934" s="386">
        <v>10</v>
      </c>
      <c r="C2934" s="392">
        <v>4.5</v>
      </c>
      <c r="D2934" s="392">
        <f t="shared" si="798"/>
        <v>0.99</v>
      </c>
      <c r="E2934" s="392"/>
      <c r="F2934" s="392">
        <f t="shared" si="800"/>
        <v>4.05</v>
      </c>
      <c r="G2934" s="392"/>
      <c r="H2934" s="392"/>
      <c r="I2934" s="388"/>
      <c r="J2934" s="355"/>
    </row>
    <row r="2935" spans="1:10">
      <c r="A2935" s="386" t="s">
        <v>385</v>
      </c>
      <c r="B2935" s="386">
        <v>5</v>
      </c>
      <c r="C2935" s="392">
        <v>2.7</v>
      </c>
      <c r="D2935" s="392">
        <f t="shared" si="798"/>
        <v>0.59400000000000008</v>
      </c>
      <c r="E2935" s="392"/>
      <c r="F2935" s="392">
        <f t="shared" si="800"/>
        <v>2.4300000000000002</v>
      </c>
      <c r="G2935" s="392"/>
      <c r="H2935" s="392"/>
      <c r="I2935" s="388"/>
      <c r="J2935" s="355"/>
    </row>
    <row r="2936" spans="1:10">
      <c r="A2936" s="350"/>
      <c r="B2936" s="386"/>
      <c r="C2936" s="392"/>
      <c r="D2936" s="392"/>
      <c r="E2936" s="392"/>
      <c r="F2936" s="392"/>
      <c r="G2936" s="392"/>
      <c r="H2936" s="392"/>
      <c r="I2936" s="388"/>
      <c r="J2936" s="355"/>
    </row>
    <row r="2937" spans="1:10">
      <c r="A2937" s="383" t="s">
        <v>1701</v>
      </c>
      <c r="B2937" s="384"/>
      <c r="C2937" s="412">
        <f>C2938+C2939</f>
        <v>17.73</v>
      </c>
      <c r="D2937" s="412">
        <f t="shared" si="798"/>
        <v>3.9006000000000003</v>
      </c>
      <c r="E2937" s="412">
        <v>0.18</v>
      </c>
      <c r="F2937" s="412">
        <f t="shared" si="800"/>
        <v>15.957000000000001</v>
      </c>
      <c r="G2937" s="412">
        <f t="shared" si="795"/>
        <v>37.767600000000002</v>
      </c>
      <c r="H2937" s="412">
        <f t="shared" si="796"/>
        <v>13.21866</v>
      </c>
      <c r="I2937" s="348">
        <f t="shared" si="799"/>
        <v>50.986260000000001</v>
      </c>
      <c r="J2937" s="355"/>
    </row>
    <row r="2938" spans="1:10">
      <c r="A2938" s="386" t="s">
        <v>1692</v>
      </c>
      <c r="B2938" s="386">
        <v>25</v>
      </c>
      <c r="C2938" s="392">
        <v>11.25</v>
      </c>
      <c r="D2938" s="392">
        <f t="shared" si="798"/>
        <v>2.4750000000000001</v>
      </c>
      <c r="E2938" s="392"/>
      <c r="F2938" s="392">
        <f t="shared" si="800"/>
        <v>10.125</v>
      </c>
      <c r="G2938" s="392"/>
      <c r="H2938" s="392"/>
      <c r="I2938" s="388"/>
      <c r="J2938" s="355"/>
    </row>
    <row r="2939" spans="1:10">
      <c r="A2939" s="386" t="s">
        <v>385</v>
      </c>
      <c r="B2939" s="386">
        <v>12</v>
      </c>
      <c r="C2939" s="392">
        <v>6.48</v>
      </c>
      <c r="D2939" s="392">
        <f t="shared" si="798"/>
        <v>1.4256000000000002</v>
      </c>
      <c r="E2939" s="392"/>
      <c r="F2939" s="392">
        <f t="shared" si="800"/>
        <v>5.8320000000000007</v>
      </c>
      <c r="G2939" s="392"/>
      <c r="H2939" s="392"/>
      <c r="I2939" s="388"/>
      <c r="J2939" s="355"/>
    </row>
    <row r="2940" spans="1:10">
      <c r="A2940" s="350"/>
      <c r="B2940" s="386"/>
      <c r="C2940" s="392"/>
      <c r="D2940" s="392"/>
      <c r="E2940" s="392"/>
      <c r="F2940" s="392"/>
      <c r="G2940" s="392"/>
      <c r="H2940" s="392"/>
      <c r="I2940" s="388"/>
      <c r="J2940" s="355"/>
    </row>
    <row r="2941" spans="1:10">
      <c r="A2941" s="383" t="s">
        <v>1702</v>
      </c>
      <c r="B2941" s="384"/>
      <c r="C2941" s="412">
        <f>C2942+C2943</f>
        <v>7.2</v>
      </c>
      <c r="D2941" s="412">
        <f t="shared" si="798"/>
        <v>1.5840000000000001</v>
      </c>
      <c r="E2941" s="412">
        <v>0.18</v>
      </c>
      <c r="F2941" s="412">
        <f t="shared" si="800"/>
        <v>6.48</v>
      </c>
      <c r="G2941" s="412">
        <f t="shared" si="795"/>
        <v>15.443999999999999</v>
      </c>
      <c r="H2941" s="412">
        <f t="shared" si="796"/>
        <v>5.4053999999999993</v>
      </c>
      <c r="I2941" s="348">
        <f t="shared" si="799"/>
        <v>20.849399999999999</v>
      </c>
      <c r="J2941" s="355"/>
    </row>
    <row r="2942" spans="1:10">
      <c r="A2942" s="386" t="s">
        <v>1692</v>
      </c>
      <c r="B2942" s="386">
        <v>10</v>
      </c>
      <c r="C2942" s="392">
        <v>4.5</v>
      </c>
      <c r="D2942" s="392">
        <f t="shared" si="798"/>
        <v>0.99</v>
      </c>
      <c r="E2942" s="392"/>
      <c r="F2942" s="392">
        <f t="shared" si="800"/>
        <v>4.05</v>
      </c>
      <c r="G2942" s="392"/>
      <c r="H2942" s="392"/>
      <c r="I2942" s="388"/>
      <c r="J2942" s="355"/>
    </row>
    <row r="2943" spans="1:10">
      <c r="A2943" s="386" t="s">
        <v>385</v>
      </c>
      <c r="B2943" s="386">
        <v>5</v>
      </c>
      <c r="C2943" s="392">
        <v>2.7</v>
      </c>
      <c r="D2943" s="392">
        <f t="shared" si="798"/>
        <v>0.59400000000000008</v>
      </c>
      <c r="E2943" s="392"/>
      <c r="F2943" s="392">
        <f t="shared" si="800"/>
        <v>2.4300000000000002</v>
      </c>
      <c r="G2943" s="392"/>
      <c r="H2943" s="392"/>
      <c r="I2943" s="388"/>
      <c r="J2943" s="355"/>
    </row>
    <row r="2944" spans="1:10">
      <c r="A2944" s="350"/>
      <c r="B2944" s="386"/>
      <c r="C2944" s="392"/>
      <c r="D2944" s="392"/>
      <c r="E2944" s="392"/>
      <c r="F2944" s="392"/>
      <c r="G2944" s="392"/>
      <c r="H2944" s="392"/>
      <c r="I2944" s="388"/>
      <c r="J2944" s="355"/>
    </row>
    <row r="2945" spans="1:10">
      <c r="A2945" s="383" t="s">
        <v>1703</v>
      </c>
      <c r="B2945" s="384"/>
      <c r="C2945" s="412">
        <f>C2946+C2947</f>
        <v>7.2</v>
      </c>
      <c r="D2945" s="412">
        <f t="shared" si="798"/>
        <v>1.5840000000000001</v>
      </c>
      <c r="E2945" s="412">
        <v>0.18</v>
      </c>
      <c r="F2945" s="412">
        <f t="shared" si="800"/>
        <v>6.48</v>
      </c>
      <c r="G2945" s="412">
        <f t="shared" si="795"/>
        <v>15.443999999999999</v>
      </c>
      <c r="H2945" s="412">
        <f t="shared" si="796"/>
        <v>5.4053999999999993</v>
      </c>
      <c r="I2945" s="348">
        <f t="shared" si="799"/>
        <v>20.849399999999999</v>
      </c>
      <c r="J2945" s="355"/>
    </row>
    <row r="2946" spans="1:10">
      <c r="A2946" s="386" t="s">
        <v>1692</v>
      </c>
      <c r="B2946" s="386">
        <v>10</v>
      </c>
      <c r="C2946" s="392">
        <v>4.5</v>
      </c>
      <c r="D2946" s="392">
        <f t="shared" si="798"/>
        <v>0.99</v>
      </c>
      <c r="E2946" s="392"/>
      <c r="F2946" s="392">
        <f t="shared" si="800"/>
        <v>4.05</v>
      </c>
      <c r="G2946" s="392"/>
      <c r="H2946" s="392"/>
      <c r="I2946" s="388"/>
      <c r="J2946" s="355"/>
    </row>
    <row r="2947" spans="1:10">
      <c r="A2947" s="386" t="s">
        <v>385</v>
      </c>
      <c r="B2947" s="386">
        <v>5</v>
      </c>
      <c r="C2947" s="392">
        <v>2.7</v>
      </c>
      <c r="D2947" s="392">
        <f t="shared" si="798"/>
        <v>0.59400000000000008</v>
      </c>
      <c r="E2947" s="392"/>
      <c r="F2947" s="392">
        <f t="shared" si="800"/>
        <v>2.4300000000000002</v>
      </c>
      <c r="G2947" s="392"/>
      <c r="H2947" s="392"/>
      <c r="I2947" s="388"/>
      <c r="J2947" s="355"/>
    </row>
    <row r="2948" spans="1:10">
      <c r="A2948" s="350"/>
      <c r="B2948" s="386"/>
      <c r="C2948" s="392"/>
      <c r="D2948" s="392"/>
      <c r="E2948" s="392"/>
      <c r="F2948" s="392"/>
      <c r="G2948" s="392"/>
      <c r="H2948" s="392"/>
      <c r="I2948" s="388"/>
      <c r="J2948" s="355"/>
    </row>
    <row r="2949" spans="1:10">
      <c r="A2949" s="383" t="s">
        <v>1704</v>
      </c>
      <c r="B2949" s="384"/>
      <c r="C2949" s="412">
        <f>C2950+C2951</f>
        <v>10.53</v>
      </c>
      <c r="D2949" s="412">
        <f t="shared" si="798"/>
        <v>2.3165999999999998</v>
      </c>
      <c r="E2949" s="412">
        <v>0.18</v>
      </c>
      <c r="F2949" s="412">
        <f t="shared" si="800"/>
        <v>9.4770000000000003</v>
      </c>
      <c r="G2949" s="412">
        <f t="shared" si="795"/>
        <v>22.503599999999999</v>
      </c>
      <c r="H2949" s="412">
        <f t="shared" si="796"/>
        <v>7.8762599999999994</v>
      </c>
      <c r="I2949" s="348">
        <f t="shared" si="799"/>
        <v>30.379859999999997</v>
      </c>
      <c r="J2949" s="355"/>
    </row>
    <row r="2950" spans="1:10">
      <c r="A2950" s="386" t="s">
        <v>1692</v>
      </c>
      <c r="B2950" s="386">
        <v>15</v>
      </c>
      <c r="C2950" s="392">
        <v>6.75</v>
      </c>
      <c r="D2950" s="392">
        <f t="shared" si="798"/>
        <v>1.4850000000000001</v>
      </c>
      <c r="E2950" s="392"/>
      <c r="F2950" s="392">
        <f t="shared" si="800"/>
        <v>6.0750000000000002</v>
      </c>
      <c r="G2950" s="392"/>
      <c r="H2950" s="392"/>
      <c r="I2950" s="388"/>
      <c r="J2950" s="355"/>
    </row>
    <row r="2951" spans="1:10">
      <c r="A2951" s="386" t="s">
        <v>385</v>
      </c>
      <c r="B2951" s="386">
        <v>7</v>
      </c>
      <c r="C2951" s="392">
        <v>3.78</v>
      </c>
      <c r="D2951" s="392">
        <f t="shared" si="798"/>
        <v>0.83160000000000001</v>
      </c>
      <c r="E2951" s="392"/>
      <c r="F2951" s="392">
        <f t="shared" si="800"/>
        <v>3.4019999999999997</v>
      </c>
      <c r="G2951" s="392"/>
      <c r="H2951" s="392"/>
      <c r="I2951" s="388"/>
      <c r="J2951" s="355"/>
    </row>
    <row r="2952" spans="1:10">
      <c r="A2952" s="350"/>
      <c r="B2952" s="386"/>
      <c r="C2952" s="392"/>
      <c r="D2952" s="392"/>
      <c r="E2952" s="392"/>
      <c r="F2952" s="392"/>
      <c r="G2952" s="392"/>
      <c r="H2952" s="392"/>
      <c r="I2952" s="388"/>
      <c r="J2952" s="355"/>
    </row>
    <row r="2953" spans="1:10">
      <c r="A2953" s="383" t="s">
        <v>1705</v>
      </c>
      <c r="B2953" s="384"/>
      <c r="C2953" s="412">
        <f>C2954+C2955</f>
        <v>21.6</v>
      </c>
      <c r="D2953" s="412">
        <f t="shared" si="798"/>
        <v>4.7520000000000007</v>
      </c>
      <c r="E2953" s="412">
        <v>0.18</v>
      </c>
      <c r="F2953" s="412">
        <f t="shared" si="800"/>
        <v>19.440000000000001</v>
      </c>
      <c r="G2953" s="412">
        <f t="shared" si="795"/>
        <v>45.972000000000001</v>
      </c>
      <c r="H2953" s="412">
        <f t="shared" si="796"/>
        <v>16.090199999999999</v>
      </c>
      <c r="I2953" s="348">
        <f t="shared" si="799"/>
        <v>62.062200000000004</v>
      </c>
      <c r="J2953" s="355"/>
    </row>
    <row r="2954" spans="1:10">
      <c r="A2954" s="386" t="s">
        <v>1692</v>
      </c>
      <c r="B2954" s="386">
        <v>30</v>
      </c>
      <c r="C2954" s="392">
        <v>13.5</v>
      </c>
      <c r="D2954" s="392">
        <f t="shared" si="798"/>
        <v>2.97</v>
      </c>
      <c r="E2954" s="392"/>
      <c r="F2954" s="392">
        <f t="shared" si="800"/>
        <v>12.15</v>
      </c>
      <c r="G2954" s="392"/>
      <c r="H2954" s="392"/>
      <c r="I2954" s="388"/>
      <c r="J2954" s="355"/>
    </row>
    <row r="2955" spans="1:10">
      <c r="A2955" s="386" t="s">
        <v>385</v>
      </c>
      <c r="B2955" s="386">
        <v>15</v>
      </c>
      <c r="C2955" s="392">
        <v>8.1</v>
      </c>
      <c r="D2955" s="392">
        <f t="shared" si="798"/>
        <v>1.782</v>
      </c>
      <c r="E2955" s="392"/>
      <c r="F2955" s="392">
        <f t="shared" si="800"/>
        <v>7.29</v>
      </c>
      <c r="G2955" s="392"/>
      <c r="H2955" s="392"/>
      <c r="I2955" s="388"/>
      <c r="J2955" s="355"/>
    </row>
    <row r="2956" spans="1:10">
      <c r="A2956" s="350"/>
      <c r="B2956" s="386"/>
      <c r="C2956" s="392"/>
      <c r="D2956" s="392"/>
      <c r="E2956" s="392"/>
      <c r="F2956" s="392"/>
      <c r="G2956" s="392"/>
      <c r="H2956" s="392"/>
      <c r="I2956" s="388"/>
      <c r="J2956" s="355"/>
    </row>
    <row r="2957" spans="1:10">
      <c r="A2957" s="445" t="s">
        <v>1706</v>
      </c>
      <c r="B2957" s="384"/>
      <c r="C2957" s="412">
        <f>C2958+C2959</f>
        <v>10.53</v>
      </c>
      <c r="D2957" s="412">
        <f t="shared" si="798"/>
        <v>2.3165999999999998</v>
      </c>
      <c r="E2957" s="412">
        <v>0.18</v>
      </c>
      <c r="F2957" s="412">
        <f t="shared" si="800"/>
        <v>9.4770000000000003</v>
      </c>
      <c r="G2957" s="412">
        <f t="shared" si="795"/>
        <v>22.503599999999999</v>
      </c>
      <c r="H2957" s="412">
        <f t="shared" si="796"/>
        <v>7.8762599999999994</v>
      </c>
      <c r="I2957" s="348">
        <f t="shared" si="799"/>
        <v>30.379859999999997</v>
      </c>
      <c r="J2957" s="355"/>
    </row>
    <row r="2958" spans="1:10">
      <c r="A2958" s="386" t="s">
        <v>1692</v>
      </c>
      <c r="B2958" s="386">
        <v>15</v>
      </c>
      <c r="C2958" s="392">
        <v>6.75</v>
      </c>
      <c r="D2958" s="392">
        <f t="shared" si="798"/>
        <v>1.4850000000000001</v>
      </c>
      <c r="E2958" s="392"/>
      <c r="F2958" s="392">
        <f t="shared" si="800"/>
        <v>6.0750000000000002</v>
      </c>
      <c r="G2958" s="392"/>
      <c r="H2958" s="392"/>
      <c r="I2958" s="388"/>
      <c r="J2958" s="355"/>
    </row>
    <row r="2959" spans="1:10">
      <c r="A2959" s="386" t="s">
        <v>385</v>
      </c>
      <c r="B2959" s="386">
        <v>7</v>
      </c>
      <c r="C2959" s="392">
        <v>3.78</v>
      </c>
      <c r="D2959" s="392">
        <f t="shared" si="798"/>
        <v>0.83160000000000001</v>
      </c>
      <c r="E2959" s="392"/>
      <c r="F2959" s="392">
        <f t="shared" si="800"/>
        <v>3.4019999999999997</v>
      </c>
      <c r="G2959" s="392"/>
      <c r="H2959" s="392"/>
      <c r="I2959" s="388"/>
      <c r="J2959" s="355"/>
    </row>
    <row r="2960" spans="1:10">
      <c r="A2960" s="350"/>
      <c r="B2960" s="386"/>
      <c r="C2960" s="392"/>
      <c r="D2960" s="392"/>
      <c r="E2960" s="392"/>
      <c r="F2960" s="392"/>
      <c r="G2960" s="392"/>
      <c r="H2960" s="392"/>
      <c r="I2960" s="388"/>
      <c r="J2960" s="355"/>
    </row>
    <row r="2961" spans="1:10">
      <c r="A2961" s="383" t="s">
        <v>1707</v>
      </c>
      <c r="B2961" s="384"/>
      <c r="C2961" s="412">
        <f>C2962+C2963</f>
        <v>14.4</v>
      </c>
      <c r="D2961" s="412">
        <f t="shared" si="798"/>
        <v>3.1680000000000001</v>
      </c>
      <c r="E2961" s="412">
        <v>0.18</v>
      </c>
      <c r="F2961" s="412">
        <f t="shared" si="800"/>
        <v>12.96</v>
      </c>
      <c r="G2961" s="412">
        <f t="shared" si="795"/>
        <v>30.707999999999998</v>
      </c>
      <c r="H2961" s="412">
        <f t="shared" si="796"/>
        <v>10.747799999999998</v>
      </c>
      <c r="I2961" s="348">
        <f t="shared" si="799"/>
        <v>41.455799999999996</v>
      </c>
      <c r="J2961" s="355"/>
    </row>
    <row r="2962" spans="1:10">
      <c r="A2962" s="386" t="s">
        <v>1692</v>
      </c>
      <c r="B2962" s="386">
        <v>20</v>
      </c>
      <c r="C2962" s="392">
        <v>9</v>
      </c>
      <c r="D2962" s="392">
        <f t="shared" si="798"/>
        <v>1.98</v>
      </c>
      <c r="E2962" s="392"/>
      <c r="F2962" s="392">
        <f t="shared" si="800"/>
        <v>8.1</v>
      </c>
      <c r="G2962" s="392"/>
      <c r="H2962" s="392"/>
      <c r="I2962" s="388"/>
      <c r="J2962" s="355"/>
    </row>
    <row r="2963" spans="1:10">
      <c r="A2963" s="386" t="s">
        <v>385</v>
      </c>
      <c r="B2963" s="386">
        <v>10</v>
      </c>
      <c r="C2963" s="392">
        <v>5.4</v>
      </c>
      <c r="D2963" s="392">
        <f t="shared" si="798"/>
        <v>1.1880000000000002</v>
      </c>
      <c r="E2963" s="392"/>
      <c r="F2963" s="392">
        <f t="shared" si="800"/>
        <v>4.8600000000000003</v>
      </c>
      <c r="G2963" s="392"/>
      <c r="H2963" s="392"/>
      <c r="I2963" s="388"/>
      <c r="J2963" s="355"/>
    </row>
    <row r="2964" spans="1:10">
      <c r="A2964" s="350"/>
      <c r="B2964" s="386"/>
      <c r="C2964" s="392"/>
      <c r="D2964" s="392"/>
      <c r="E2964" s="392"/>
      <c r="F2964" s="392"/>
      <c r="G2964" s="392"/>
      <c r="H2964" s="392"/>
      <c r="I2964" s="388"/>
      <c r="J2964" s="355"/>
    </row>
    <row r="2965" spans="1:10">
      <c r="A2965" s="383" t="s">
        <v>1708</v>
      </c>
      <c r="B2965" s="384"/>
      <c r="C2965" s="412">
        <f>C2966+C2967</f>
        <v>7.2</v>
      </c>
      <c r="D2965" s="412">
        <f t="shared" si="798"/>
        <v>1.5840000000000001</v>
      </c>
      <c r="E2965" s="412">
        <v>0.18</v>
      </c>
      <c r="F2965" s="412">
        <f t="shared" si="800"/>
        <v>6.48</v>
      </c>
      <c r="G2965" s="412">
        <f t="shared" si="795"/>
        <v>15.443999999999999</v>
      </c>
      <c r="H2965" s="412">
        <f t="shared" si="796"/>
        <v>5.4053999999999993</v>
      </c>
      <c r="I2965" s="348">
        <f t="shared" si="799"/>
        <v>20.849399999999999</v>
      </c>
      <c r="J2965" s="355"/>
    </row>
    <row r="2966" spans="1:10">
      <c r="A2966" s="386" t="s">
        <v>1692</v>
      </c>
      <c r="B2966" s="386">
        <v>10</v>
      </c>
      <c r="C2966" s="392">
        <v>4.5</v>
      </c>
      <c r="D2966" s="392">
        <f t="shared" si="798"/>
        <v>0.99</v>
      </c>
      <c r="E2966" s="392"/>
      <c r="F2966" s="392">
        <f t="shared" si="800"/>
        <v>4.05</v>
      </c>
      <c r="G2966" s="392"/>
      <c r="H2966" s="392"/>
      <c r="I2966" s="388"/>
      <c r="J2966" s="355"/>
    </row>
    <row r="2967" spans="1:10">
      <c r="A2967" s="386" t="s">
        <v>385</v>
      </c>
      <c r="B2967" s="386">
        <v>5</v>
      </c>
      <c r="C2967" s="392">
        <v>2.7</v>
      </c>
      <c r="D2967" s="392">
        <f t="shared" si="798"/>
        <v>0.59400000000000008</v>
      </c>
      <c r="E2967" s="392"/>
      <c r="F2967" s="392">
        <f t="shared" si="800"/>
        <v>2.4300000000000002</v>
      </c>
      <c r="G2967" s="392"/>
      <c r="H2967" s="392"/>
      <c r="I2967" s="388"/>
      <c r="J2967" s="355"/>
    </row>
    <row r="2968" spans="1:10">
      <c r="A2968" s="350"/>
      <c r="B2968" s="386"/>
      <c r="C2968" s="392"/>
      <c r="D2968" s="392"/>
      <c r="E2968" s="392"/>
      <c r="F2968" s="392"/>
      <c r="G2968" s="392"/>
      <c r="H2968" s="392"/>
      <c r="I2968" s="388"/>
      <c r="J2968" s="355"/>
    </row>
    <row r="2969" spans="1:10">
      <c r="A2969" s="383" t="s">
        <v>1709</v>
      </c>
      <c r="B2969" s="384"/>
      <c r="C2969" s="412">
        <f>C2970+C2971</f>
        <v>7.2</v>
      </c>
      <c r="D2969" s="412">
        <f t="shared" si="798"/>
        <v>1.5840000000000001</v>
      </c>
      <c r="E2969" s="412">
        <v>0.18</v>
      </c>
      <c r="F2969" s="412">
        <f t="shared" si="800"/>
        <v>6.48</v>
      </c>
      <c r="G2969" s="412">
        <f t="shared" si="795"/>
        <v>15.443999999999999</v>
      </c>
      <c r="H2969" s="412">
        <f t="shared" si="796"/>
        <v>5.4053999999999993</v>
      </c>
      <c r="I2969" s="348">
        <f t="shared" si="799"/>
        <v>20.849399999999999</v>
      </c>
      <c r="J2969" s="355"/>
    </row>
    <row r="2970" spans="1:10">
      <c r="A2970" s="386" t="s">
        <v>1692</v>
      </c>
      <c r="B2970" s="386">
        <v>10</v>
      </c>
      <c r="C2970" s="392">
        <v>4.5</v>
      </c>
      <c r="D2970" s="392"/>
      <c r="E2970" s="392"/>
      <c r="F2970" s="392"/>
      <c r="G2970" s="392"/>
      <c r="H2970" s="392"/>
      <c r="I2970" s="388"/>
      <c r="J2970" s="355"/>
    </row>
    <row r="2971" spans="1:10">
      <c r="A2971" s="386" t="s">
        <v>385</v>
      </c>
      <c r="B2971" s="386">
        <v>5</v>
      </c>
      <c r="C2971" s="392">
        <v>2.7</v>
      </c>
      <c r="D2971" s="392">
        <f t="shared" si="798"/>
        <v>0.59400000000000008</v>
      </c>
      <c r="E2971" s="392"/>
      <c r="F2971" s="392"/>
      <c r="G2971" s="392"/>
      <c r="H2971" s="392"/>
      <c r="I2971" s="388"/>
      <c r="J2971" s="355"/>
    </row>
    <row r="2972" spans="1:10">
      <c r="A2972" s="350"/>
      <c r="B2972" s="386"/>
      <c r="C2972" s="392"/>
      <c r="D2972" s="392"/>
      <c r="E2972" s="392"/>
      <c r="F2972" s="392"/>
      <c r="G2972" s="392"/>
      <c r="H2972" s="392"/>
      <c r="I2972" s="388"/>
      <c r="J2972" s="355"/>
    </row>
    <row r="2973" spans="1:10">
      <c r="A2973" s="383" t="s">
        <v>1710</v>
      </c>
      <c r="B2973" s="384"/>
      <c r="C2973" s="412">
        <f>C2974+C2975</f>
        <v>7.2</v>
      </c>
      <c r="D2973" s="412">
        <f t="shared" si="798"/>
        <v>1.5840000000000001</v>
      </c>
      <c r="E2973" s="412">
        <v>0.18</v>
      </c>
      <c r="F2973" s="412">
        <f t="shared" si="800"/>
        <v>6.48</v>
      </c>
      <c r="G2973" s="412">
        <f t="shared" si="795"/>
        <v>15.443999999999999</v>
      </c>
      <c r="H2973" s="412">
        <f t="shared" si="796"/>
        <v>5.4053999999999993</v>
      </c>
      <c r="I2973" s="348">
        <f t="shared" si="799"/>
        <v>20.849399999999999</v>
      </c>
      <c r="J2973" s="355"/>
    </row>
    <row r="2974" spans="1:10">
      <c r="A2974" s="386" t="s">
        <v>1692</v>
      </c>
      <c r="B2974" s="386">
        <v>10</v>
      </c>
      <c r="C2974" s="392">
        <v>4.5</v>
      </c>
      <c r="D2974" s="392"/>
      <c r="E2974" s="392"/>
      <c r="F2974" s="392"/>
      <c r="G2974" s="392"/>
      <c r="H2974" s="392"/>
      <c r="I2974" s="388"/>
      <c r="J2974" s="355"/>
    </row>
    <row r="2975" spans="1:10">
      <c r="A2975" s="386" t="s">
        <v>385</v>
      </c>
      <c r="B2975" s="386">
        <v>5</v>
      </c>
      <c r="C2975" s="392">
        <v>2.7</v>
      </c>
      <c r="D2975" s="392">
        <f t="shared" si="798"/>
        <v>0.59400000000000008</v>
      </c>
      <c r="E2975" s="392"/>
      <c r="F2975" s="392"/>
      <c r="G2975" s="392"/>
      <c r="H2975" s="392"/>
      <c r="I2975" s="388"/>
      <c r="J2975" s="355"/>
    </row>
    <row r="2976" spans="1:10">
      <c r="A2976" s="350"/>
      <c r="B2976" s="386"/>
      <c r="C2976" s="392"/>
      <c r="D2976" s="392"/>
      <c r="E2976" s="392"/>
      <c r="F2976" s="392"/>
      <c r="G2976" s="392"/>
      <c r="H2976" s="392"/>
      <c r="I2976" s="388"/>
      <c r="J2976" s="355"/>
    </row>
    <row r="2977" spans="1:10">
      <c r="A2977" s="445" t="s">
        <v>1711</v>
      </c>
      <c r="B2977" s="384"/>
      <c r="C2977" s="412">
        <f>C2978+C2979</f>
        <v>7.2</v>
      </c>
      <c r="D2977" s="412">
        <f t="shared" si="798"/>
        <v>1.5840000000000001</v>
      </c>
      <c r="E2977" s="412">
        <v>0.18</v>
      </c>
      <c r="F2977" s="412">
        <f t="shared" si="800"/>
        <v>6.48</v>
      </c>
      <c r="G2977" s="412">
        <f t="shared" si="795"/>
        <v>15.443999999999999</v>
      </c>
      <c r="H2977" s="412">
        <f t="shared" si="796"/>
        <v>5.4053999999999993</v>
      </c>
      <c r="I2977" s="348">
        <f t="shared" si="799"/>
        <v>20.849399999999999</v>
      </c>
      <c r="J2977" s="355"/>
    </row>
    <row r="2978" spans="1:10">
      <c r="A2978" s="386" t="s">
        <v>1692</v>
      </c>
      <c r="B2978" s="386">
        <v>10</v>
      </c>
      <c r="C2978" s="392">
        <v>4.5</v>
      </c>
      <c r="D2978" s="392"/>
      <c r="E2978" s="392"/>
      <c r="F2978" s="392"/>
      <c r="G2978" s="392"/>
      <c r="H2978" s="392"/>
      <c r="I2978" s="388"/>
      <c r="J2978" s="355"/>
    </row>
    <row r="2979" spans="1:10">
      <c r="A2979" s="386" t="s">
        <v>385</v>
      </c>
      <c r="B2979" s="386">
        <v>5</v>
      </c>
      <c r="C2979" s="392">
        <v>2.7</v>
      </c>
      <c r="D2979" s="392">
        <f t="shared" si="798"/>
        <v>0.59400000000000008</v>
      </c>
      <c r="E2979" s="392"/>
      <c r="F2979" s="392"/>
      <c r="G2979" s="392"/>
      <c r="H2979" s="392"/>
      <c r="I2979" s="388"/>
      <c r="J2979" s="355"/>
    </row>
    <row r="2980" spans="1:10">
      <c r="A2980" s="350"/>
      <c r="B2980" s="386"/>
      <c r="C2980" s="392"/>
      <c r="D2980" s="392"/>
      <c r="E2980" s="392"/>
      <c r="F2980" s="392"/>
      <c r="G2980" s="392"/>
      <c r="H2980" s="392"/>
      <c r="I2980" s="388"/>
      <c r="J2980" s="355"/>
    </row>
    <row r="2981" spans="1:10">
      <c r="A2981" s="503" t="s">
        <v>1712</v>
      </c>
      <c r="B2981" s="504"/>
      <c r="C2981" s="412">
        <f>C2982+C2983+C2984</f>
        <v>7.2</v>
      </c>
      <c r="D2981" s="412">
        <f t="shared" ref="D2981:D2983" si="811">C2981*0.22</f>
        <v>1.5840000000000001</v>
      </c>
      <c r="E2981" s="505">
        <v>0.18</v>
      </c>
      <c r="F2981" s="412">
        <f t="shared" ref="F2981:F2983" si="812">C2981*0.9</f>
        <v>6.48</v>
      </c>
      <c r="G2981" s="412">
        <f t="shared" ref="G2981:G2983" si="813">F2981+E2981+D2981+C2981</f>
        <v>15.443999999999999</v>
      </c>
      <c r="H2981" s="412">
        <f t="shared" ref="H2981" si="814">G2981*0.35</f>
        <v>5.4053999999999993</v>
      </c>
      <c r="I2981" s="506">
        <f>G2981+H2981</f>
        <v>20.849399999999999</v>
      </c>
      <c r="J2981" s="355"/>
    </row>
    <row r="2982" spans="1:10">
      <c r="A2982" s="350" t="s">
        <v>1692</v>
      </c>
      <c r="B2982" s="350">
        <v>10</v>
      </c>
      <c r="C2982" s="392">
        <v>4.5</v>
      </c>
      <c r="D2982" s="392">
        <f t="shared" si="811"/>
        <v>0.99</v>
      </c>
      <c r="E2982" s="355"/>
      <c r="F2982" s="392">
        <f t="shared" si="812"/>
        <v>4.05</v>
      </c>
      <c r="G2982" s="392">
        <f t="shared" si="813"/>
        <v>9.5399999999999991</v>
      </c>
      <c r="H2982" s="392"/>
      <c r="I2982" s="354"/>
      <c r="J2982" s="355"/>
    </row>
    <row r="2983" spans="1:10">
      <c r="A2983" s="350" t="s">
        <v>1713</v>
      </c>
      <c r="B2983" s="350">
        <v>5</v>
      </c>
      <c r="C2983" s="392">
        <v>2.7</v>
      </c>
      <c r="D2983" s="392">
        <f t="shared" si="811"/>
        <v>0.59400000000000008</v>
      </c>
      <c r="E2983" s="355"/>
      <c r="F2983" s="392">
        <f t="shared" si="812"/>
        <v>2.4300000000000002</v>
      </c>
      <c r="G2983" s="392">
        <f t="shared" si="813"/>
        <v>5.7240000000000002</v>
      </c>
      <c r="H2983" s="392"/>
      <c r="I2983" s="354"/>
      <c r="J2983" s="355"/>
    </row>
    <row r="2984" spans="1:10">
      <c r="A2984" s="350"/>
      <c r="B2984" s="350"/>
      <c r="C2984" s="392"/>
      <c r="D2984" s="392"/>
      <c r="E2984" s="355"/>
      <c r="F2984" s="392"/>
      <c r="G2984" s="392"/>
      <c r="H2984" s="392"/>
      <c r="I2984" s="354"/>
      <c r="J2984" s="355"/>
    </row>
    <row r="2985" spans="1:10">
      <c r="A2985" s="345" t="s">
        <v>1714</v>
      </c>
      <c r="B2985" s="346"/>
      <c r="C2985" s="412">
        <f>C2986+C2987+C2988</f>
        <v>21.6</v>
      </c>
      <c r="D2985" s="412">
        <f t="shared" ref="D2985:D2987" si="815">C2985*0.22</f>
        <v>4.7520000000000007</v>
      </c>
      <c r="E2985" s="359">
        <v>0.18</v>
      </c>
      <c r="F2985" s="412">
        <f t="shared" ref="F2985:F2987" si="816">C2985*0.9</f>
        <v>19.440000000000001</v>
      </c>
      <c r="G2985" s="412">
        <f t="shared" ref="G2985:G2987" si="817">F2985+E2985+D2985+C2985</f>
        <v>45.972000000000001</v>
      </c>
      <c r="H2985" s="412">
        <f t="shared" ref="H2985" si="818">G2985*0.35</f>
        <v>16.090199999999999</v>
      </c>
      <c r="I2985" s="348">
        <f>G2985+H2985</f>
        <v>62.062200000000004</v>
      </c>
      <c r="J2985" s="355"/>
    </row>
    <row r="2986" spans="1:10">
      <c r="A2986" s="350" t="s">
        <v>1692</v>
      </c>
      <c r="B2986" s="350">
        <v>30</v>
      </c>
      <c r="C2986" s="391">
        <v>13.5</v>
      </c>
      <c r="D2986" s="392">
        <f t="shared" si="815"/>
        <v>2.97</v>
      </c>
      <c r="E2986" s="355"/>
      <c r="F2986" s="392">
        <f t="shared" si="816"/>
        <v>12.15</v>
      </c>
      <c r="G2986" s="392">
        <f t="shared" si="817"/>
        <v>28.62</v>
      </c>
      <c r="H2986" s="392"/>
      <c r="I2986" s="354"/>
      <c r="J2986" s="355"/>
    </row>
    <row r="2987" spans="1:10">
      <c r="A2987" s="350" t="s">
        <v>1713</v>
      </c>
      <c r="B2987" s="350">
        <v>15</v>
      </c>
      <c r="C2987" s="391">
        <v>8.1</v>
      </c>
      <c r="D2987" s="392">
        <f t="shared" si="815"/>
        <v>1.782</v>
      </c>
      <c r="E2987" s="355"/>
      <c r="F2987" s="392">
        <f t="shared" si="816"/>
        <v>7.29</v>
      </c>
      <c r="G2987" s="392">
        <f t="shared" si="817"/>
        <v>17.171999999999997</v>
      </c>
      <c r="H2987" s="392"/>
      <c r="I2987" s="354"/>
      <c r="J2987" s="355"/>
    </row>
    <row r="2988" spans="1:10">
      <c r="A2988" s="350"/>
      <c r="B2988" s="350"/>
      <c r="C2988" s="391"/>
      <c r="D2988" s="392"/>
      <c r="E2988" s="355"/>
      <c r="F2988" s="392"/>
      <c r="G2988" s="392"/>
      <c r="H2988" s="392"/>
      <c r="I2988" s="354"/>
      <c r="J2988" s="355"/>
    </row>
    <row r="2989" spans="1:10">
      <c r="A2989" s="345" t="s">
        <v>473</v>
      </c>
      <c r="B2989" s="346"/>
      <c r="C2989" s="412">
        <f>C2990+C2991+C2992</f>
        <v>21.6</v>
      </c>
      <c r="D2989" s="412">
        <f t="shared" ref="D2989:D2995" si="819">C2989*0.22</f>
        <v>4.7520000000000007</v>
      </c>
      <c r="E2989" s="359">
        <v>0.18</v>
      </c>
      <c r="F2989" s="412">
        <f t="shared" ref="F2989:F2995" si="820">C2989*0.9</f>
        <v>19.440000000000001</v>
      </c>
      <c r="G2989" s="412">
        <f t="shared" ref="G2989:G2995" si="821">F2989+E2989+D2989+C2989</f>
        <v>45.972000000000001</v>
      </c>
      <c r="H2989" s="412">
        <f t="shared" ref="H2989" si="822">G2989*0.35</f>
        <v>16.090199999999999</v>
      </c>
      <c r="I2989" s="348">
        <f>G2989+H2989</f>
        <v>62.062200000000004</v>
      </c>
      <c r="J2989" s="355"/>
    </row>
    <row r="2990" spans="1:10">
      <c r="A2990" s="350" t="s">
        <v>1692</v>
      </c>
      <c r="B2990" s="350">
        <v>30</v>
      </c>
      <c r="C2990" s="391">
        <v>13.5</v>
      </c>
      <c r="D2990" s="392">
        <f t="shared" si="819"/>
        <v>2.97</v>
      </c>
      <c r="E2990" s="355"/>
      <c r="F2990" s="392">
        <f t="shared" si="820"/>
        <v>12.15</v>
      </c>
      <c r="G2990" s="392">
        <f t="shared" si="821"/>
        <v>28.62</v>
      </c>
      <c r="H2990" s="392"/>
      <c r="I2990" s="354"/>
      <c r="J2990" s="355"/>
    </row>
    <row r="2991" spans="1:10">
      <c r="A2991" s="350" t="s">
        <v>1713</v>
      </c>
      <c r="B2991" s="350">
        <v>15</v>
      </c>
      <c r="C2991" s="391">
        <v>8.1</v>
      </c>
      <c r="D2991" s="392">
        <f t="shared" si="819"/>
        <v>1.782</v>
      </c>
      <c r="E2991" s="355"/>
      <c r="F2991" s="392">
        <f t="shared" si="820"/>
        <v>7.29</v>
      </c>
      <c r="G2991" s="392">
        <f t="shared" si="821"/>
        <v>17.171999999999997</v>
      </c>
      <c r="H2991" s="392"/>
      <c r="I2991" s="354"/>
      <c r="J2991" s="355"/>
    </row>
    <row r="2992" spans="1:10">
      <c r="A2992" s="350"/>
      <c r="B2992" s="350"/>
      <c r="C2992" s="391"/>
      <c r="D2992" s="392"/>
      <c r="E2992" s="355"/>
      <c r="F2992" s="392"/>
      <c r="G2992" s="392"/>
      <c r="H2992" s="392"/>
      <c r="I2992" s="354"/>
      <c r="J2992" s="355"/>
    </row>
    <row r="2993" spans="1:10">
      <c r="A2993" s="503" t="s">
        <v>1715</v>
      </c>
      <c r="B2993" s="504"/>
      <c r="C2993" s="412">
        <f>C2994+C2995+C2996</f>
        <v>7.2</v>
      </c>
      <c r="D2993" s="412">
        <f t="shared" si="819"/>
        <v>1.5840000000000001</v>
      </c>
      <c r="E2993" s="505">
        <v>0.18</v>
      </c>
      <c r="F2993" s="412">
        <f t="shared" si="820"/>
        <v>6.48</v>
      </c>
      <c r="G2993" s="412">
        <f t="shared" si="821"/>
        <v>15.443999999999999</v>
      </c>
      <c r="H2993" s="412">
        <f t="shared" ref="H2993" si="823">G2993*0.35</f>
        <v>5.4053999999999993</v>
      </c>
      <c r="I2993" s="506">
        <f>G2993+H2993</f>
        <v>20.849399999999999</v>
      </c>
      <c r="J2993" s="355"/>
    </row>
    <row r="2994" spans="1:10">
      <c r="A2994" s="350" t="s">
        <v>1692</v>
      </c>
      <c r="B2994" s="350">
        <v>10</v>
      </c>
      <c r="C2994" s="392">
        <v>4.5</v>
      </c>
      <c r="D2994" s="392">
        <f t="shared" si="819"/>
        <v>0.99</v>
      </c>
      <c r="E2994" s="355"/>
      <c r="F2994" s="392">
        <f t="shared" si="820"/>
        <v>4.05</v>
      </c>
      <c r="G2994" s="392">
        <f t="shared" si="821"/>
        <v>9.5399999999999991</v>
      </c>
      <c r="H2994" s="392"/>
      <c r="I2994" s="354"/>
      <c r="J2994" s="355"/>
    </row>
    <row r="2995" spans="1:10">
      <c r="A2995" s="350" t="s">
        <v>1713</v>
      </c>
      <c r="B2995" s="350">
        <v>5</v>
      </c>
      <c r="C2995" s="392">
        <v>2.7</v>
      </c>
      <c r="D2995" s="392">
        <f t="shared" si="819"/>
        <v>0.59400000000000008</v>
      </c>
      <c r="E2995" s="355"/>
      <c r="F2995" s="392">
        <f t="shared" si="820"/>
        <v>2.4300000000000002</v>
      </c>
      <c r="G2995" s="392">
        <f t="shared" si="821"/>
        <v>5.7240000000000002</v>
      </c>
      <c r="H2995" s="392"/>
      <c r="I2995" s="354"/>
      <c r="J2995" s="355"/>
    </row>
    <row r="2996" spans="1:10">
      <c r="A2996" s="350"/>
      <c r="B2996" s="350"/>
      <c r="C2996" s="392"/>
      <c r="D2996" s="392"/>
      <c r="E2996" s="355"/>
      <c r="F2996" s="392"/>
      <c r="G2996" s="392"/>
      <c r="H2996" s="392"/>
      <c r="I2996" s="354"/>
      <c r="J2996" s="355"/>
    </row>
    <row r="2997" spans="1:10">
      <c r="A2997" s="345" t="s">
        <v>1716</v>
      </c>
      <c r="B2997" s="346"/>
      <c r="C2997" s="412">
        <f>C2998+C2999+C3000</f>
        <v>14.4</v>
      </c>
      <c r="D2997" s="412">
        <f t="shared" ref="D2997:D2999" si="824">C2997*0.22</f>
        <v>3.1680000000000001</v>
      </c>
      <c r="E2997" s="359">
        <v>0.18</v>
      </c>
      <c r="F2997" s="412">
        <f t="shared" ref="F2997:F2999" si="825">C2997*0.9</f>
        <v>12.96</v>
      </c>
      <c r="G2997" s="412">
        <f t="shared" ref="G2997:G2999" si="826">F2997+E2997+D2997+C2997</f>
        <v>30.707999999999998</v>
      </c>
      <c r="H2997" s="412">
        <f t="shared" ref="H2997" si="827">G2997*0.35</f>
        <v>10.747799999999998</v>
      </c>
      <c r="I2997" s="348">
        <f>G2997+H2997</f>
        <v>41.455799999999996</v>
      </c>
      <c r="J2997" s="355"/>
    </row>
    <row r="2998" spans="1:10">
      <c r="A2998" s="350" t="s">
        <v>1692</v>
      </c>
      <c r="B2998" s="350">
        <v>20</v>
      </c>
      <c r="C2998" s="392">
        <v>9</v>
      </c>
      <c r="D2998" s="392">
        <f t="shared" si="824"/>
        <v>1.98</v>
      </c>
      <c r="E2998" s="355"/>
      <c r="F2998" s="392">
        <f t="shared" si="825"/>
        <v>8.1</v>
      </c>
      <c r="G2998" s="392">
        <f t="shared" si="826"/>
        <v>19.079999999999998</v>
      </c>
      <c r="H2998" s="392"/>
      <c r="I2998" s="354"/>
      <c r="J2998" s="355"/>
    </row>
    <row r="2999" spans="1:10">
      <c r="A2999" s="350" t="s">
        <v>1713</v>
      </c>
      <c r="B2999" s="350">
        <v>10</v>
      </c>
      <c r="C2999" s="392">
        <v>5.4</v>
      </c>
      <c r="D2999" s="392">
        <f t="shared" si="824"/>
        <v>1.1880000000000002</v>
      </c>
      <c r="E2999" s="355"/>
      <c r="F2999" s="392">
        <f t="shared" si="825"/>
        <v>4.8600000000000003</v>
      </c>
      <c r="G2999" s="392">
        <f t="shared" si="826"/>
        <v>11.448</v>
      </c>
      <c r="H2999" s="392"/>
      <c r="I2999" s="354"/>
      <c r="J2999" s="355"/>
    </row>
    <row r="3000" spans="1:10">
      <c r="A3000" s="350"/>
      <c r="B3000" s="507"/>
      <c r="C3000" s="392"/>
      <c r="D3000" s="392"/>
      <c r="E3000" s="508"/>
      <c r="F3000" s="392"/>
      <c r="G3000" s="392"/>
      <c r="H3000" s="392"/>
      <c r="I3000" s="509"/>
      <c r="J3000" s="355"/>
    </row>
    <row r="3001" spans="1:10">
      <c r="A3001" s="383" t="s">
        <v>1717</v>
      </c>
      <c r="B3001" s="384"/>
      <c r="C3001" s="412">
        <f>C3002+C3003+C3004</f>
        <v>21.6</v>
      </c>
      <c r="D3001" s="412">
        <f t="shared" ref="D3001:D3003" si="828">C3001*0.22</f>
        <v>4.7520000000000007</v>
      </c>
      <c r="E3001" s="412">
        <v>0.18</v>
      </c>
      <c r="F3001" s="412">
        <f t="shared" ref="F3001:F3003" si="829">C3001*0.9</f>
        <v>19.440000000000001</v>
      </c>
      <c r="G3001" s="412">
        <f t="shared" ref="G3001" si="830">F3001+E3001+D3001+C3001</f>
        <v>45.972000000000001</v>
      </c>
      <c r="H3001" s="412">
        <f t="shared" ref="H3001" si="831">G3001*0.35</f>
        <v>16.090199999999999</v>
      </c>
      <c r="I3001" s="348">
        <f t="shared" ref="I3001" si="832">G3001+H3001</f>
        <v>62.062200000000004</v>
      </c>
      <c r="J3001" s="355"/>
    </row>
    <row r="3002" spans="1:10">
      <c r="A3002" s="386" t="s">
        <v>1692</v>
      </c>
      <c r="B3002" s="386">
        <v>30</v>
      </c>
      <c r="C3002" s="392">
        <v>13.5</v>
      </c>
      <c r="D3002" s="392">
        <f t="shared" si="828"/>
        <v>2.97</v>
      </c>
      <c r="E3002" s="392"/>
      <c r="F3002" s="392">
        <f t="shared" si="829"/>
        <v>12.15</v>
      </c>
      <c r="G3002" s="392"/>
      <c r="H3002" s="392"/>
      <c r="I3002" s="388"/>
      <c r="J3002" s="355"/>
    </row>
    <row r="3003" spans="1:10">
      <c r="A3003" s="386" t="s">
        <v>385</v>
      </c>
      <c r="B3003" s="386">
        <v>15</v>
      </c>
      <c r="C3003" s="392">
        <v>8.1</v>
      </c>
      <c r="D3003" s="392">
        <f t="shared" si="828"/>
        <v>1.782</v>
      </c>
      <c r="E3003" s="392"/>
      <c r="F3003" s="392">
        <f t="shared" si="829"/>
        <v>7.29</v>
      </c>
      <c r="G3003" s="392"/>
      <c r="H3003" s="392"/>
      <c r="I3003" s="388"/>
      <c r="J3003" s="355"/>
    </row>
    <row r="3004" spans="1:10">
      <c r="A3004" s="350"/>
      <c r="B3004" s="386"/>
      <c r="C3004" s="392"/>
      <c r="D3004" s="392"/>
      <c r="E3004" s="392"/>
      <c r="F3004" s="392"/>
      <c r="G3004" s="392"/>
      <c r="H3004" s="392"/>
      <c r="I3004" s="388"/>
      <c r="J3004" s="355"/>
    </row>
    <row r="3005" spans="1:10">
      <c r="A3005" s="383" t="s">
        <v>1718</v>
      </c>
      <c r="B3005" s="384"/>
      <c r="C3005" s="412">
        <f>C3006+C3007+C3008</f>
        <v>32.130000000000003</v>
      </c>
      <c r="D3005" s="412">
        <f t="shared" ref="D3005:D3007" si="833">C3005*0.22</f>
        <v>7.0686000000000009</v>
      </c>
      <c r="E3005" s="412">
        <v>0.18</v>
      </c>
      <c r="F3005" s="412">
        <f t="shared" ref="F3005:F3007" si="834">C3005*0.9</f>
        <v>28.917000000000002</v>
      </c>
      <c r="G3005" s="412">
        <f t="shared" ref="G3005" si="835">F3005+E3005+D3005+C3005</f>
        <v>68.295600000000007</v>
      </c>
      <c r="H3005" s="412">
        <f t="shared" ref="H3005" si="836">G3005*0.35</f>
        <v>23.903460000000003</v>
      </c>
      <c r="I3005" s="348">
        <f t="shared" ref="I3005" si="837">G3005+H3005</f>
        <v>92.199060000000003</v>
      </c>
      <c r="J3005" s="355"/>
    </row>
    <row r="3006" spans="1:10">
      <c r="A3006" s="386" t="s">
        <v>1692</v>
      </c>
      <c r="B3006" s="386">
        <v>45</v>
      </c>
      <c r="C3006" s="392">
        <v>20.25</v>
      </c>
      <c r="D3006" s="392">
        <f t="shared" si="833"/>
        <v>4.4550000000000001</v>
      </c>
      <c r="E3006" s="392"/>
      <c r="F3006" s="392">
        <f t="shared" si="834"/>
        <v>18.225000000000001</v>
      </c>
      <c r="G3006" s="392"/>
      <c r="H3006" s="392"/>
      <c r="I3006" s="388"/>
      <c r="J3006" s="355"/>
    </row>
    <row r="3007" spans="1:10">
      <c r="A3007" s="386" t="s">
        <v>385</v>
      </c>
      <c r="B3007" s="386">
        <v>22</v>
      </c>
      <c r="C3007" s="392">
        <v>11.88</v>
      </c>
      <c r="D3007" s="392">
        <f t="shared" si="833"/>
        <v>2.6136000000000004</v>
      </c>
      <c r="E3007" s="392"/>
      <c r="F3007" s="392">
        <f t="shared" si="834"/>
        <v>10.692</v>
      </c>
      <c r="G3007" s="392"/>
      <c r="H3007" s="392"/>
      <c r="I3007" s="388"/>
      <c r="J3007" s="355"/>
    </row>
    <row r="3008" spans="1:10">
      <c r="A3008" s="350"/>
      <c r="B3008" s="386"/>
      <c r="C3008" s="392"/>
      <c r="D3008" s="392"/>
      <c r="E3008" s="392"/>
      <c r="F3008" s="392"/>
      <c r="G3008" s="392"/>
      <c r="H3008" s="392"/>
      <c r="I3008" s="388"/>
      <c r="J3008" s="355"/>
    </row>
    <row r="3009" spans="1:10">
      <c r="A3009" s="383" t="s">
        <v>1719</v>
      </c>
      <c r="B3009" s="384"/>
      <c r="C3009" s="412">
        <f>C3010+C3011+C3012</f>
        <v>32.130000000000003</v>
      </c>
      <c r="D3009" s="412">
        <f t="shared" ref="D3009:D3015" si="838">C3009*0.22</f>
        <v>7.0686000000000009</v>
      </c>
      <c r="E3009" s="412">
        <v>0.18</v>
      </c>
      <c r="F3009" s="412">
        <f t="shared" ref="F3009:F3015" si="839">C3009*0.9</f>
        <v>28.917000000000002</v>
      </c>
      <c r="G3009" s="412">
        <f t="shared" ref="G3009" si="840">F3009+E3009+D3009+C3009</f>
        <v>68.295600000000007</v>
      </c>
      <c r="H3009" s="412">
        <f t="shared" ref="H3009" si="841">G3009*0.35</f>
        <v>23.903460000000003</v>
      </c>
      <c r="I3009" s="348">
        <f t="shared" ref="I3009" si="842">G3009+H3009</f>
        <v>92.199060000000003</v>
      </c>
      <c r="J3009" s="355"/>
    </row>
    <row r="3010" spans="1:10">
      <c r="A3010" s="386" t="s">
        <v>1692</v>
      </c>
      <c r="B3010" s="386">
        <v>45</v>
      </c>
      <c r="C3010" s="392">
        <v>20.25</v>
      </c>
      <c r="D3010" s="392">
        <f t="shared" si="838"/>
        <v>4.4550000000000001</v>
      </c>
      <c r="E3010" s="392"/>
      <c r="F3010" s="392">
        <f t="shared" si="839"/>
        <v>18.225000000000001</v>
      </c>
      <c r="G3010" s="392"/>
      <c r="H3010" s="392"/>
      <c r="I3010" s="388"/>
      <c r="J3010" s="355"/>
    </row>
    <row r="3011" spans="1:10">
      <c r="A3011" s="386" t="s">
        <v>385</v>
      </c>
      <c r="B3011" s="386">
        <v>22</v>
      </c>
      <c r="C3011" s="392">
        <v>11.88</v>
      </c>
      <c r="D3011" s="392">
        <f t="shared" si="838"/>
        <v>2.6136000000000004</v>
      </c>
      <c r="E3011" s="392"/>
      <c r="F3011" s="392">
        <f t="shared" si="839"/>
        <v>10.692</v>
      </c>
      <c r="G3011" s="392"/>
      <c r="H3011" s="392"/>
      <c r="I3011" s="388"/>
      <c r="J3011" s="355"/>
    </row>
    <row r="3012" spans="1:10">
      <c r="A3012" s="350"/>
      <c r="B3012" s="386"/>
      <c r="C3012" s="392"/>
      <c r="D3012" s="392"/>
      <c r="E3012" s="392"/>
      <c r="F3012" s="392"/>
      <c r="G3012" s="392"/>
      <c r="H3012" s="392"/>
      <c r="I3012" s="388"/>
      <c r="J3012" s="355"/>
    </row>
    <row r="3013" spans="1:10">
      <c r="A3013" s="383" t="s">
        <v>1720</v>
      </c>
      <c r="B3013" s="346"/>
      <c r="C3013" s="412">
        <f>C3014+C3015+C3016</f>
        <v>14.4</v>
      </c>
      <c r="D3013" s="412">
        <f t="shared" si="838"/>
        <v>3.1680000000000001</v>
      </c>
      <c r="E3013" s="359">
        <v>0.18</v>
      </c>
      <c r="F3013" s="412">
        <f t="shared" si="839"/>
        <v>12.96</v>
      </c>
      <c r="G3013" s="412">
        <f t="shared" ref="G3013:G3015" si="843">F3013+E3013+D3013+C3013</f>
        <v>30.707999999999998</v>
      </c>
      <c r="H3013" s="412">
        <f t="shared" ref="H3013" si="844">G3013*0.35</f>
        <v>10.747799999999998</v>
      </c>
      <c r="I3013" s="348">
        <f>G3013+H3013</f>
        <v>41.455799999999996</v>
      </c>
      <c r="J3013" s="355"/>
    </row>
    <row r="3014" spans="1:10">
      <c r="A3014" s="386" t="s">
        <v>1692</v>
      </c>
      <c r="B3014" s="350">
        <v>20</v>
      </c>
      <c r="C3014" s="392">
        <v>9</v>
      </c>
      <c r="D3014" s="392">
        <f t="shared" si="838"/>
        <v>1.98</v>
      </c>
      <c r="E3014" s="355"/>
      <c r="F3014" s="392">
        <f t="shared" si="839"/>
        <v>8.1</v>
      </c>
      <c r="G3014" s="392">
        <f t="shared" si="843"/>
        <v>19.079999999999998</v>
      </c>
      <c r="H3014" s="392"/>
      <c r="I3014" s="354"/>
      <c r="J3014" s="355"/>
    </row>
    <row r="3015" spans="1:10">
      <c r="A3015" s="386" t="s">
        <v>385</v>
      </c>
      <c r="B3015" s="350">
        <v>10</v>
      </c>
      <c r="C3015" s="392">
        <v>5.4</v>
      </c>
      <c r="D3015" s="392">
        <f t="shared" si="838"/>
        <v>1.1880000000000002</v>
      </c>
      <c r="E3015" s="355"/>
      <c r="F3015" s="392">
        <f t="shared" si="839"/>
        <v>4.8600000000000003</v>
      </c>
      <c r="G3015" s="392">
        <f t="shared" si="843"/>
        <v>11.448</v>
      </c>
      <c r="H3015" s="392"/>
      <c r="I3015" s="354"/>
      <c r="J3015" s="355"/>
    </row>
    <row r="3016" spans="1:10">
      <c r="A3016" s="350"/>
      <c r="B3016" s="507"/>
      <c r="C3016" s="392"/>
      <c r="D3016" s="392"/>
      <c r="E3016" s="508"/>
      <c r="F3016" s="392"/>
      <c r="G3016" s="392"/>
      <c r="H3016" s="392"/>
      <c r="I3016" s="509"/>
      <c r="J3016" s="355"/>
    </row>
    <row r="3017" spans="1:10" ht="21.75">
      <c r="A3017" s="383" t="s">
        <v>1721</v>
      </c>
      <c r="B3017" s="384"/>
      <c r="C3017" s="412">
        <f>C3018+C3019+C3020</f>
        <v>24.93</v>
      </c>
      <c r="D3017" s="412">
        <f t="shared" ref="D3017:D3027" si="845">C3017*0.22</f>
        <v>5.4846000000000004</v>
      </c>
      <c r="E3017" s="412">
        <v>0.18</v>
      </c>
      <c r="F3017" s="412">
        <f t="shared" ref="F3017:F3027" si="846">C3017*0.9</f>
        <v>22.437000000000001</v>
      </c>
      <c r="G3017" s="412">
        <f t="shared" ref="G3017" si="847">F3017+E3017+D3017+C3017</f>
        <v>53.031599999999997</v>
      </c>
      <c r="H3017" s="412">
        <f t="shared" ref="H3017" si="848">G3017*0.35</f>
        <v>18.561059999999998</v>
      </c>
      <c r="I3017" s="348">
        <f t="shared" ref="I3017" si="849">G3017+H3017</f>
        <v>71.592659999999995</v>
      </c>
      <c r="J3017" s="355"/>
    </row>
    <row r="3018" spans="1:10">
      <c r="A3018" s="386" t="s">
        <v>1692</v>
      </c>
      <c r="B3018" s="386">
        <v>35</v>
      </c>
      <c r="C3018" s="392">
        <v>15.75</v>
      </c>
      <c r="D3018" s="392">
        <f t="shared" si="845"/>
        <v>3.4649999999999999</v>
      </c>
      <c r="E3018" s="392"/>
      <c r="F3018" s="392">
        <f t="shared" si="846"/>
        <v>14.175000000000001</v>
      </c>
      <c r="G3018" s="392"/>
      <c r="H3018" s="392"/>
      <c r="I3018" s="388"/>
      <c r="J3018" s="355"/>
    </row>
    <row r="3019" spans="1:10">
      <c r="A3019" s="386" t="s">
        <v>385</v>
      </c>
      <c r="B3019" s="386">
        <v>17</v>
      </c>
      <c r="C3019" s="392">
        <v>9.18</v>
      </c>
      <c r="D3019" s="392">
        <f t="shared" si="845"/>
        <v>2.0196000000000001</v>
      </c>
      <c r="E3019" s="392"/>
      <c r="F3019" s="392">
        <f t="shared" si="846"/>
        <v>8.2620000000000005</v>
      </c>
      <c r="G3019" s="392"/>
      <c r="H3019" s="392"/>
      <c r="I3019" s="388"/>
      <c r="J3019" s="355"/>
    </row>
    <row r="3020" spans="1:10">
      <c r="A3020" s="350"/>
      <c r="B3020" s="386"/>
      <c r="C3020" s="392"/>
      <c r="D3020" s="392"/>
      <c r="E3020" s="392"/>
      <c r="F3020" s="392"/>
      <c r="G3020" s="392"/>
      <c r="H3020" s="392"/>
      <c r="I3020" s="388"/>
      <c r="J3020" s="355"/>
    </row>
    <row r="3021" spans="1:10">
      <c r="A3021" s="383" t="s">
        <v>1722</v>
      </c>
      <c r="B3021" s="384"/>
      <c r="C3021" s="412">
        <f>C3022+C3023+C3024</f>
        <v>32.130000000000003</v>
      </c>
      <c r="D3021" s="412">
        <f t="shared" si="845"/>
        <v>7.0686000000000009</v>
      </c>
      <c r="E3021" s="412">
        <v>0.18</v>
      </c>
      <c r="F3021" s="412">
        <f t="shared" si="846"/>
        <v>28.917000000000002</v>
      </c>
      <c r="G3021" s="412">
        <f t="shared" ref="G3021" si="850">F3021+E3021+D3021+C3021</f>
        <v>68.295600000000007</v>
      </c>
      <c r="H3021" s="412">
        <f t="shared" ref="H3021" si="851">G3021*0.35</f>
        <v>23.903460000000003</v>
      </c>
      <c r="I3021" s="348">
        <f t="shared" ref="I3021" si="852">G3021+H3021</f>
        <v>92.199060000000003</v>
      </c>
      <c r="J3021" s="355"/>
    </row>
    <row r="3022" spans="1:10">
      <c r="A3022" s="386" t="s">
        <v>1692</v>
      </c>
      <c r="B3022" s="386">
        <v>45</v>
      </c>
      <c r="C3022" s="392">
        <v>20.25</v>
      </c>
      <c r="D3022" s="392">
        <f t="shared" si="845"/>
        <v>4.4550000000000001</v>
      </c>
      <c r="E3022" s="392"/>
      <c r="F3022" s="392">
        <f t="shared" si="846"/>
        <v>18.225000000000001</v>
      </c>
      <c r="G3022" s="392"/>
      <c r="H3022" s="392"/>
      <c r="I3022" s="388"/>
      <c r="J3022" s="355"/>
    </row>
    <row r="3023" spans="1:10">
      <c r="A3023" s="386" t="s">
        <v>385</v>
      </c>
      <c r="B3023" s="386">
        <v>22</v>
      </c>
      <c r="C3023" s="392">
        <v>11.88</v>
      </c>
      <c r="D3023" s="392">
        <f t="shared" si="845"/>
        <v>2.6136000000000004</v>
      </c>
      <c r="E3023" s="392"/>
      <c r="F3023" s="392">
        <f t="shared" si="846"/>
        <v>10.692</v>
      </c>
      <c r="G3023" s="392"/>
      <c r="H3023" s="392"/>
      <c r="I3023" s="388"/>
      <c r="J3023" s="355"/>
    </row>
    <row r="3024" spans="1:10">
      <c r="A3024" s="350"/>
      <c r="B3024" s="386"/>
      <c r="C3024" s="392"/>
      <c r="D3024" s="392"/>
      <c r="E3024" s="392"/>
      <c r="F3024" s="392"/>
      <c r="G3024" s="392"/>
      <c r="H3024" s="392"/>
      <c r="I3024" s="388"/>
      <c r="J3024" s="355"/>
    </row>
    <row r="3025" spans="1:10">
      <c r="A3025" s="358" t="s">
        <v>1723</v>
      </c>
      <c r="B3025" s="359"/>
      <c r="C3025" s="412">
        <f>C3026+C3027+C3028</f>
        <v>17.73</v>
      </c>
      <c r="D3025" s="412">
        <f t="shared" si="845"/>
        <v>3.9006000000000003</v>
      </c>
      <c r="E3025" s="359">
        <v>0.18</v>
      </c>
      <c r="F3025" s="412">
        <f t="shared" si="846"/>
        <v>15.957000000000001</v>
      </c>
      <c r="G3025" s="412">
        <f t="shared" ref="G3025:G3027" si="853">F3025+E3025+D3025+C3025</f>
        <v>37.767600000000002</v>
      </c>
      <c r="H3025" s="412">
        <f t="shared" ref="H3025" si="854">G3025*0.35</f>
        <v>13.21866</v>
      </c>
      <c r="I3025" s="348">
        <f>G3025+H3025</f>
        <v>50.986260000000001</v>
      </c>
      <c r="J3025" s="355"/>
    </row>
    <row r="3026" spans="1:10">
      <c r="A3026" s="350" t="s">
        <v>1692</v>
      </c>
      <c r="B3026" s="360">
        <v>25</v>
      </c>
      <c r="C3026" s="392">
        <v>11.25</v>
      </c>
      <c r="D3026" s="392">
        <f t="shared" si="845"/>
        <v>2.4750000000000001</v>
      </c>
      <c r="E3026" s="355"/>
      <c r="F3026" s="392">
        <f t="shared" si="846"/>
        <v>10.125</v>
      </c>
      <c r="G3026" s="392">
        <f t="shared" si="853"/>
        <v>23.85</v>
      </c>
      <c r="H3026" s="392"/>
      <c r="I3026" s="354"/>
      <c r="J3026" s="355"/>
    </row>
    <row r="3027" spans="1:10">
      <c r="A3027" s="350" t="s">
        <v>1713</v>
      </c>
      <c r="B3027" s="360">
        <v>12</v>
      </c>
      <c r="C3027" s="392">
        <v>6.48</v>
      </c>
      <c r="D3027" s="392">
        <f t="shared" si="845"/>
        <v>1.4256000000000002</v>
      </c>
      <c r="E3027" s="355"/>
      <c r="F3027" s="392">
        <f t="shared" si="846"/>
        <v>5.8320000000000007</v>
      </c>
      <c r="G3027" s="392">
        <f t="shared" si="853"/>
        <v>13.7376</v>
      </c>
      <c r="H3027" s="392"/>
      <c r="I3027" s="354"/>
      <c r="J3027" s="355"/>
    </row>
    <row r="3028" spans="1:10">
      <c r="A3028" s="350"/>
      <c r="B3028" s="360"/>
      <c r="C3028" s="392"/>
      <c r="D3028" s="392"/>
      <c r="E3028" s="355"/>
      <c r="F3028" s="392"/>
      <c r="G3028" s="392"/>
      <c r="H3028" s="392"/>
      <c r="I3028" s="354"/>
      <c r="J3028" s="355"/>
    </row>
    <row r="3029" spans="1:10">
      <c r="A3029" s="383" t="s">
        <v>1724</v>
      </c>
      <c r="B3029" s="384"/>
      <c r="C3029" s="412">
        <f>C3030+C3031+C3032</f>
        <v>24.93</v>
      </c>
      <c r="D3029" s="412">
        <f t="shared" ref="D3029:D3035" si="855">C3029*0.22</f>
        <v>5.4846000000000004</v>
      </c>
      <c r="E3029" s="412">
        <v>0.18</v>
      </c>
      <c r="F3029" s="412">
        <f t="shared" ref="F3029:F3035" si="856">C3029*0.9</f>
        <v>22.437000000000001</v>
      </c>
      <c r="G3029" s="412">
        <f t="shared" ref="G3029" si="857">F3029+E3029+D3029+C3029</f>
        <v>53.031599999999997</v>
      </c>
      <c r="H3029" s="412">
        <f t="shared" ref="H3029" si="858">G3029*0.35</f>
        <v>18.561059999999998</v>
      </c>
      <c r="I3029" s="348">
        <f t="shared" ref="I3029" si="859">G3029+H3029</f>
        <v>71.592659999999995</v>
      </c>
      <c r="J3029" s="355"/>
    </row>
    <row r="3030" spans="1:10">
      <c r="A3030" s="386" t="s">
        <v>1692</v>
      </c>
      <c r="B3030" s="386">
        <v>35</v>
      </c>
      <c r="C3030" s="392">
        <v>15.75</v>
      </c>
      <c r="D3030" s="392">
        <f t="shared" si="855"/>
        <v>3.4649999999999999</v>
      </c>
      <c r="E3030" s="392"/>
      <c r="F3030" s="392">
        <f t="shared" si="856"/>
        <v>14.175000000000001</v>
      </c>
      <c r="G3030" s="392"/>
      <c r="H3030" s="392"/>
      <c r="I3030" s="388"/>
      <c r="J3030" s="355"/>
    </row>
    <row r="3031" spans="1:10">
      <c r="A3031" s="386" t="s">
        <v>385</v>
      </c>
      <c r="B3031" s="386">
        <v>17</v>
      </c>
      <c r="C3031" s="392">
        <v>9.18</v>
      </c>
      <c r="D3031" s="392">
        <f t="shared" si="855"/>
        <v>2.0196000000000001</v>
      </c>
      <c r="E3031" s="392"/>
      <c r="F3031" s="392">
        <f t="shared" si="856"/>
        <v>8.2620000000000005</v>
      </c>
      <c r="G3031" s="392"/>
      <c r="H3031" s="392"/>
      <c r="I3031" s="388"/>
      <c r="J3031" s="355"/>
    </row>
    <row r="3032" spans="1:10">
      <c r="A3032" s="350"/>
      <c r="B3032" s="386"/>
      <c r="C3032" s="392"/>
      <c r="D3032" s="392"/>
      <c r="E3032" s="392"/>
      <c r="F3032" s="392"/>
      <c r="G3032" s="392"/>
      <c r="H3032" s="392"/>
      <c r="I3032" s="388"/>
      <c r="J3032" s="355"/>
    </row>
    <row r="3033" spans="1:10">
      <c r="A3033" s="383" t="s">
        <v>1725</v>
      </c>
      <c r="B3033" s="384"/>
      <c r="C3033" s="412">
        <f>C3034+C3035+C3037</f>
        <v>32.130000000000003</v>
      </c>
      <c r="D3033" s="412">
        <f t="shared" si="855"/>
        <v>7.0686000000000009</v>
      </c>
      <c r="E3033" s="412">
        <v>0.18</v>
      </c>
      <c r="F3033" s="412">
        <f t="shared" si="856"/>
        <v>28.917000000000002</v>
      </c>
      <c r="G3033" s="412">
        <f t="shared" ref="G3033" si="860">F3033+E3033+D3033+C3033</f>
        <v>68.295600000000007</v>
      </c>
      <c r="H3033" s="412">
        <f t="shared" ref="H3033" si="861">G3033*0.35</f>
        <v>23.903460000000003</v>
      </c>
      <c r="I3033" s="348">
        <f t="shared" ref="I3033" si="862">G3033+H3033</f>
        <v>92.199060000000003</v>
      </c>
      <c r="J3033" s="355"/>
    </row>
    <row r="3034" spans="1:10">
      <c r="A3034" s="386" t="s">
        <v>1692</v>
      </c>
      <c r="B3034" s="386">
        <v>45</v>
      </c>
      <c r="C3034" s="392">
        <v>20.25</v>
      </c>
      <c r="D3034" s="392">
        <f t="shared" si="855"/>
        <v>4.4550000000000001</v>
      </c>
      <c r="E3034" s="392"/>
      <c r="F3034" s="392">
        <f t="shared" si="856"/>
        <v>18.225000000000001</v>
      </c>
      <c r="G3034" s="392"/>
      <c r="H3034" s="392"/>
      <c r="I3034" s="446"/>
      <c r="J3034" s="355"/>
    </row>
    <row r="3035" spans="1:10">
      <c r="A3035" s="386" t="s">
        <v>385</v>
      </c>
      <c r="B3035" s="386">
        <v>22</v>
      </c>
      <c r="C3035" s="392">
        <v>11.88</v>
      </c>
      <c r="D3035" s="392">
        <f t="shared" si="855"/>
        <v>2.6136000000000004</v>
      </c>
      <c r="E3035" s="392"/>
      <c r="F3035" s="392">
        <f t="shared" si="856"/>
        <v>10.692</v>
      </c>
      <c r="G3035" s="392"/>
      <c r="H3035" s="392"/>
      <c r="I3035" s="446"/>
      <c r="J3035" s="408"/>
    </row>
    <row r="3036" spans="1:10">
      <c r="A3036" s="386"/>
      <c r="B3036" s="386"/>
      <c r="C3036" s="392"/>
      <c r="D3036" s="392"/>
      <c r="E3036" s="392"/>
      <c r="F3036" s="392"/>
      <c r="G3036" s="392"/>
      <c r="H3036" s="392"/>
      <c r="I3036" s="446"/>
      <c r="J3036" s="408"/>
    </row>
    <row r="3037" spans="1:10">
      <c r="A3037" s="350"/>
      <c r="B3037" s="386"/>
      <c r="C3037" s="392"/>
      <c r="D3037" s="392"/>
      <c r="E3037" s="392"/>
      <c r="F3037" s="392"/>
      <c r="G3037" s="392"/>
      <c r="H3037" s="392"/>
      <c r="I3037" s="446"/>
      <c r="J3037" s="408"/>
    </row>
    <row r="3038" spans="1:10" ht="12.75">
      <c r="A3038" s="368" t="s">
        <v>1726</v>
      </c>
      <c r="B3038" s="369"/>
      <c r="C3038" s="369"/>
      <c r="D3038" s="369"/>
      <c r="E3038" s="369"/>
      <c r="F3038" s="369"/>
      <c r="G3038" s="369"/>
      <c r="H3038" s="369"/>
      <c r="I3038" s="369"/>
      <c r="J3038" s="370"/>
    </row>
    <row r="3039" spans="1:10">
      <c r="A3039" s="345" t="s">
        <v>1727</v>
      </c>
      <c r="B3039" s="510"/>
      <c r="C3039" s="412">
        <v>26.71</v>
      </c>
      <c r="D3039" s="412">
        <f>C3039*0.22</f>
        <v>5.8761999999999999</v>
      </c>
      <c r="E3039" s="359"/>
      <c r="F3039" s="412">
        <f t="shared" ref="F3039:F3065" si="863">C3039*0.9</f>
        <v>24.039000000000001</v>
      </c>
      <c r="G3039" s="412">
        <f t="shared" ref="G3039:G3065" si="864">F3039+E3039+D3039+C3039</f>
        <v>56.625200000000007</v>
      </c>
      <c r="H3039" s="412">
        <f t="shared" ref="H3039" si="865">G3039*0.35</f>
        <v>19.818820000000002</v>
      </c>
      <c r="I3039" s="413">
        <f t="shared" ref="I3039:I3065" si="866">G3039+H3039</f>
        <v>76.444020000000009</v>
      </c>
      <c r="J3039" s="349">
        <f>I3039+I3041+I3042</f>
        <v>169.17282</v>
      </c>
    </row>
    <row r="3040" spans="1:10">
      <c r="A3040" s="350" t="s">
        <v>1728</v>
      </c>
      <c r="B3040" s="511">
        <v>60</v>
      </c>
      <c r="C3040" s="391">
        <v>26.71</v>
      </c>
      <c r="D3040" s="392"/>
      <c r="E3040" s="355"/>
      <c r="F3040" s="392"/>
      <c r="G3040" s="392"/>
      <c r="H3040" s="392"/>
      <c r="I3040" s="393"/>
      <c r="J3040" s="353"/>
    </row>
    <row r="3041" spans="1:10">
      <c r="A3041" s="350" t="s">
        <v>1713</v>
      </c>
      <c r="B3041" s="512">
        <v>60</v>
      </c>
      <c r="C3041" s="386">
        <v>32.4</v>
      </c>
      <c r="D3041" s="392">
        <f t="shared" ref="D3041:D3047" si="867">C3041*0.22</f>
        <v>7.1280000000000001</v>
      </c>
      <c r="E3041" s="386"/>
      <c r="F3041" s="392">
        <f t="shared" si="863"/>
        <v>29.16</v>
      </c>
      <c r="G3041" s="392">
        <f t="shared" ref="G3041" si="868">F3041+E3041+D3041+C3041</f>
        <v>68.687999999999988</v>
      </c>
      <c r="H3041" s="392">
        <f t="shared" ref="H3041:H3043" si="869">G3041*0.35</f>
        <v>24.040799999999994</v>
      </c>
      <c r="I3041" s="393">
        <f t="shared" ref="I3041" si="870">G3041+H3041</f>
        <v>92.728799999999978</v>
      </c>
      <c r="J3041" s="353"/>
    </row>
    <row r="3042" spans="1:10">
      <c r="A3042" s="350"/>
      <c r="B3042" s="511"/>
      <c r="C3042" s="391"/>
      <c r="D3042" s="392"/>
      <c r="E3042" s="355"/>
      <c r="F3042" s="392"/>
      <c r="G3042" s="392"/>
      <c r="H3042" s="392"/>
      <c r="I3042" s="393"/>
      <c r="J3042" s="353"/>
    </row>
    <row r="3043" spans="1:10">
      <c r="A3043" s="345" t="s">
        <v>1729</v>
      </c>
      <c r="B3043" s="510"/>
      <c r="C3043" s="412">
        <v>21.15</v>
      </c>
      <c r="D3043" s="412">
        <f t="shared" si="867"/>
        <v>4.6529999999999996</v>
      </c>
      <c r="E3043" s="359"/>
      <c r="F3043" s="412">
        <f t="shared" si="863"/>
        <v>19.035</v>
      </c>
      <c r="G3043" s="412">
        <f t="shared" si="864"/>
        <v>44.837999999999994</v>
      </c>
      <c r="H3043" s="412">
        <f t="shared" si="869"/>
        <v>15.693299999999997</v>
      </c>
      <c r="I3043" s="413">
        <f t="shared" si="866"/>
        <v>60.531299999999987</v>
      </c>
      <c r="J3043" s="349">
        <f>I3043+I3045+I3046</f>
        <v>133.16886</v>
      </c>
    </row>
    <row r="3044" spans="1:10">
      <c r="A3044" s="350" t="s">
        <v>1728</v>
      </c>
      <c r="B3044" s="511">
        <v>47</v>
      </c>
      <c r="C3044" s="391">
        <v>21.15</v>
      </c>
      <c r="D3044" s="392">
        <f t="shared" si="867"/>
        <v>4.6529999999999996</v>
      </c>
      <c r="E3044" s="355"/>
      <c r="F3044" s="392">
        <f t="shared" si="863"/>
        <v>19.035</v>
      </c>
      <c r="G3044" s="392"/>
      <c r="H3044" s="392"/>
      <c r="I3044" s="393"/>
      <c r="J3044" s="353"/>
    </row>
    <row r="3045" spans="1:10">
      <c r="A3045" s="350" t="s">
        <v>1713</v>
      </c>
      <c r="B3045" s="512">
        <v>47</v>
      </c>
      <c r="C3045" s="386">
        <v>25.38</v>
      </c>
      <c r="D3045" s="392">
        <f t="shared" si="867"/>
        <v>5.5835999999999997</v>
      </c>
      <c r="E3045" s="386"/>
      <c r="F3045" s="392">
        <f t="shared" si="863"/>
        <v>22.841999999999999</v>
      </c>
      <c r="G3045" s="392">
        <f t="shared" ref="G3045" si="871">F3045+E3045+D3045+C3045</f>
        <v>53.805599999999998</v>
      </c>
      <c r="H3045" s="392">
        <f t="shared" ref="H3045:H3047" si="872">G3045*0.35</f>
        <v>18.831959999999999</v>
      </c>
      <c r="I3045" s="393">
        <f t="shared" ref="I3045" si="873">G3045+H3045</f>
        <v>72.637559999999993</v>
      </c>
      <c r="J3045" s="353"/>
    </row>
    <row r="3046" spans="1:10">
      <c r="A3046" s="350"/>
      <c r="B3046" s="511"/>
      <c r="C3046" s="391"/>
      <c r="D3046" s="392"/>
      <c r="E3046" s="355"/>
      <c r="F3046" s="392"/>
      <c r="G3046" s="392"/>
      <c r="H3046" s="392"/>
      <c r="I3046" s="393"/>
      <c r="J3046" s="353"/>
    </row>
    <row r="3047" spans="1:10">
      <c r="A3047" s="460" t="s">
        <v>1730</v>
      </c>
      <c r="B3047" s="513"/>
      <c r="C3047" s="384">
        <v>6.6</v>
      </c>
      <c r="D3047" s="412">
        <f t="shared" si="867"/>
        <v>1.452</v>
      </c>
      <c r="E3047" s="384"/>
      <c r="F3047" s="412">
        <f t="shared" si="863"/>
        <v>5.9399999999999995</v>
      </c>
      <c r="G3047" s="412">
        <f t="shared" si="864"/>
        <v>13.991999999999999</v>
      </c>
      <c r="H3047" s="412">
        <f t="shared" si="872"/>
        <v>4.8971999999999998</v>
      </c>
      <c r="I3047" s="413">
        <f t="shared" si="866"/>
        <v>18.889199999999999</v>
      </c>
      <c r="J3047" s="349">
        <f>I3047+I3049+I3050</f>
        <v>42.071399999999997</v>
      </c>
    </row>
    <row r="3048" spans="1:10">
      <c r="A3048" s="426" t="s">
        <v>337</v>
      </c>
      <c r="B3048" s="512">
        <v>15</v>
      </c>
      <c r="C3048" s="386">
        <v>6.6</v>
      </c>
      <c r="D3048" s="392"/>
      <c r="E3048" s="386"/>
      <c r="F3048" s="392"/>
      <c r="G3048" s="392"/>
      <c r="H3048" s="392"/>
      <c r="I3048" s="393"/>
      <c r="J3048" s="353"/>
    </row>
    <row r="3049" spans="1:10">
      <c r="A3049" s="350" t="s">
        <v>1713</v>
      </c>
      <c r="B3049" s="512">
        <v>15</v>
      </c>
      <c r="C3049" s="392">
        <v>8.1</v>
      </c>
      <c r="D3049" s="392">
        <f>C3049*0.22</f>
        <v>1.782</v>
      </c>
      <c r="E3049" s="386"/>
      <c r="F3049" s="392">
        <f t="shared" si="863"/>
        <v>7.29</v>
      </c>
      <c r="G3049" s="392">
        <f t="shared" ref="G3049" si="874">F3049+E3049+D3049+C3049</f>
        <v>17.171999999999997</v>
      </c>
      <c r="H3049" s="392">
        <f t="shared" ref="H3049:H3051" si="875">G3049*0.35</f>
        <v>6.0101999999999984</v>
      </c>
      <c r="I3049" s="393">
        <f t="shared" ref="I3049" si="876">G3049+H3049</f>
        <v>23.182199999999995</v>
      </c>
      <c r="J3049" s="353"/>
    </row>
    <row r="3050" spans="1:10">
      <c r="A3050" s="350"/>
      <c r="B3050" s="511"/>
      <c r="C3050" s="391"/>
      <c r="D3050" s="392"/>
      <c r="E3050" s="355"/>
      <c r="F3050" s="392"/>
      <c r="G3050" s="392"/>
      <c r="H3050" s="392"/>
      <c r="I3050" s="393"/>
      <c r="J3050" s="353"/>
    </row>
    <row r="3051" spans="1:10">
      <c r="A3051" s="445" t="s">
        <v>1731</v>
      </c>
      <c r="B3051" s="513"/>
      <c r="C3051" s="412">
        <v>8.6999999999999993</v>
      </c>
      <c r="D3051" s="412">
        <f>C3051*0.22</f>
        <v>1.9139999999999999</v>
      </c>
      <c r="E3051" s="384"/>
      <c r="F3051" s="412">
        <f t="shared" ref="F3051" si="877">C3051*0.9</f>
        <v>7.8299999999999992</v>
      </c>
      <c r="G3051" s="412">
        <f t="shared" ref="G3051" si="878">F3051+E3051+D3051+C3051</f>
        <v>18.443999999999999</v>
      </c>
      <c r="H3051" s="412">
        <f t="shared" si="875"/>
        <v>6.4553999999999991</v>
      </c>
      <c r="I3051" s="413">
        <f t="shared" ref="I3051" si="879">G3051+H3051</f>
        <v>24.8994</v>
      </c>
      <c r="J3051" s="349">
        <f>I3051+I3053+I3054</f>
        <v>40.354199999999999</v>
      </c>
    </row>
    <row r="3052" spans="1:10">
      <c r="A3052" s="426" t="s">
        <v>337</v>
      </c>
      <c r="B3052" s="512">
        <v>10</v>
      </c>
      <c r="C3052" s="386">
        <v>8.6999999999999993</v>
      </c>
      <c r="D3052" s="392"/>
      <c r="E3052" s="386"/>
      <c r="F3052" s="392"/>
      <c r="G3052" s="392"/>
      <c r="H3052" s="392"/>
      <c r="I3052" s="393"/>
      <c r="J3052" s="353"/>
    </row>
    <row r="3053" spans="1:10">
      <c r="A3053" s="350" t="s">
        <v>1713</v>
      </c>
      <c r="B3053" s="512">
        <v>10</v>
      </c>
      <c r="C3053" s="392">
        <v>5.4</v>
      </c>
      <c r="D3053" s="392">
        <f>C3053*0.22</f>
        <v>1.1880000000000002</v>
      </c>
      <c r="E3053" s="386"/>
      <c r="F3053" s="392">
        <f t="shared" ref="F3053" si="880">C3053*0.9</f>
        <v>4.8600000000000003</v>
      </c>
      <c r="G3053" s="392">
        <f t="shared" ref="G3053" si="881">F3053+E3053+D3053+C3053</f>
        <v>11.448</v>
      </c>
      <c r="H3053" s="392">
        <f t="shared" ref="H3053" si="882">G3053*0.35</f>
        <v>4.0068000000000001</v>
      </c>
      <c r="I3053" s="393">
        <f t="shared" ref="I3053" si="883">G3053+H3053</f>
        <v>15.454800000000001</v>
      </c>
      <c r="J3053" s="353"/>
    </row>
    <row r="3054" spans="1:10">
      <c r="A3054" s="350"/>
      <c r="B3054" s="511"/>
      <c r="C3054" s="391"/>
      <c r="D3054" s="392"/>
      <c r="E3054" s="355"/>
      <c r="F3054" s="392"/>
      <c r="G3054" s="392"/>
      <c r="H3054" s="392"/>
      <c r="I3054" s="393"/>
      <c r="J3054" s="353"/>
    </row>
    <row r="3055" spans="1:10">
      <c r="A3055" s="445" t="s">
        <v>1732</v>
      </c>
      <c r="B3055" s="513"/>
      <c r="C3055" s="412">
        <v>6.6</v>
      </c>
      <c r="D3055" s="412">
        <f>C3055*0.22</f>
        <v>1.452</v>
      </c>
      <c r="E3055" s="384"/>
      <c r="F3055" s="412">
        <f t="shared" si="863"/>
        <v>5.9399999999999995</v>
      </c>
      <c r="G3055" s="412">
        <f t="shared" ref="G3055" si="884">F3055+E3055+D3055+C3055</f>
        <v>13.991999999999999</v>
      </c>
      <c r="H3055" s="412">
        <f t="shared" ref="H3055" si="885">G3055*0.35</f>
        <v>4.8971999999999998</v>
      </c>
      <c r="I3055" s="413">
        <f t="shared" ref="I3055" si="886">G3055+H3055</f>
        <v>18.889199999999999</v>
      </c>
      <c r="J3055" s="349">
        <f>I3055+I3057+I3058</f>
        <v>42.071399999999997</v>
      </c>
    </row>
    <row r="3056" spans="1:10">
      <c r="A3056" s="426" t="s">
        <v>337</v>
      </c>
      <c r="B3056" s="512">
        <v>15</v>
      </c>
      <c r="C3056" s="386">
        <v>6.6</v>
      </c>
      <c r="D3056" s="392"/>
      <c r="E3056" s="386"/>
      <c r="F3056" s="392"/>
      <c r="G3056" s="392"/>
      <c r="H3056" s="392"/>
      <c r="I3056" s="393"/>
      <c r="J3056" s="353"/>
    </row>
    <row r="3057" spans="1:10">
      <c r="A3057" s="350" t="s">
        <v>1713</v>
      </c>
      <c r="B3057" s="512">
        <v>15</v>
      </c>
      <c r="C3057" s="392">
        <v>8.1</v>
      </c>
      <c r="D3057" s="392">
        <f>C3057*0.22</f>
        <v>1.782</v>
      </c>
      <c r="E3057" s="386"/>
      <c r="F3057" s="392">
        <f t="shared" si="863"/>
        <v>7.29</v>
      </c>
      <c r="G3057" s="392">
        <f t="shared" ref="G3057" si="887">F3057+E3057+D3057+C3057</f>
        <v>17.171999999999997</v>
      </c>
      <c r="H3057" s="392">
        <f t="shared" ref="H3057:H3059" si="888">G3057*0.35</f>
        <v>6.0101999999999984</v>
      </c>
      <c r="I3057" s="393">
        <f t="shared" ref="I3057" si="889">G3057+H3057</f>
        <v>23.182199999999995</v>
      </c>
      <c r="J3057" s="353"/>
    </row>
    <row r="3058" spans="1:10">
      <c r="A3058" s="350"/>
      <c r="B3058" s="511"/>
      <c r="C3058" s="391"/>
      <c r="D3058" s="392"/>
      <c r="E3058" s="355"/>
      <c r="F3058" s="392"/>
      <c r="G3058" s="392"/>
      <c r="H3058" s="392"/>
      <c r="I3058" s="393"/>
      <c r="J3058" s="353"/>
    </row>
    <row r="3059" spans="1:10">
      <c r="A3059" s="445" t="s">
        <v>1733</v>
      </c>
      <c r="B3059" s="513"/>
      <c r="C3059" s="384">
        <v>12.65</v>
      </c>
      <c r="D3059" s="412">
        <f>C3059*0.22</f>
        <v>2.7829999999999999</v>
      </c>
      <c r="E3059" s="384"/>
      <c r="F3059" s="412">
        <f t="shared" si="863"/>
        <v>11.385</v>
      </c>
      <c r="G3059" s="412">
        <f t="shared" si="864"/>
        <v>26.817999999999998</v>
      </c>
      <c r="H3059" s="412">
        <f t="shared" si="888"/>
        <v>9.3862999999999985</v>
      </c>
      <c r="I3059" s="413">
        <f t="shared" si="866"/>
        <v>36.204299999999996</v>
      </c>
      <c r="J3059" s="349">
        <f>I3059+I3061+I3062</f>
        <v>59.386499999999991</v>
      </c>
    </row>
    <row r="3060" spans="1:10">
      <c r="A3060" s="426" t="s">
        <v>337</v>
      </c>
      <c r="B3060" s="512">
        <v>15</v>
      </c>
      <c r="C3060" s="386">
        <v>6.6</v>
      </c>
      <c r="D3060" s="424"/>
      <c r="E3060" s="386"/>
      <c r="F3060" s="392"/>
      <c r="G3060" s="392"/>
      <c r="H3060" s="392"/>
      <c r="I3060" s="393"/>
      <c r="J3060" s="380"/>
    </row>
    <row r="3061" spans="1:10">
      <c r="A3061" s="350" t="s">
        <v>1713</v>
      </c>
      <c r="B3061" s="512">
        <v>15</v>
      </c>
      <c r="C3061" s="392">
        <v>8.1</v>
      </c>
      <c r="D3061" s="424">
        <f t="shared" ref="D3061:D3071" si="890">C3061*0.22</f>
        <v>1.782</v>
      </c>
      <c r="E3061" s="386"/>
      <c r="F3061" s="392">
        <f t="shared" si="863"/>
        <v>7.29</v>
      </c>
      <c r="G3061" s="392">
        <f t="shared" ref="G3061" si="891">F3061+E3061+D3061+C3061</f>
        <v>17.171999999999997</v>
      </c>
      <c r="H3061" s="392">
        <f t="shared" ref="H3061:H3065" si="892">G3061*0.35</f>
        <v>6.0101999999999984</v>
      </c>
      <c r="I3061" s="393">
        <f t="shared" ref="I3061" si="893">G3061+H3061</f>
        <v>23.182199999999995</v>
      </c>
      <c r="J3061" s="380"/>
    </row>
    <row r="3062" spans="1:10">
      <c r="A3062" s="350"/>
      <c r="B3062" s="511"/>
      <c r="C3062" s="391"/>
      <c r="D3062" s="424"/>
      <c r="E3062" s="355"/>
      <c r="F3062" s="392"/>
      <c r="G3062" s="392"/>
      <c r="H3062" s="392"/>
      <c r="I3062" s="393"/>
      <c r="J3062" s="380"/>
    </row>
    <row r="3063" spans="1:10">
      <c r="A3063" s="383" t="s">
        <v>1734</v>
      </c>
      <c r="B3063" s="513"/>
      <c r="C3063" s="384">
        <v>6.6</v>
      </c>
      <c r="D3063" s="412">
        <f t="shared" si="890"/>
        <v>1.452</v>
      </c>
      <c r="E3063" s="384"/>
      <c r="F3063" s="412">
        <f t="shared" si="863"/>
        <v>5.9399999999999995</v>
      </c>
      <c r="G3063" s="412">
        <f t="shared" si="864"/>
        <v>13.991999999999999</v>
      </c>
      <c r="H3063" s="412">
        <f t="shared" si="892"/>
        <v>4.8971999999999998</v>
      </c>
      <c r="I3063" s="413">
        <f t="shared" si="866"/>
        <v>18.889199999999999</v>
      </c>
      <c r="J3063" s="349">
        <f t="shared" ref="J3063" si="894">I3063+I3065+I3066</f>
        <v>42.071399999999997</v>
      </c>
    </row>
    <row r="3064" spans="1:10">
      <c r="A3064" s="426" t="s">
        <v>337</v>
      </c>
      <c r="B3064" s="514">
        <v>15</v>
      </c>
      <c r="C3064" s="386">
        <v>6.6</v>
      </c>
      <c r="D3064" s="424"/>
      <c r="E3064" s="423"/>
      <c r="F3064" s="424"/>
      <c r="G3064" s="424"/>
      <c r="H3064" s="424"/>
      <c r="I3064" s="425"/>
      <c r="J3064" s="357"/>
    </row>
    <row r="3065" spans="1:10">
      <c r="A3065" s="350" t="s">
        <v>1713</v>
      </c>
      <c r="B3065" s="514">
        <v>15</v>
      </c>
      <c r="C3065" s="392">
        <v>8.1</v>
      </c>
      <c r="D3065" s="424">
        <f t="shared" si="890"/>
        <v>1.782</v>
      </c>
      <c r="E3065" s="423"/>
      <c r="F3065" s="424">
        <f t="shared" si="863"/>
        <v>7.29</v>
      </c>
      <c r="G3065" s="424">
        <f t="shared" si="864"/>
        <v>17.171999999999997</v>
      </c>
      <c r="H3065" s="424">
        <f t="shared" si="892"/>
        <v>6.0101999999999984</v>
      </c>
      <c r="I3065" s="425">
        <f t="shared" si="866"/>
        <v>23.182199999999995</v>
      </c>
      <c r="J3065" s="357"/>
    </row>
    <row r="3066" spans="1:10">
      <c r="A3066" s="350"/>
      <c r="B3066" s="514"/>
      <c r="C3066" s="391"/>
      <c r="D3066" s="424"/>
      <c r="E3066" s="423"/>
      <c r="F3066" s="424"/>
      <c r="G3066" s="424"/>
      <c r="H3066" s="424"/>
      <c r="I3066" s="425"/>
      <c r="J3066" s="357"/>
    </row>
    <row r="3067" spans="1:10">
      <c r="A3067" s="383" t="s">
        <v>1735</v>
      </c>
      <c r="B3067" s="513"/>
      <c r="C3067" s="384">
        <v>8.8000000000000007</v>
      </c>
      <c r="D3067" s="412">
        <f t="shared" si="890"/>
        <v>1.9360000000000002</v>
      </c>
      <c r="E3067" s="384"/>
      <c r="F3067" s="412">
        <f t="shared" ref="F3067" si="895">C3067*0.9</f>
        <v>7.9200000000000008</v>
      </c>
      <c r="G3067" s="412">
        <f t="shared" ref="G3067" si="896">F3067+E3067+D3067+C3067</f>
        <v>18.656000000000002</v>
      </c>
      <c r="H3067" s="412">
        <f t="shared" ref="H3067" si="897">G3067*0.35</f>
        <v>6.5296000000000003</v>
      </c>
      <c r="I3067" s="413">
        <f t="shared" ref="I3067" si="898">G3067+H3067</f>
        <v>25.185600000000001</v>
      </c>
      <c r="J3067" s="349">
        <f t="shared" ref="J3067" si="899">I3067+I3069+I3070</f>
        <v>40.6404</v>
      </c>
    </row>
    <row r="3068" spans="1:10">
      <c r="A3068" s="426" t="s">
        <v>337</v>
      </c>
      <c r="B3068" s="514">
        <v>20</v>
      </c>
      <c r="C3068" s="386">
        <v>8.8000000000000007</v>
      </c>
      <c r="D3068" s="424"/>
      <c r="E3068" s="423"/>
      <c r="F3068" s="424"/>
      <c r="G3068" s="424"/>
      <c r="H3068" s="424"/>
      <c r="I3068" s="425"/>
      <c r="J3068" s="357"/>
    </row>
    <row r="3069" spans="1:10">
      <c r="A3069" s="350" t="s">
        <v>1713</v>
      </c>
      <c r="B3069" s="514">
        <v>10</v>
      </c>
      <c r="C3069" s="392">
        <v>5.4</v>
      </c>
      <c r="D3069" s="424">
        <f t="shared" si="890"/>
        <v>1.1880000000000002</v>
      </c>
      <c r="E3069" s="423"/>
      <c r="F3069" s="424">
        <f t="shared" ref="F3069:F3071" si="900">C3069*0.9</f>
        <v>4.8600000000000003</v>
      </c>
      <c r="G3069" s="424">
        <f t="shared" ref="G3069:G3071" si="901">F3069+E3069+D3069+C3069</f>
        <v>11.448</v>
      </c>
      <c r="H3069" s="424">
        <f t="shared" ref="H3069:H3071" si="902">G3069*0.35</f>
        <v>4.0068000000000001</v>
      </c>
      <c r="I3069" s="425">
        <f t="shared" ref="I3069:I3071" si="903">G3069+H3069</f>
        <v>15.454800000000001</v>
      </c>
      <c r="J3069" s="357"/>
    </row>
    <row r="3070" spans="1:10">
      <c r="A3070" s="350"/>
      <c r="B3070" s="514"/>
      <c r="C3070" s="391"/>
      <c r="D3070" s="424"/>
      <c r="E3070" s="423"/>
      <c r="F3070" s="424"/>
      <c r="G3070" s="424"/>
      <c r="H3070" s="424"/>
      <c r="I3070" s="425"/>
      <c r="J3070" s="357"/>
    </row>
    <row r="3071" spans="1:10">
      <c r="A3071" s="383" t="s">
        <v>1736</v>
      </c>
      <c r="B3071" s="513"/>
      <c r="C3071" s="384">
        <v>8.8000000000000007</v>
      </c>
      <c r="D3071" s="412">
        <f t="shared" si="890"/>
        <v>1.9360000000000002</v>
      </c>
      <c r="E3071" s="384"/>
      <c r="F3071" s="412">
        <f t="shared" si="900"/>
        <v>7.9200000000000008</v>
      </c>
      <c r="G3071" s="412">
        <f t="shared" si="901"/>
        <v>18.656000000000002</v>
      </c>
      <c r="H3071" s="412">
        <f t="shared" si="902"/>
        <v>6.5296000000000003</v>
      </c>
      <c r="I3071" s="413">
        <f t="shared" si="903"/>
        <v>25.185600000000001</v>
      </c>
      <c r="J3071" s="349">
        <f t="shared" ref="J3071" si="904">I3071+I3073+I3074</f>
        <v>41.30865</v>
      </c>
    </row>
    <row r="3072" spans="1:10">
      <c r="A3072" s="426" t="s">
        <v>337</v>
      </c>
      <c r="B3072" s="514">
        <v>20</v>
      </c>
      <c r="C3072" s="386">
        <v>8.8000000000000007</v>
      </c>
      <c r="D3072" s="424"/>
      <c r="E3072" s="423"/>
      <c r="F3072" s="424"/>
      <c r="G3072" s="424"/>
      <c r="H3072" s="424"/>
      <c r="I3072" s="425"/>
      <c r="J3072" s="389"/>
    </row>
    <row r="3073" spans="1:10">
      <c r="A3073" s="350" t="s">
        <v>1713</v>
      </c>
      <c r="B3073" s="514">
        <v>10</v>
      </c>
      <c r="C3073" s="392">
        <v>5.4</v>
      </c>
      <c r="D3073" s="424">
        <v>1.6830000000000001</v>
      </c>
      <c r="E3073" s="423"/>
      <c r="F3073" s="424">
        <f t="shared" ref="F3073" si="905">C3073*0.9</f>
        <v>4.8600000000000003</v>
      </c>
      <c r="G3073" s="424">
        <f t="shared" ref="G3073" si="906">F3073+E3073+D3073+C3073</f>
        <v>11.943000000000001</v>
      </c>
      <c r="H3073" s="424">
        <f t="shared" ref="H3073" si="907">G3073*0.35</f>
        <v>4.1800500000000005</v>
      </c>
      <c r="I3073" s="425">
        <f t="shared" ref="I3073" si="908">G3073+H3073</f>
        <v>16.123050000000003</v>
      </c>
      <c r="J3073" s="389"/>
    </row>
    <row r="3074" spans="1:10">
      <c r="A3074" s="350"/>
      <c r="B3074" s="514"/>
      <c r="C3074" s="391"/>
      <c r="D3074" s="424"/>
      <c r="E3074" s="423"/>
      <c r="F3074" s="424"/>
      <c r="G3074" s="424"/>
      <c r="H3074" s="424"/>
      <c r="I3074" s="425"/>
      <c r="J3074" s="389"/>
    </row>
    <row r="3075" spans="1:10">
      <c r="A3075" s="515"/>
      <c r="B3075" s="386"/>
      <c r="C3075" s="426"/>
      <c r="D3075" s="392"/>
      <c r="E3075" s="386"/>
      <c r="F3075" s="392"/>
      <c r="G3075" s="392"/>
      <c r="H3075" s="392"/>
      <c r="I3075" s="516"/>
      <c r="J3075" s="355"/>
    </row>
    <row r="3076" spans="1:10" ht="12.75">
      <c r="A3076" s="517" t="s">
        <v>1737</v>
      </c>
      <c r="B3076" s="517"/>
      <c r="C3076" s="517"/>
      <c r="D3076" s="517"/>
      <c r="E3076" s="517"/>
      <c r="F3076" s="517"/>
      <c r="G3076" s="517"/>
      <c r="H3076" s="517"/>
      <c r="I3076" s="517"/>
      <c r="J3076" s="518"/>
    </row>
    <row r="3077" spans="1:10" ht="21.75">
      <c r="A3077" s="519" t="s">
        <v>1738</v>
      </c>
      <c r="B3077" s="520"/>
      <c r="C3077" s="412">
        <f>C3078+C3079</f>
        <v>9.64</v>
      </c>
      <c r="D3077" s="412">
        <f>C3077*0.22</f>
        <v>2.1208</v>
      </c>
      <c r="E3077" s="384"/>
      <c r="F3077" s="412">
        <f t="shared" ref="F3077" si="909">C3077*0.9</f>
        <v>8.6760000000000002</v>
      </c>
      <c r="G3077" s="412">
        <f t="shared" ref="G3077" si="910">F3077+E3077+D3077+C3077</f>
        <v>20.436800000000002</v>
      </c>
      <c r="H3077" s="412">
        <f t="shared" ref="H3077" si="911">G3077*0.35</f>
        <v>7.1528799999999997</v>
      </c>
      <c r="I3077" s="413">
        <f t="shared" ref="I3077" si="912">G3077+H3077</f>
        <v>27.589680000000001</v>
      </c>
      <c r="J3077" s="349">
        <f>I3077+I3079+I3080</f>
        <v>37.663920000000005</v>
      </c>
    </row>
    <row r="3078" spans="1:10">
      <c r="A3078" s="521" t="s">
        <v>1739</v>
      </c>
      <c r="B3078" s="522">
        <v>0.5</v>
      </c>
      <c r="C3078" s="523">
        <v>5.39</v>
      </c>
      <c r="D3078" s="523"/>
      <c r="E3078" s="522"/>
      <c r="F3078" s="523"/>
      <c r="G3078" s="523"/>
      <c r="H3078" s="523"/>
      <c r="I3078" s="524"/>
      <c r="J3078" s="353"/>
    </row>
    <row r="3079" spans="1:10">
      <c r="A3079" s="525" t="s">
        <v>1436</v>
      </c>
      <c r="B3079" s="522">
        <v>0.5</v>
      </c>
      <c r="C3079" s="523">
        <v>4.25</v>
      </c>
      <c r="D3079" s="522"/>
      <c r="E3079" s="522"/>
      <c r="F3079" s="523"/>
      <c r="G3079" s="522"/>
      <c r="H3079" s="523"/>
      <c r="I3079" s="526"/>
      <c r="J3079" s="353"/>
    </row>
    <row r="3080" spans="1:10">
      <c r="A3080" s="527" t="s">
        <v>385</v>
      </c>
      <c r="B3080" s="528">
        <v>4</v>
      </c>
      <c r="C3080" s="529">
        <v>2.16</v>
      </c>
      <c r="D3080" s="530">
        <v>0.77439999999999998</v>
      </c>
      <c r="E3080" s="531"/>
      <c r="F3080" s="530">
        <v>3.1680000000000001</v>
      </c>
      <c r="G3080" s="530">
        <v>7.4623999999999997</v>
      </c>
      <c r="H3080" s="530">
        <v>2.6118399999999999</v>
      </c>
      <c r="I3080" s="532">
        <v>10.07424</v>
      </c>
      <c r="J3080" s="353"/>
    </row>
    <row r="3081" spans="1:10">
      <c r="A3081" s="533"/>
      <c r="B3081" s="528"/>
      <c r="C3081" s="529"/>
      <c r="D3081" s="530"/>
      <c r="E3081" s="531"/>
      <c r="F3081" s="530"/>
      <c r="G3081" s="530"/>
      <c r="H3081" s="530"/>
      <c r="I3081" s="532"/>
      <c r="J3081" s="353"/>
    </row>
    <row r="3082" spans="1:10" ht="21.75">
      <c r="A3082" s="519" t="s">
        <v>1740</v>
      </c>
      <c r="B3082" s="520"/>
      <c r="C3082" s="412">
        <f>C3083+C3084</f>
        <v>4.83</v>
      </c>
      <c r="D3082" s="412">
        <f>C3082*0.22</f>
        <v>1.0626</v>
      </c>
      <c r="E3082" s="384"/>
      <c r="F3082" s="412">
        <f t="shared" ref="F3082" si="913">C3082*0.9</f>
        <v>4.3470000000000004</v>
      </c>
      <c r="G3082" s="412">
        <f t="shared" ref="G3082" si="914">F3082+E3082+D3082+C3082</f>
        <v>10.239599999999999</v>
      </c>
      <c r="H3082" s="412">
        <f t="shared" ref="H3082" si="915">G3082*0.35</f>
        <v>3.5838599999999996</v>
      </c>
      <c r="I3082" s="413">
        <f t="shared" ref="I3082" si="916">G3082+H3082</f>
        <v>13.823459999999999</v>
      </c>
      <c r="J3082" s="349">
        <f>I3082+I3084+I3085</f>
        <v>20.119859999999999</v>
      </c>
    </row>
    <row r="3083" spans="1:10">
      <c r="A3083" s="521" t="s">
        <v>1739</v>
      </c>
      <c r="B3083" s="522">
        <v>0.25</v>
      </c>
      <c r="C3083" s="523">
        <v>2.7</v>
      </c>
      <c r="D3083" s="523"/>
      <c r="E3083" s="522"/>
      <c r="F3083" s="523"/>
      <c r="G3083" s="523"/>
      <c r="H3083" s="523"/>
      <c r="I3083" s="524"/>
      <c r="J3083" s="353"/>
    </row>
    <row r="3084" spans="1:10">
      <c r="A3084" s="525" t="s">
        <v>1436</v>
      </c>
      <c r="B3084" s="534">
        <v>0.25</v>
      </c>
      <c r="C3084" s="530">
        <v>2.13</v>
      </c>
      <c r="D3084" s="534"/>
      <c r="E3084" s="534"/>
      <c r="F3084" s="530"/>
      <c r="G3084" s="534"/>
      <c r="H3084" s="530"/>
      <c r="I3084" s="535"/>
      <c r="J3084" s="353"/>
    </row>
    <row r="3085" spans="1:10">
      <c r="A3085" s="527" t="s">
        <v>385</v>
      </c>
      <c r="B3085" s="528">
        <v>2</v>
      </c>
      <c r="C3085" s="529">
        <v>1.08</v>
      </c>
      <c r="D3085" s="530">
        <v>0.48400000000000004</v>
      </c>
      <c r="E3085" s="531"/>
      <c r="F3085" s="530">
        <v>1.9800000000000002</v>
      </c>
      <c r="G3085" s="530">
        <v>4.6640000000000006</v>
      </c>
      <c r="H3085" s="530">
        <v>1.6324000000000001</v>
      </c>
      <c r="I3085" s="532">
        <v>6.2964000000000002</v>
      </c>
      <c r="J3085" s="353"/>
    </row>
    <row r="3086" spans="1:10">
      <c r="A3086" s="527"/>
      <c r="B3086" s="528"/>
      <c r="C3086" s="529"/>
      <c r="D3086" s="530"/>
      <c r="E3086" s="531"/>
      <c r="F3086" s="530"/>
      <c r="G3086" s="530"/>
      <c r="H3086" s="530"/>
      <c r="I3086" s="532"/>
      <c r="J3086" s="353"/>
    </row>
    <row r="3087" spans="1:10" ht="21.75">
      <c r="A3087" s="519" t="s">
        <v>1741</v>
      </c>
      <c r="B3087" s="520"/>
      <c r="C3087" s="412">
        <f>C3088+C3089</f>
        <v>4.83</v>
      </c>
      <c r="D3087" s="412">
        <f>C3087*0.22</f>
        <v>1.0626</v>
      </c>
      <c r="E3087" s="384"/>
      <c r="F3087" s="412">
        <f t="shared" ref="F3087" si="917">C3087*0.9</f>
        <v>4.3470000000000004</v>
      </c>
      <c r="G3087" s="412">
        <f t="shared" ref="G3087" si="918">F3087+E3087+D3087+C3087</f>
        <v>10.239599999999999</v>
      </c>
      <c r="H3087" s="412">
        <f t="shared" ref="H3087" si="919">G3087*0.35</f>
        <v>3.5838599999999996</v>
      </c>
      <c r="I3087" s="413">
        <f t="shared" ref="I3087" si="920">G3087+H3087</f>
        <v>13.823459999999999</v>
      </c>
      <c r="J3087" s="349">
        <f>I3087+I3089+I3090</f>
        <v>26.416260000000001</v>
      </c>
    </row>
    <row r="3088" spans="1:10">
      <c r="A3088" s="521" t="s">
        <v>1739</v>
      </c>
      <c r="B3088" s="522">
        <v>0.25</v>
      </c>
      <c r="C3088" s="523">
        <v>2.7</v>
      </c>
      <c r="D3088" s="523"/>
      <c r="E3088" s="522"/>
      <c r="F3088" s="523"/>
      <c r="G3088" s="523"/>
      <c r="H3088" s="523"/>
      <c r="I3088" s="524"/>
      <c r="J3088" s="353"/>
    </row>
    <row r="3089" spans="1:10">
      <c r="A3089" s="525" t="s">
        <v>1436</v>
      </c>
      <c r="B3089" s="522">
        <v>0.25</v>
      </c>
      <c r="C3089" s="523">
        <v>2.13</v>
      </c>
      <c r="D3089" s="522"/>
      <c r="E3089" s="522"/>
      <c r="F3089" s="523"/>
      <c r="G3089" s="522"/>
      <c r="H3089" s="523"/>
      <c r="I3089" s="526"/>
      <c r="J3089" s="353"/>
    </row>
    <row r="3090" spans="1:10">
      <c r="A3090" s="527" t="s">
        <v>385</v>
      </c>
      <c r="B3090" s="528">
        <v>2</v>
      </c>
      <c r="C3090" s="529">
        <v>1.08</v>
      </c>
      <c r="D3090" s="530">
        <v>0.96800000000000008</v>
      </c>
      <c r="E3090" s="531"/>
      <c r="F3090" s="530">
        <v>3.9600000000000004</v>
      </c>
      <c r="G3090" s="530">
        <v>9.3280000000000012</v>
      </c>
      <c r="H3090" s="530">
        <v>3.2648000000000001</v>
      </c>
      <c r="I3090" s="532">
        <v>12.5928</v>
      </c>
      <c r="J3090" s="353"/>
    </row>
    <row r="3091" spans="1:10">
      <c r="A3091" s="527"/>
      <c r="B3091" s="528"/>
      <c r="C3091" s="529"/>
      <c r="D3091" s="530"/>
      <c r="E3091" s="531"/>
      <c r="F3091" s="530"/>
      <c r="G3091" s="530"/>
      <c r="H3091" s="530"/>
      <c r="I3091" s="532"/>
      <c r="J3091" s="353"/>
    </row>
    <row r="3092" spans="1:10">
      <c r="A3092" s="519" t="s">
        <v>1742</v>
      </c>
      <c r="B3092" s="520"/>
      <c r="C3092" s="412">
        <f>C3093+C3094</f>
        <v>4.83</v>
      </c>
      <c r="D3092" s="412">
        <f>C3092*0.22</f>
        <v>1.0626</v>
      </c>
      <c r="E3092" s="384"/>
      <c r="F3092" s="412">
        <f t="shared" ref="F3092" si="921">C3092*0.9</f>
        <v>4.3470000000000004</v>
      </c>
      <c r="G3092" s="412">
        <f t="shared" ref="G3092" si="922">F3092+E3092+D3092+C3092</f>
        <v>10.239599999999999</v>
      </c>
      <c r="H3092" s="412">
        <f t="shared" ref="H3092" si="923">G3092*0.35</f>
        <v>3.5838599999999996</v>
      </c>
      <c r="I3092" s="413">
        <f t="shared" ref="I3092" si="924">G3092+H3092</f>
        <v>13.823459999999999</v>
      </c>
      <c r="J3092" s="349">
        <f>I3092+I3094+I3095</f>
        <v>18.860579999999999</v>
      </c>
    </row>
    <row r="3093" spans="1:10">
      <c r="A3093" s="521" t="s">
        <v>1739</v>
      </c>
      <c r="B3093" s="522">
        <v>0.25</v>
      </c>
      <c r="C3093" s="523">
        <v>2.7</v>
      </c>
      <c r="D3093" s="523"/>
      <c r="E3093" s="522"/>
      <c r="F3093" s="523"/>
      <c r="G3093" s="523"/>
      <c r="H3093" s="523"/>
      <c r="I3093" s="524"/>
      <c r="J3093" s="353"/>
    </row>
    <row r="3094" spans="1:10">
      <c r="A3094" s="525" t="s">
        <v>1436</v>
      </c>
      <c r="B3094" s="534">
        <v>0.25</v>
      </c>
      <c r="C3094" s="530">
        <v>2.13</v>
      </c>
      <c r="D3094" s="534"/>
      <c r="E3094" s="534"/>
      <c r="F3094" s="530"/>
      <c r="G3094" s="534"/>
      <c r="H3094" s="530"/>
      <c r="I3094" s="535"/>
      <c r="J3094" s="353"/>
    </row>
    <row r="3095" spans="1:10">
      <c r="A3095" s="527" t="s">
        <v>385</v>
      </c>
      <c r="B3095" s="528">
        <v>2</v>
      </c>
      <c r="C3095" s="529">
        <v>1.08</v>
      </c>
      <c r="D3095" s="530">
        <v>0.38719999999999999</v>
      </c>
      <c r="E3095" s="531"/>
      <c r="F3095" s="530">
        <v>1.5840000000000001</v>
      </c>
      <c r="G3095" s="530">
        <v>3.7311999999999999</v>
      </c>
      <c r="H3095" s="530">
        <v>1.30592</v>
      </c>
      <c r="I3095" s="532">
        <v>5.0371199999999998</v>
      </c>
      <c r="J3095" s="353"/>
    </row>
    <row r="3096" spans="1:10">
      <c r="A3096" s="527"/>
      <c r="B3096" s="528"/>
      <c r="C3096" s="529"/>
      <c r="D3096" s="530"/>
      <c r="E3096" s="531"/>
      <c r="F3096" s="530"/>
      <c r="G3096" s="530"/>
      <c r="H3096" s="530"/>
      <c r="I3096" s="532"/>
      <c r="J3096" s="353"/>
    </row>
    <row r="3097" spans="1:10">
      <c r="A3097" s="519" t="s">
        <v>1743</v>
      </c>
      <c r="B3097" s="520"/>
      <c r="C3097" s="412">
        <f>C3098+C3099</f>
        <v>9.64</v>
      </c>
      <c r="D3097" s="412">
        <f>C3097*0.22</f>
        <v>2.1208</v>
      </c>
      <c r="E3097" s="384"/>
      <c r="F3097" s="412">
        <f t="shared" ref="F3097" si="925">C3097*0.9</f>
        <v>8.6760000000000002</v>
      </c>
      <c r="G3097" s="412">
        <f t="shared" ref="G3097" si="926">F3097+E3097+D3097+C3097</f>
        <v>20.436800000000002</v>
      </c>
      <c r="H3097" s="412">
        <f t="shared" ref="H3097" si="927">G3097*0.35</f>
        <v>7.1528799999999997</v>
      </c>
      <c r="I3097" s="413">
        <f t="shared" ref="I3097" si="928">G3097+H3097</f>
        <v>27.589680000000001</v>
      </c>
      <c r="J3097" s="349">
        <f>I3097+I3099+I3100</f>
        <v>32.626800000000003</v>
      </c>
    </row>
    <row r="3098" spans="1:10">
      <c r="A3098" s="521" t="s">
        <v>1739</v>
      </c>
      <c r="B3098" s="522">
        <v>0.5</v>
      </c>
      <c r="C3098" s="523">
        <v>5.39</v>
      </c>
      <c r="D3098" s="523"/>
      <c r="E3098" s="522"/>
      <c r="F3098" s="523"/>
      <c r="G3098" s="523"/>
      <c r="H3098" s="523"/>
      <c r="I3098" s="524"/>
      <c r="J3098" s="353"/>
    </row>
    <row r="3099" spans="1:10">
      <c r="A3099" s="525" t="s">
        <v>1436</v>
      </c>
      <c r="B3099" s="534">
        <v>0.5</v>
      </c>
      <c r="C3099" s="530">
        <v>4.25</v>
      </c>
      <c r="D3099" s="534"/>
      <c r="E3099" s="534"/>
      <c r="F3099" s="530"/>
      <c r="G3099" s="534"/>
      <c r="H3099" s="530"/>
      <c r="I3099" s="535"/>
      <c r="J3099" s="353"/>
    </row>
    <row r="3100" spans="1:10">
      <c r="A3100" s="527" t="s">
        <v>385</v>
      </c>
      <c r="B3100" s="528">
        <v>4</v>
      </c>
      <c r="C3100" s="529">
        <v>2.16</v>
      </c>
      <c r="D3100" s="530">
        <v>0.38719999999999999</v>
      </c>
      <c r="E3100" s="531"/>
      <c r="F3100" s="530">
        <v>1.5840000000000001</v>
      </c>
      <c r="G3100" s="530">
        <v>3.7311999999999999</v>
      </c>
      <c r="H3100" s="530">
        <v>1.30592</v>
      </c>
      <c r="I3100" s="532">
        <v>5.0371199999999998</v>
      </c>
      <c r="J3100" s="353"/>
    </row>
    <row r="3101" spans="1:10">
      <c r="A3101" s="527"/>
      <c r="B3101" s="528"/>
      <c r="C3101" s="529"/>
      <c r="D3101" s="530"/>
      <c r="E3101" s="531"/>
      <c r="F3101" s="530"/>
      <c r="G3101" s="530"/>
      <c r="H3101" s="530"/>
      <c r="I3101" s="532"/>
      <c r="J3101" s="353"/>
    </row>
    <row r="3102" spans="1:10" ht="21.75">
      <c r="A3102" s="519" t="s">
        <v>1744</v>
      </c>
      <c r="B3102" s="520"/>
      <c r="C3102" s="412">
        <f>C3103+C3104</f>
        <v>9.64</v>
      </c>
      <c r="D3102" s="412">
        <f>C3102*0.22</f>
        <v>2.1208</v>
      </c>
      <c r="E3102" s="384"/>
      <c r="F3102" s="412">
        <f t="shared" ref="F3102" si="929">C3102*0.9</f>
        <v>8.6760000000000002</v>
      </c>
      <c r="G3102" s="412">
        <f t="shared" ref="G3102" si="930">F3102+E3102+D3102+C3102</f>
        <v>20.436800000000002</v>
      </c>
      <c r="H3102" s="412">
        <f t="shared" ref="H3102" si="931">G3102*0.35</f>
        <v>7.1528799999999997</v>
      </c>
      <c r="I3102" s="413">
        <f t="shared" ref="I3102" si="932">G3102+H3102</f>
        <v>27.589680000000001</v>
      </c>
      <c r="J3102" s="349">
        <f>I3102+I3104+I3105</f>
        <v>36.404640000000001</v>
      </c>
    </row>
    <row r="3103" spans="1:10">
      <c r="A3103" s="521" t="s">
        <v>1739</v>
      </c>
      <c r="B3103" s="522">
        <v>0.5</v>
      </c>
      <c r="C3103" s="523">
        <v>5.39</v>
      </c>
      <c r="D3103" s="523"/>
      <c r="E3103" s="522"/>
      <c r="F3103" s="523"/>
      <c r="G3103" s="523"/>
      <c r="H3103" s="523"/>
      <c r="I3103" s="524"/>
      <c r="J3103" s="353"/>
    </row>
    <row r="3104" spans="1:10">
      <c r="A3104" s="525" t="s">
        <v>1436</v>
      </c>
      <c r="B3104" s="534">
        <v>0.5</v>
      </c>
      <c r="C3104" s="530">
        <v>4.25</v>
      </c>
      <c r="D3104" s="534"/>
      <c r="E3104" s="534"/>
      <c r="F3104" s="530"/>
      <c r="G3104" s="534"/>
      <c r="H3104" s="530"/>
      <c r="I3104" s="535"/>
      <c r="J3104" s="353"/>
    </row>
    <row r="3105" spans="1:12">
      <c r="A3105" s="527" t="s">
        <v>385</v>
      </c>
      <c r="B3105" s="528">
        <v>4</v>
      </c>
      <c r="C3105" s="529">
        <v>2.16</v>
      </c>
      <c r="D3105" s="530">
        <v>0.67759999999999998</v>
      </c>
      <c r="E3105" s="531"/>
      <c r="F3105" s="530">
        <v>2.7720000000000002</v>
      </c>
      <c r="G3105" s="530">
        <v>6.5296000000000003</v>
      </c>
      <c r="H3105" s="530">
        <v>2.2853599999999998</v>
      </c>
      <c r="I3105" s="532">
        <v>8.8149599999999992</v>
      </c>
      <c r="J3105" s="353"/>
      <c r="K3105" s="371"/>
      <c r="L3105" s="371"/>
    </row>
    <row r="3106" spans="1:12">
      <c r="A3106" s="527"/>
      <c r="B3106" s="528"/>
      <c r="C3106" s="529"/>
      <c r="D3106" s="530"/>
      <c r="E3106" s="531"/>
      <c r="F3106" s="530"/>
      <c r="G3106" s="530"/>
      <c r="H3106" s="530"/>
      <c r="I3106" s="532"/>
      <c r="J3106" s="353"/>
      <c r="K3106" s="371"/>
      <c r="L3106" s="371"/>
    </row>
    <row r="3107" spans="1:12" ht="21.75">
      <c r="A3107" s="519" t="s">
        <v>1745</v>
      </c>
      <c r="B3107" s="520"/>
      <c r="C3107" s="412">
        <f>C3108+C3109</f>
        <v>14.469999999999999</v>
      </c>
      <c r="D3107" s="412">
        <f>C3107*0.22</f>
        <v>3.1833999999999998</v>
      </c>
      <c r="E3107" s="384"/>
      <c r="F3107" s="412">
        <f t="shared" ref="F3107" si="933">C3107*0.9</f>
        <v>13.023</v>
      </c>
      <c r="G3107" s="412">
        <f t="shared" ref="G3107" si="934">F3107+E3107+D3107+C3107</f>
        <v>30.676399999999997</v>
      </c>
      <c r="H3107" s="412">
        <f t="shared" ref="H3107" si="935">G3107*0.35</f>
        <v>10.736739999999999</v>
      </c>
      <c r="I3107" s="413">
        <f t="shared" ref="I3107" si="936">G3107+H3107</f>
        <v>41.413139999999999</v>
      </c>
      <c r="J3107" s="349">
        <f>I3107+I3109+I3110</f>
        <v>50.228099999999998</v>
      </c>
    </row>
    <row r="3108" spans="1:12">
      <c r="A3108" s="521" t="s">
        <v>1739</v>
      </c>
      <c r="B3108" s="522">
        <v>0.75</v>
      </c>
      <c r="C3108" s="523">
        <v>8.09</v>
      </c>
      <c r="D3108" s="523"/>
      <c r="E3108" s="522"/>
      <c r="F3108" s="523"/>
      <c r="G3108" s="523"/>
      <c r="H3108" s="523"/>
      <c r="I3108" s="524"/>
      <c r="J3108" s="353"/>
    </row>
    <row r="3109" spans="1:12">
      <c r="A3109" s="525" t="s">
        <v>1436</v>
      </c>
      <c r="B3109" s="534">
        <v>0.75</v>
      </c>
      <c r="C3109" s="530">
        <v>6.38</v>
      </c>
      <c r="D3109" s="534"/>
      <c r="E3109" s="534"/>
      <c r="F3109" s="530"/>
      <c r="G3109" s="534"/>
      <c r="H3109" s="530"/>
      <c r="I3109" s="535"/>
      <c r="J3109" s="353"/>
    </row>
    <row r="3110" spans="1:12">
      <c r="A3110" s="527" t="s">
        <v>385</v>
      </c>
      <c r="B3110" s="528">
        <v>6</v>
      </c>
      <c r="C3110" s="529">
        <v>3.24</v>
      </c>
      <c r="D3110" s="530">
        <v>0.67759999999999998</v>
      </c>
      <c r="E3110" s="531"/>
      <c r="F3110" s="530">
        <v>2.7720000000000002</v>
      </c>
      <c r="G3110" s="530">
        <v>6.5296000000000003</v>
      </c>
      <c r="H3110" s="530">
        <v>2.2853599999999998</v>
      </c>
      <c r="I3110" s="532">
        <v>8.8149599999999992</v>
      </c>
      <c r="J3110" s="353"/>
    </row>
    <row r="3111" spans="1:12">
      <c r="A3111" s="527"/>
      <c r="B3111" s="528"/>
      <c r="C3111" s="529"/>
      <c r="D3111" s="530"/>
      <c r="E3111" s="531"/>
      <c r="F3111" s="530"/>
      <c r="G3111" s="530"/>
      <c r="H3111" s="530"/>
      <c r="I3111" s="532"/>
      <c r="J3111" s="353"/>
    </row>
    <row r="3112" spans="1:12" ht="21.75">
      <c r="A3112" s="519" t="s">
        <v>1746</v>
      </c>
      <c r="B3112" s="520"/>
      <c r="C3112" s="412">
        <f>C3113+C3114</f>
        <v>77.199999999999989</v>
      </c>
      <c r="D3112" s="412">
        <f>C3112*0.22</f>
        <v>16.983999999999998</v>
      </c>
      <c r="E3112" s="384"/>
      <c r="F3112" s="412">
        <f t="shared" ref="F3112" si="937">C3112*0.9</f>
        <v>69.47999999999999</v>
      </c>
      <c r="G3112" s="412">
        <f t="shared" ref="G3112" si="938">F3112+E3112+D3112+C3112</f>
        <v>163.66399999999999</v>
      </c>
      <c r="H3112" s="412">
        <f t="shared" ref="H3112" si="939">G3112*0.35</f>
        <v>57.282399999999988</v>
      </c>
      <c r="I3112" s="413">
        <f t="shared" ref="I3112" si="940">G3112+H3112</f>
        <v>220.94639999999998</v>
      </c>
      <c r="J3112" s="349">
        <f>I3112+I3114+I3115</f>
        <v>233.53919999999999</v>
      </c>
    </row>
    <row r="3113" spans="1:12">
      <c r="A3113" s="521" t="s">
        <v>1739</v>
      </c>
      <c r="B3113" s="522">
        <v>4</v>
      </c>
      <c r="C3113" s="523">
        <v>43.16</v>
      </c>
      <c r="D3113" s="523"/>
      <c r="E3113" s="522"/>
      <c r="F3113" s="523"/>
      <c r="G3113" s="523"/>
      <c r="H3113" s="523"/>
      <c r="I3113" s="524"/>
      <c r="J3113" s="353"/>
    </row>
    <row r="3114" spans="1:12">
      <c r="A3114" s="525" t="s">
        <v>1436</v>
      </c>
      <c r="B3114" s="522">
        <v>4</v>
      </c>
      <c r="C3114" s="523">
        <v>34.04</v>
      </c>
      <c r="D3114" s="522"/>
      <c r="E3114" s="522"/>
      <c r="F3114" s="523"/>
      <c r="G3114" s="522"/>
      <c r="H3114" s="523"/>
      <c r="I3114" s="526"/>
      <c r="J3114" s="353"/>
    </row>
    <row r="3115" spans="1:12">
      <c r="A3115" s="527" t="s">
        <v>385</v>
      </c>
      <c r="B3115" s="528">
        <v>32</v>
      </c>
      <c r="C3115" s="529">
        <v>17.28</v>
      </c>
      <c r="D3115" s="530">
        <v>0.96800000000000008</v>
      </c>
      <c r="E3115" s="531"/>
      <c r="F3115" s="530">
        <v>3.9600000000000004</v>
      </c>
      <c r="G3115" s="530">
        <v>9.3280000000000012</v>
      </c>
      <c r="H3115" s="530">
        <v>3.2648000000000001</v>
      </c>
      <c r="I3115" s="532">
        <v>12.5928</v>
      </c>
      <c r="J3115" s="353"/>
    </row>
    <row r="3116" spans="1:12">
      <c r="A3116" s="527"/>
      <c r="B3116" s="528"/>
      <c r="C3116" s="529"/>
      <c r="D3116" s="530"/>
      <c r="E3116" s="531"/>
      <c r="F3116" s="530"/>
      <c r="G3116" s="530"/>
      <c r="H3116" s="530"/>
      <c r="I3116" s="532"/>
      <c r="J3116" s="353"/>
    </row>
    <row r="3117" spans="1:12" ht="21.75">
      <c r="A3117" s="519" t="s">
        <v>1747</v>
      </c>
      <c r="B3117" s="520"/>
      <c r="C3117" s="412">
        <f>C3118+C3119</f>
        <v>57.9</v>
      </c>
      <c r="D3117" s="412">
        <f>C3117*0.22</f>
        <v>12.738</v>
      </c>
      <c r="E3117" s="384"/>
      <c r="F3117" s="412">
        <f t="shared" ref="F3117" si="941">C3117*0.9</f>
        <v>52.11</v>
      </c>
      <c r="G3117" s="412">
        <f t="shared" ref="G3117" si="942">F3117+E3117+D3117+C3117</f>
        <v>122.74799999999999</v>
      </c>
      <c r="H3117" s="412">
        <f t="shared" ref="H3117" si="943">G3117*0.35</f>
        <v>42.961799999999997</v>
      </c>
      <c r="I3117" s="413">
        <f t="shared" ref="I3117" si="944">G3117+H3117</f>
        <v>165.70979999999997</v>
      </c>
      <c r="J3117" s="349">
        <f>I3117+I3119+I3120</f>
        <v>180.82115999999996</v>
      </c>
    </row>
    <row r="3118" spans="1:12">
      <c r="A3118" s="521" t="s">
        <v>1739</v>
      </c>
      <c r="B3118" s="522">
        <v>3</v>
      </c>
      <c r="C3118" s="523">
        <v>32.369999999999997</v>
      </c>
      <c r="D3118" s="523"/>
      <c r="E3118" s="522"/>
      <c r="F3118" s="523"/>
      <c r="G3118" s="523"/>
      <c r="H3118" s="523"/>
      <c r="I3118" s="524"/>
      <c r="J3118" s="353"/>
    </row>
    <row r="3119" spans="1:12">
      <c r="A3119" s="525" t="s">
        <v>1436</v>
      </c>
      <c r="B3119" s="522">
        <v>3</v>
      </c>
      <c r="C3119" s="523">
        <v>25.53</v>
      </c>
      <c r="D3119" s="522"/>
      <c r="E3119" s="522"/>
      <c r="F3119" s="523"/>
      <c r="G3119" s="522"/>
      <c r="H3119" s="523"/>
      <c r="I3119" s="526"/>
      <c r="J3119" s="353"/>
    </row>
    <row r="3120" spans="1:12">
      <c r="A3120" s="527" t="s">
        <v>385</v>
      </c>
      <c r="B3120" s="528">
        <v>24</v>
      </c>
      <c r="C3120" s="529">
        <v>12.96</v>
      </c>
      <c r="D3120" s="530">
        <v>1.1616</v>
      </c>
      <c r="E3120" s="531"/>
      <c r="F3120" s="530">
        <v>4.7520000000000007</v>
      </c>
      <c r="G3120" s="530">
        <v>11.1936</v>
      </c>
      <c r="H3120" s="530">
        <v>3.9177599999999999</v>
      </c>
      <c r="I3120" s="532">
        <v>15.111359999999999</v>
      </c>
      <c r="J3120" s="353"/>
    </row>
    <row r="3121" spans="1:10">
      <c r="A3121" s="527"/>
      <c r="B3121" s="528"/>
      <c r="C3121" s="529"/>
      <c r="D3121" s="530"/>
      <c r="E3121" s="531"/>
      <c r="F3121" s="530"/>
      <c r="G3121" s="530"/>
      <c r="H3121" s="530"/>
      <c r="I3121" s="532"/>
      <c r="J3121" s="353"/>
    </row>
    <row r="3122" spans="1:10" ht="21.75">
      <c r="A3122" s="519" t="s">
        <v>1748</v>
      </c>
      <c r="B3122" s="520"/>
      <c r="C3122" s="412">
        <f>C3123+C3124</f>
        <v>14.469999999999999</v>
      </c>
      <c r="D3122" s="412">
        <f>C3122*0.22</f>
        <v>3.1833999999999998</v>
      </c>
      <c r="E3122" s="384"/>
      <c r="F3122" s="412">
        <f t="shared" ref="F3122" si="945">C3122*0.9</f>
        <v>13.023</v>
      </c>
      <c r="G3122" s="412">
        <f t="shared" ref="G3122" si="946">F3122+E3122+D3122+C3122</f>
        <v>30.676399999999997</v>
      </c>
      <c r="H3122" s="412">
        <f t="shared" ref="H3122" si="947">G3122*0.35</f>
        <v>10.736739999999999</v>
      </c>
      <c r="I3122" s="413">
        <f t="shared" ref="I3122" si="948">G3122+H3122</f>
        <v>41.413139999999999</v>
      </c>
      <c r="J3122" s="349">
        <f>I3122+I3124+I3125</f>
        <v>56.524499999999996</v>
      </c>
    </row>
    <row r="3123" spans="1:10">
      <c r="A3123" s="521" t="s">
        <v>1739</v>
      </c>
      <c r="B3123" s="522">
        <v>0.75</v>
      </c>
      <c r="C3123" s="523">
        <v>8.09</v>
      </c>
      <c r="D3123" s="523"/>
      <c r="E3123" s="522"/>
      <c r="F3123" s="523"/>
      <c r="G3123" s="523"/>
      <c r="H3123" s="523"/>
      <c r="I3123" s="524"/>
      <c r="J3123" s="353"/>
    </row>
    <row r="3124" spans="1:10">
      <c r="A3124" s="525" t="s">
        <v>1436</v>
      </c>
      <c r="B3124" s="522">
        <v>0.75</v>
      </c>
      <c r="C3124" s="523">
        <v>6.38</v>
      </c>
      <c r="D3124" s="522"/>
      <c r="E3124" s="522"/>
      <c r="F3124" s="523"/>
      <c r="G3124" s="522"/>
      <c r="H3124" s="523"/>
      <c r="I3124" s="526"/>
      <c r="J3124" s="353"/>
    </row>
    <row r="3125" spans="1:10">
      <c r="A3125" s="527" t="s">
        <v>385</v>
      </c>
      <c r="B3125" s="528">
        <v>6</v>
      </c>
      <c r="C3125" s="529">
        <v>3.24</v>
      </c>
      <c r="D3125" s="530">
        <v>1.1616</v>
      </c>
      <c r="E3125" s="531"/>
      <c r="F3125" s="530">
        <v>4.7520000000000007</v>
      </c>
      <c r="G3125" s="530">
        <v>11.1936</v>
      </c>
      <c r="H3125" s="530">
        <v>3.9177599999999999</v>
      </c>
      <c r="I3125" s="532">
        <v>15.111359999999999</v>
      </c>
      <c r="J3125" s="353"/>
    </row>
    <row r="3126" spans="1:10">
      <c r="A3126" s="527"/>
      <c r="B3126" s="528"/>
      <c r="C3126" s="529"/>
      <c r="D3126" s="530"/>
      <c r="E3126" s="531"/>
      <c r="F3126" s="530"/>
      <c r="G3126" s="530"/>
      <c r="H3126" s="530"/>
      <c r="I3126" s="532"/>
      <c r="J3126" s="353"/>
    </row>
    <row r="3127" spans="1:10" ht="21.75">
      <c r="A3127" s="519" t="s">
        <v>1749</v>
      </c>
      <c r="B3127" s="520"/>
      <c r="C3127" s="412">
        <f>C3128+C3129</f>
        <v>24.130000000000003</v>
      </c>
      <c r="D3127" s="412">
        <f>C3127*0.22</f>
        <v>5.3086000000000002</v>
      </c>
      <c r="E3127" s="384"/>
      <c r="F3127" s="412">
        <f t="shared" ref="F3127" si="949">C3127*0.9</f>
        <v>21.717000000000002</v>
      </c>
      <c r="G3127" s="412">
        <f t="shared" ref="G3127" si="950">F3127+E3127+D3127+C3127</f>
        <v>51.155600000000007</v>
      </c>
      <c r="H3127" s="412">
        <f t="shared" ref="H3127" si="951">G3127*0.35</f>
        <v>17.90446</v>
      </c>
      <c r="I3127" s="413">
        <f t="shared" ref="I3127" si="952">G3127+H3127</f>
        <v>69.060060000000007</v>
      </c>
      <c r="J3127" s="349">
        <f>I3127+I3129+I3130</f>
        <v>84.171420000000012</v>
      </c>
    </row>
    <row r="3128" spans="1:10">
      <c r="A3128" s="521" t="s">
        <v>1739</v>
      </c>
      <c r="B3128" s="522">
        <v>1.25</v>
      </c>
      <c r="C3128" s="523">
        <v>13.49</v>
      </c>
      <c r="D3128" s="523"/>
      <c r="E3128" s="522"/>
      <c r="F3128" s="523"/>
      <c r="G3128" s="523"/>
      <c r="H3128" s="523"/>
      <c r="I3128" s="524"/>
      <c r="J3128" s="353"/>
    </row>
    <row r="3129" spans="1:10">
      <c r="A3129" s="525" t="s">
        <v>1436</v>
      </c>
      <c r="B3129" s="522">
        <v>1.25</v>
      </c>
      <c r="C3129" s="523">
        <v>10.64</v>
      </c>
      <c r="D3129" s="522"/>
      <c r="E3129" s="522"/>
      <c r="F3129" s="523"/>
      <c r="G3129" s="522"/>
      <c r="H3129" s="523"/>
      <c r="I3129" s="526"/>
      <c r="J3129" s="353"/>
    </row>
    <row r="3130" spans="1:10">
      <c r="A3130" s="527" t="s">
        <v>385</v>
      </c>
      <c r="B3130" s="528">
        <v>10</v>
      </c>
      <c r="C3130" s="529">
        <v>5.4</v>
      </c>
      <c r="D3130" s="530">
        <v>1.1616</v>
      </c>
      <c r="E3130" s="531"/>
      <c r="F3130" s="530">
        <v>4.7520000000000007</v>
      </c>
      <c r="G3130" s="530">
        <v>11.1936</v>
      </c>
      <c r="H3130" s="530">
        <v>3.9177599999999999</v>
      </c>
      <c r="I3130" s="532">
        <v>15.111359999999999</v>
      </c>
      <c r="J3130" s="353"/>
    </row>
    <row r="3131" spans="1:10">
      <c r="A3131" s="527"/>
      <c r="B3131" s="528"/>
      <c r="C3131" s="529"/>
      <c r="D3131" s="530"/>
      <c r="E3131" s="531"/>
      <c r="F3131" s="530"/>
      <c r="G3131" s="530"/>
      <c r="H3131" s="530"/>
      <c r="I3131" s="532"/>
      <c r="J3131" s="353"/>
    </row>
    <row r="3132" spans="1:10">
      <c r="A3132" s="519" t="s">
        <v>1750</v>
      </c>
      <c r="B3132" s="520"/>
      <c r="C3132" s="412">
        <f>C3133+C3134</f>
        <v>9.64</v>
      </c>
      <c r="D3132" s="412">
        <f>C3132*0.22</f>
        <v>2.1208</v>
      </c>
      <c r="E3132" s="384"/>
      <c r="F3132" s="412">
        <f t="shared" ref="F3132" si="953">C3132*0.9</f>
        <v>8.6760000000000002</v>
      </c>
      <c r="G3132" s="412">
        <f t="shared" ref="G3132" si="954">F3132+E3132+D3132+C3132</f>
        <v>20.436800000000002</v>
      </c>
      <c r="H3132" s="412">
        <f t="shared" ref="H3132" si="955">G3132*0.35</f>
        <v>7.1528799999999997</v>
      </c>
      <c r="I3132" s="413">
        <f t="shared" ref="I3132" si="956">G3132+H3132</f>
        <v>27.589680000000001</v>
      </c>
      <c r="J3132" s="349">
        <f>I3132+I3134+I3135</f>
        <v>37.663920000000005</v>
      </c>
    </row>
    <row r="3133" spans="1:10">
      <c r="A3133" s="521" t="s">
        <v>1739</v>
      </c>
      <c r="B3133" s="522">
        <v>0.5</v>
      </c>
      <c r="C3133" s="523">
        <v>5.39</v>
      </c>
      <c r="D3133" s="523"/>
      <c r="E3133" s="522"/>
      <c r="F3133" s="523"/>
      <c r="G3133" s="523"/>
      <c r="H3133" s="523"/>
      <c r="I3133" s="524"/>
      <c r="J3133" s="353"/>
    </row>
    <row r="3134" spans="1:10">
      <c r="A3134" s="525" t="s">
        <v>1436</v>
      </c>
      <c r="B3134" s="522">
        <v>0.5</v>
      </c>
      <c r="C3134" s="523">
        <v>4.25</v>
      </c>
      <c r="D3134" s="522"/>
      <c r="E3134" s="522"/>
      <c r="F3134" s="523"/>
      <c r="G3134" s="522"/>
      <c r="H3134" s="523"/>
      <c r="I3134" s="526"/>
      <c r="J3134" s="353"/>
    </row>
    <row r="3135" spans="1:10">
      <c r="A3135" s="527" t="s">
        <v>385</v>
      </c>
      <c r="B3135" s="528">
        <v>4</v>
      </c>
      <c r="C3135" s="529">
        <v>2.16</v>
      </c>
      <c r="D3135" s="530">
        <v>0.77439999999999998</v>
      </c>
      <c r="E3135" s="531"/>
      <c r="F3135" s="530">
        <v>3.1680000000000001</v>
      </c>
      <c r="G3135" s="530">
        <v>7.4623999999999997</v>
      </c>
      <c r="H3135" s="530">
        <v>2.6118399999999999</v>
      </c>
      <c r="I3135" s="532">
        <v>10.07424</v>
      </c>
      <c r="J3135" s="353"/>
    </row>
    <row r="3136" spans="1:10">
      <c r="A3136" s="527"/>
      <c r="B3136" s="528"/>
      <c r="C3136" s="529"/>
      <c r="D3136" s="530"/>
      <c r="E3136" s="531"/>
      <c r="F3136" s="530"/>
      <c r="G3136" s="530"/>
      <c r="H3136" s="530"/>
      <c r="I3136" s="532"/>
      <c r="J3136" s="353"/>
    </row>
    <row r="3137" spans="1:10" ht="21.75">
      <c r="A3137" s="519" t="s">
        <v>1751</v>
      </c>
      <c r="B3137" s="520"/>
      <c r="C3137" s="412">
        <f>C3138+C3139</f>
        <v>14.469999999999999</v>
      </c>
      <c r="D3137" s="412">
        <f>C3137*0.22</f>
        <v>3.1833999999999998</v>
      </c>
      <c r="E3137" s="384"/>
      <c r="F3137" s="412">
        <f t="shared" ref="F3137" si="957">C3137*0.9</f>
        <v>13.023</v>
      </c>
      <c r="G3137" s="412">
        <f t="shared" ref="G3137" si="958">F3137+E3137+D3137+C3137</f>
        <v>30.676399999999997</v>
      </c>
      <c r="H3137" s="412">
        <f t="shared" ref="H3137" si="959">G3137*0.35</f>
        <v>10.736739999999999</v>
      </c>
      <c r="I3137" s="413">
        <f t="shared" ref="I3137" si="960">G3137+H3137</f>
        <v>41.413139999999999</v>
      </c>
      <c r="J3137" s="349">
        <f>I3137+I3139+I3140</f>
        <v>48.968820000000001</v>
      </c>
    </row>
    <row r="3138" spans="1:10">
      <c r="A3138" s="521" t="s">
        <v>1739</v>
      </c>
      <c r="B3138" s="522">
        <v>0.75</v>
      </c>
      <c r="C3138" s="523">
        <v>8.09</v>
      </c>
      <c r="D3138" s="523"/>
      <c r="E3138" s="522"/>
      <c r="F3138" s="523"/>
      <c r="G3138" s="523"/>
      <c r="H3138" s="523"/>
      <c r="I3138" s="524"/>
      <c r="J3138" s="353"/>
    </row>
    <row r="3139" spans="1:10">
      <c r="A3139" s="525" t="s">
        <v>1436</v>
      </c>
      <c r="B3139" s="522">
        <v>0.75</v>
      </c>
      <c r="C3139" s="523">
        <v>6.38</v>
      </c>
      <c r="D3139" s="522"/>
      <c r="E3139" s="522"/>
      <c r="F3139" s="523"/>
      <c r="G3139" s="522"/>
      <c r="H3139" s="523"/>
      <c r="I3139" s="526"/>
      <c r="J3139" s="353"/>
    </row>
    <row r="3140" spans="1:10">
      <c r="A3140" s="527" t="s">
        <v>385</v>
      </c>
      <c r="B3140" s="528">
        <v>6</v>
      </c>
      <c r="C3140" s="529">
        <v>3.24</v>
      </c>
      <c r="D3140" s="530">
        <v>0.58079999999999998</v>
      </c>
      <c r="E3140" s="531"/>
      <c r="F3140" s="530">
        <v>2.3760000000000003</v>
      </c>
      <c r="G3140" s="530">
        <v>5.5968</v>
      </c>
      <c r="H3140" s="530">
        <v>1.95888</v>
      </c>
      <c r="I3140" s="532">
        <v>7.5556799999999997</v>
      </c>
      <c r="J3140" s="353"/>
    </row>
    <row r="3141" spans="1:10">
      <c r="A3141" s="527"/>
      <c r="B3141" s="528"/>
      <c r="C3141" s="529"/>
      <c r="D3141" s="530"/>
      <c r="E3141" s="531"/>
      <c r="F3141" s="530"/>
      <c r="G3141" s="530"/>
      <c r="H3141" s="530"/>
      <c r="I3141" s="532"/>
      <c r="J3141" s="353"/>
    </row>
    <row r="3142" spans="1:10" ht="21.75">
      <c r="A3142" s="519" t="s">
        <v>1752</v>
      </c>
      <c r="B3142" s="520"/>
      <c r="C3142" s="412">
        <f>C3143+C3144</f>
        <v>4.82</v>
      </c>
      <c r="D3142" s="412">
        <f>C3142*0.22</f>
        <v>1.0604</v>
      </c>
      <c r="E3142" s="384"/>
      <c r="F3142" s="412">
        <f t="shared" ref="F3142" si="961">C3142*0.9</f>
        <v>4.3380000000000001</v>
      </c>
      <c r="G3142" s="412">
        <f t="shared" ref="G3142" si="962">F3142+E3142+D3142+C3142</f>
        <v>10.218400000000001</v>
      </c>
      <c r="H3142" s="412">
        <f t="shared" ref="H3142" si="963">G3142*0.35</f>
        <v>3.5764399999999998</v>
      </c>
      <c r="I3142" s="413">
        <f t="shared" ref="I3142" si="964">G3142+H3142</f>
        <v>13.794840000000001</v>
      </c>
      <c r="J3142" s="349">
        <f>I3142+I3144+I3145</f>
        <v>22.6098</v>
      </c>
    </row>
    <row r="3143" spans="1:10">
      <c r="A3143" s="521" t="s">
        <v>1739</v>
      </c>
      <c r="B3143" s="522">
        <v>0.25</v>
      </c>
      <c r="C3143" s="523">
        <v>2.7</v>
      </c>
      <c r="D3143" s="523"/>
      <c r="E3143" s="522"/>
      <c r="F3143" s="523"/>
      <c r="G3143" s="523"/>
      <c r="H3143" s="523"/>
      <c r="I3143" s="524"/>
      <c r="J3143" s="353"/>
    </row>
    <row r="3144" spans="1:10">
      <c r="A3144" s="525" t="s">
        <v>1436</v>
      </c>
      <c r="B3144" s="522">
        <v>0.25</v>
      </c>
      <c r="C3144" s="523">
        <v>2.12</v>
      </c>
      <c r="D3144" s="522"/>
      <c r="E3144" s="522"/>
      <c r="F3144" s="523"/>
      <c r="G3144" s="522"/>
      <c r="H3144" s="523"/>
      <c r="I3144" s="526"/>
      <c r="J3144" s="353"/>
    </row>
    <row r="3145" spans="1:10">
      <c r="A3145" s="527" t="s">
        <v>385</v>
      </c>
      <c r="B3145" s="528">
        <v>2</v>
      </c>
      <c r="C3145" s="529">
        <v>1.08</v>
      </c>
      <c r="D3145" s="530">
        <v>0.67759999999999998</v>
      </c>
      <c r="E3145" s="531"/>
      <c r="F3145" s="530">
        <v>2.7720000000000002</v>
      </c>
      <c r="G3145" s="530">
        <v>6.5296000000000003</v>
      </c>
      <c r="H3145" s="530">
        <v>2.2853599999999998</v>
      </c>
      <c r="I3145" s="532">
        <v>8.8149599999999992</v>
      </c>
      <c r="J3145" s="353"/>
    </row>
    <row r="3146" spans="1:10">
      <c r="A3146" s="527"/>
      <c r="B3146" s="528"/>
      <c r="C3146" s="529"/>
      <c r="D3146" s="530"/>
      <c r="E3146" s="531"/>
      <c r="F3146" s="530"/>
      <c r="G3146" s="530"/>
      <c r="H3146" s="530"/>
      <c r="I3146" s="532"/>
      <c r="J3146" s="353"/>
    </row>
    <row r="3147" spans="1:10">
      <c r="A3147" s="519" t="s">
        <v>1753</v>
      </c>
      <c r="B3147" s="520"/>
      <c r="C3147" s="412">
        <f>C3148+C3149</f>
        <v>4.82</v>
      </c>
      <c r="D3147" s="412">
        <f>C3147*0.22</f>
        <v>1.0604</v>
      </c>
      <c r="E3147" s="384"/>
      <c r="F3147" s="412">
        <f t="shared" ref="F3147" si="965">C3147*0.9</f>
        <v>4.3380000000000001</v>
      </c>
      <c r="G3147" s="412">
        <f t="shared" ref="G3147" si="966">F3147+E3147+D3147+C3147</f>
        <v>10.218400000000001</v>
      </c>
      <c r="H3147" s="412">
        <f t="shared" ref="H3147" si="967">G3147*0.35</f>
        <v>3.5764399999999998</v>
      </c>
      <c r="I3147" s="413">
        <f t="shared" ref="I3147" si="968">G3147+H3147</f>
        <v>13.794840000000001</v>
      </c>
      <c r="J3147" s="349">
        <f>I3147+I3149+I3150</f>
        <v>17.572680000000002</v>
      </c>
    </row>
    <row r="3148" spans="1:10">
      <c r="A3148" s="521" t="s">
        <v>1739</v>
      </c>
      <c r="B3148" s="522">
        <v>0.25</v>
      </c>
      <c r="C3148" s="523">
        <v>2.7</v>
      </c>
      <c r="D3148" s="523"/>
      <c r="E3148" s="522"/>
      <c r="F3148" s="523"/>
      <c r="G3148" s="523"/>
      <c r="H3148" s="523"/>
      <c r="I3148" s="524"/>
      <c r="J3148" s="353"/>
    </row>
    <row r="3149" spans="1:10">
      <c r="A3149" s="525" t="s">
        <v>1436</v>
      </c>
      <c r="B3149" s="522">
        <v>0.25</v>
      </c>
      <c r="C3149" s="523">
        <v>2.12</v>
      </c>
      <c r="D3149" s="522"/>
      <c r="E3149" s="522"/>
      <c r="F3149" s="523"/>
      <c r="G3149" s="522"/>
      <c r="H3149" s="523"/>
      <c r="I3149" s="526"/>
      <c r="J3149" s="353"/>
    </row>
    <row r="3150" spans="1:10">
      <c r="A3150" s="527" t="s">
        <v>385</v>
      </c>
      <c r="B3150" s="522">
        <v>2</v>
      </c>
      <c r="C3150" s="529">
        <v>1.08</v>
      </c>
      <c r="D3150" s="530">
        <v>0.29039999999999999</v>
      </c>
      <c r="E3150" s="531"/>
      <c r="F3150" s="530">
        <v>1.1880000000000002</v>
      </c>
      <c r="G3150" s="530">
        <v>2.7984</v>
      </c>
      <c r="H3150" s="530">
        <v>0.97943999999999998</v>
      </c>
      <c r="I3150" s="532">
        <v>3.7778399999999999</v>
      </c>
      <c r="J3150" s="353"/>
    </row>
    <row r="3151" spans="1:10">
      <c r="A3151" s="527"/>
      <c r="B3151" s="528"/>
      <c r="C3151" s="529"/>
      <c r="D3151" s="530"/>
      <c r="E3151" s="531"/>
      <c r="F3151" s="530"/>
      <c r="G3151" s="530"/>
      <c r="H3151" s="530"/>
      <c r="I3151" s="532"/>
      <c r="J3151" s="353"/>
    </row>
    <row r="3152" spans="1:10">
      <c r="A3152" s="519" t="s">
        <v>1754</v>
      </c>
      <c r="B3152" s="520"/>
      <c r="C3152" s="412">
        <f>C3153+C3154</f>
        <v>4.82</v>
      </c>
      <c r="D3152" s="412">
        <f>C3152*0.22</f>
        <v>1.0604</v>
      </c>
      <c r="E3152" s="384"/>
      <c r="F3152" s="412">
        <f t="shared" ref="F3152" si="969">C3152*0.9</f>
        <v>4.3380000000000001</v>
      </c>
      <c r="G3152" s="412">
        <f t="shared" ref="G3152" si="970">F3152+E3152+D3152+C3152</f>
        <v>10.218400000000001</v>
      </c>
      <c r="H3152" s="412">
        <f t="shared" ref="H3152" si="971">G3152*0.35</f>
        <v>3.5764399999999998</v>
      </c>
      <c r="I3152" s="413">
        <f t="shared" ref="I3152" si="972">G3152+H3152</f>
        <v>13.794840000000001</v>
      </c>
      <c r="J3152" s="349">
        <f>I3152+I3154+I3155</f>
        <v>18.831960000000002</v>
      </c>
    </row>
    <row r="3153" spans="1:10">
      <c r="A3153" s="521" t="s">
        <v>1739</v>
      </c>
      <c r="B3153" s="522">
        <v>0.25</v>
      </c>
      <c r="C3153" s="523">
        <v>2.7</v>
      </c>
      <c r="D3153" s="523"/>
      <c r="E3153" s="522"/>
      <c r="F3153" s="523"/>
      <c r="G3153" s="523"/>
      <c r="H3153" s="523"/>
      <c r="I3153" s="524"/>
      <c r="J3153" s="353"/>
    </row>
    <row r="3154" spans="1:10">
      <c r="A3154" s="525" t="s">
        <v>1436</v>
      </c>
      <c r="B3154" s="522">
        <v>0.25</v>
      </c>
      <c r="C3154" s="523">
        <v>2.12</v>
      </c>
      <c r="D3154" s="522"/>
      <c r="E3154" s="522"/>
      <c r="F3154" s="523"/>
      <c r="G3154" s="522"/>
      <c r="H3154" s="523"/>
      <c r="I3154" s="526"/>
      <c r="J3154" s="353"/>
    </row>
    <row r="3155" spans="1:10" s="406" customFormat="1">
      <c r="A3155" s="527" t="s">
        <v>385</v>
      </c>
      <c r="B3155" s="522">
        <v>2</v>
      </c>
      <c r="C3155" s="529">
        <v>1.08</v>
      </c>
      <c r="D3155" s="530">
        <v>0.38719999999999999</v>
      </c>
      <c r="E3155" s="531"/>
      <c r="F3155" s="530">
        <v>1.5840000000000001</v>
      </c>
      <c r="G3155" s="530">
        <v>3.7311999999999999</v>
      </c>
      <c r="H3155" s="530">
        <v>1.30592</v>
      </c>
      <c r="I3155" s="532">
        <v>5.0371199999999998</v>
      </c>
      <c r="J3155" s="353"/>
    </row>
    <row r="3156" spans="1:10" s="406" customFormat="1">
      <c r="A3156" s="527"/>
      <c r="B3156" s="528"/>
      <c r="C3156" s="529"/>
      <c r="D3156" s="530"/>
      <c r="E3156" s="531"/>
      <c r="F3156" s="530"/>
      <c r="G3156" s="530"/>
      <c r="H3156" s="530"/>
      <c r="I3156" s="532"/>
      <c r="J3156" s="353"/>
    </row>
    <row r="3157" spans="1:10" s="406" customFormat="1" ht="32.25">
      <c r="A3157" s="519" t="s">
        <v>1755</v>
      </c>
      <c r="B3157" s="520"/>
      <c r="C3157" s="412">
        <f>C3158+C3159</f>
        <v>9.64</v>
      </c>
      <c r="D3157" s="412">
        <f>C3157*0.22</f>
        <v>2.1208</v>
      </c>
      <c r="E3157" s="384"/>
      <c r="F3157" s="412">
        <f t="shared" ref="F3157" si="973">C3157*0.9</f>
        <v>8.6760000000000002</v>
      </c>
      <c r="G3157" s="412">
        <f t="shared" ref="G3157" si="974">F3157+E3157+D3157+C3157</f>
        <v>20.436800000000002</v>
      </c>
      <c r="H3157" s="412">
        <f t="shared" ref="H3157" si="975">G3157*0.35</f>
        <v>7.1528799999999997</v>
      </c>
      <c r="I3157" s="413">
        <f t="shared" ref="I3157" si="976">G3157+H3157</f>
        <v>27.589680000000001</v>
      </c>
      <c r="J3157" s="349">
        <f>I3157+I3159+I3160</f>
        <v>35.145360000000004</v>
      </c>
    </row>
    <row r="3158" spans="1:10" s="406" customFormat="1">
      <c r="A3158" s="521" t="s">
        <v>1739</v>
      </c>
      <c r="B3158" s="522">
        <v>0.5</v>
      </c>
      <c r="C3158" s="523">
        <v>5.39</v>
      </c>
      <c r="D3158" s="523"/>
      <c r="E3158" s="522"/>
      <c r="F3158" s="523"/>
      <c r="G3158" s="523"/>
      <c r="H3158" s="523"/>
      <c r="I3158" s="524"/>
      <c r="J3158" s="353"/>
    </row>
    <row r="3159" spans="1:10" s="406" customFormat="1">
      <c r="A3159" s="525" t="s">
        <v>1436</v>
      </c>
      <c r="B3159" s="522">
        <v>0.5</v>
      </c>
      <c r="C3159" s="523">
        <v>4.25</v>
      </c>
      <c r="D3159" s="522"/>
      <c r="E3159" s="522"/>
      <c r="F3159" s="523"/>
      <c r="G3159" s="522"/>
      <c r="H3159" s="523"/>
      <c r="I3159" s="526"/>
      <c r="J3159" s="353"/>
    </row>
    <row r="3160" spans="1:10" s="406" customFormat="1">
      <c r="A3160" s="527" t="s">
        <v>385</v>
      </c>
      <c r="B3160" s="528">
        <v>4</v>
      </c>
      <c r="C3160" s="529">
        <v>2.16</v>
      </c>
      <c r="D3160" s="530">
        <v>0.58079999999999998</v>
      </c>
      <c r="E3160" s="531"/>
      <c r="F3160" s="530">
        <v>2.3760000000000003</v>
      </c>
      <c r="G3160" s="530">
        <v>5.5968</v>
      </c>
      <c r="H3160" s="530">
        <v>1.95888</v>
      </c>
      <c r="I3160" s="532">
        <v>7.5556799999999997</v>
      </c>
      <c r="J3160" s="353"/>
    </row>
    <row r="3161" spans="1:10" s="406" customFormat="1">
      <c r="A3161" s="527"/>
      <c r="B3161" s="528"/>
      <c r="C3161" s="529"/>
      <c r="D3161" s="530"/>
      <c r="E3161" s="531"/>
      <c r="F3161" s="530"/>
      <c r="G3161" s="530"/>
      <c r="H3161" s="530"/>
      <c r="I3161" s="532"/>
      <c r="J3161" s="353"/>
    </row>
    <row r="3162" spans="1:10" ht="32.25">
      <c r="A3162" s="519" t="s">
        <v>1756</v>
      </c>
      <c r="B3162" s="520"/>
      <c r="C3162" s="412">
        <f>C3163+C3164</f>
        <v>14.469999999999999</v>
      </c>
      <c r="D3162" s="412">
        <f>C3162*0.22</f>
        <v>3.1833999999999998</v>
      </c>
      <c r="E3162" s="384"/>
      <c r="F3162" s="412">
        <f t="shared" ref="F3162" si="977">C3162*0.9</f>
        <v>13.023</v>
      </c>
      <c r="G3162" s="412">
        <f t="shared" ref="G3162" si="978">F3162+E3162+D3162+C3162</f>
        <v>30.676399999999997</v>
      </c>
      <c r="H3162" s="412">
        <f t="shared" ref="H3162" si="979">G3162*0.35</f>
        <v>10.736739999999999</v>
      </c>
      <c r="I3162" s="413">
        <f t="shared" ref="I3162" si="980">G3162+H3162</f>
        <v>41.413139999999999</v>
      </c>
      <c r="J3162" s="349">
        <f>I3162+I3164+I3165</f>
        <v>61.561619999999998</v>
      </c>
    </row>
    <row r="3163" spans="1:10">
      <c r="A3163" s="521" t="s">
        <v>1739</v>
      </c>
      <c r="B3163" s="522">
        <v>0.75</v>
      </c>
      <c r="C3163" s="523">
        <v>8.09</v>
      </c>
      <c r="D3163" s="523"/>
      <c r="E3163" s="522"/>
      <c r="F3163" s="523"/>
      <c r="G3163" s="523"/>
      <c r="H3163" s="523"/>
      <c r="I3163" s="524"/>
      <c r="J3163" s="353"/>
    </row>
    <row r="3164" spans="1:10">
      <c r="A3164" s="525" t="s">
        <v>1436</v>
      </c>
      <c r="B3164" s="522">
        <v>0.75</v>
      </c>
      <c r="C3164" s="523">
        <v>6.38</v>
      </c>
      <c r="D3164" s="522"/>
      <c r="E3164" s="522"/>
      <c r="F3164" s="523"/>
      <c r="G3164" s="522"/>
      <c r="H3164" s="523"/>
      <c r="I3164" s="526"/>
      <c r="J3164" s="353"/>
    </row>
    <row r="3165" spans="1:10">
      <c r="A3165" s="527" t="s">
        <v>385</v>
      </c>
      <c r="B3165" s="522">
        <v>6</v>
      </c>
      <c r="C3165" s="529">
        <v>3.24</v>
      </c>
      <c r="D3165" s="530">
        <v>1.5488</v>
      </c>
      <c r="E3165" s="531"/>
      <c r="F3165" s="530">
        <v>6.3360000000000003</v>
      </c>
      <c r="G3165" s="530">
        <v>14.924799999999999</v>
      </c>
      <c r="H3165" s="530">
        <v>5.2236799999999999</v>
      </c>
      <c r="I3165" s="532">
        <v>20.148479999999999</v>
      </c>
      <c r="J3165" s="353"/>
    </row>
    <row r="3166" spans="1:10">
      <c r="A3166" s="527"/>
      <c r="B3166" s="528"/>
      <c r="C3166" s="529"/>
      <c r="D3166" s="530"/>
      <c r="E3166" s="531"/>
      <c r="F3166" s="530"/>
      <c r="G3166" s="530"/>
      <c r="H3166" s="530"/>
      <c r="I3166" s="532"/>
      <c r="J3166" s="353"/>
    </row>
    <row r="3167" spans="1:10" ht="32.25">
      <c r="A3167" s="519" t="s">
        <v>1757</v>
      </c>
      <c r="B3167" s="520"/>
      <c r="C3167" s="412">
        <f>C3168+C3169</f>
        <v>9.64</v>
      </c>
      <c r="D3167" s="412">
        <f>C3167*0.22</f>
        <v>2.1208</v>
      </c>
      <c r="E3167" s="384"/>
      <c r="F3167" s="412">
        <f t="shared" ref="F3167" si="981">C3167*0.9</f>
        <v>8.6760000000000002</v>
      </c>
      <c r="G3167" s="412">
        <f>F3167+E3167+D3167+C3167</f>
        <v>20.436800000000002</v>
      </c>
      <c r="H3167" s="412">
        <f t="shared" ref="H3167" si="982">G3167*0.35</f>
        <v>7.1528799999999997</v>
      </c>
      <c r="I3167" s="413">
        <f t="shared" ref="I3167" si="983">G3167+H3167</f>
        <v>27.589680000000001</v>
      </c>
      <c r="J3167" s="349">
        <f>I3167+I3169+I3170</f>
        <v>67.88664</v>
      </c>
    </row>
    <row r="3168" spans="1:10">
      <c r="A3168" s="521" t="s">
        <v>1739</v>
      </c>
      <c r="B3168" s="522">
        <v>0.5</v>
      </c>
      <c r="C3168" s="523">
        <v>5.39</v>
      </c>
      <c r="D3168" s="523"/>
      <c r="E3168" s="522"/>
      <c r="F3168" s="523"/>
      <c r="G3168" s="523"/>
      <c r="H3168" s="523"/>
      <c r="I3168" s="524"/>
      <c r="J3168" s="353"/>
    </row>
    <row r="3169" spans="1:10">
      <c r="A3169" s="525" t="s">
        <v>1436</v>
      </c>
      <c r="B3169" s="522">
        <v>0.5</v>
      </c>
      <c r="C3169" s="523">
        <v>4.25</v>
      </c>
      <c r="D3169" s="522"/>
      <c r="E3169" s="522"/>
      <c r="F3169" s="523"/>
      <c r="G3169" s="522"/>
      <c r="H3169" s="523"/>
      <c r="I3169" s="526"/>
      <c r="J3169" s="353"/>
    </row>
    <row r="3170" spans="1:10">
      <c r="A3170" s="527" t="s">
        <v>385</v>
      </c>
      <c r="B3170" s="528">
        <v>4</v>
      </c>
      <c r="C3170" s="529">
        <v>2.16</v>
      </c>
      <c r="D3170" s="530">
        <v>3.0975999999999999</v>
      </c>
      <c r="E3170" s="531"/>
      <c r="F3170" s="530">
        <v>12.672000000000001</v>
      </c>
      <c r="G3170" s="530">
        <v>29.849599999999999</v>
      </c>
      <c r="H3170" s="530">
        <v>10.44736</v>
      </c>
      <c r="I3170" s="532">
        <v>40.296959999999999</v>
      </c>
      <c r="J3170" s="353"/>
    </row>
    <row r="3171" spans="1:10">
      <c r="A3171" s="527"/>
      <c r="B3171" s="528"/>
      <c r="C3171" s="529"/>
      <c r="D3171" s="530"/>
      <c r="E3171" s="531"/>
      <c r="F3171" s="530"/>
      <c r="G3171" s="530"/>
      <c r="H3171" s="530"/>
      <c r="I3171" s="532"/>
      <c r="J3171" s="353"/>
    </row>
    <row r="3172" spans="1:10" ht="21.75">
      <c r="A3172" s="519" t="s">
        <v>1758</v>
      </c>
      <c r="B3172" s="520"/>
      <c r="C3172" s="412">
        <f>C3173+C3174</f>
        <v>38.599999999999994</v>
      </c>
      <c r="D3172" s="412">
        <f>C3172*0.22</f>
        <v>8.4919999999999991</v>
      </c>
      <c r="E3172" s="384"/>
      <c r="F3172" s="412">
        <f t="shared" ref="F3172" si="984">C3172*0.9</f>
        <v>34.739999999999995</v>
      </c>
      <c r="G3172" s="412">
        <f>F3172+E3172+D3172+C3172</f>
        <v>81.831999999999994</v>
      </c>
      <c r="H3172" s="412">
        <f t="shared" ref="H3172" si="985">G3172*0.35</f>
        <v>28.641199999999994</v>
      </c>
      <c r="I3172" s="413">
        <f t="shared" ref="I3172" si="986">G3172+H3172</f>
        <v>110.47319999999999</v>
      </c>
      <c r="J3172" s="349">
        <f>I3172+I3174+I3175</f>
        <v>115.51031999999999</v>
      </c>
    </row>
    <row r="3173" spans="1:10">
      <c r="A3173" s="521" t="s">
        <v>1739</v>
      </c>
      <c r="B3173" s="522">
        <v>2</v>
      </c>
      <c r="C3173" s="523">
        <v>21.58</v>
      </c>
      <c r="D3173" s="523"/>
      <c r="E3173" s="522"/>
      <c r="F3173" s="523"/>
      <c r="G3173" s="523"/>
      <c r="H3173" s="523"/>
      <c r="I3173" s="524"/>
      <c r="J3173" s="353"/>
    </row>
    <row r="3174" spans="1:10">
      <c r="A3174" s="525" t="s">
        <v>1436</v>
      </c>
      <c r="B3174" s="522">
        <v>2</v>
      </c>
      <c r="C3174" s="523">
        <v>17.02</v>
      </c>
      <c r="D3174" s="522"/>
      <c r="E3174" s="522"/>
      <c r="F3174" s="523"/>
      <c r="G3174" s="522"/>
      <c r="H3174" s="523"/>
      <c r="I3174" s="526"/>
      <c r="J3174" s="353"/>
    </row>
    <row r="3175" spans="1:10">
      <c r="A3175" s="527" t="s">
        <v>385</v>
      </c>
      <c r="B3175" s="528">
        <v>16</v>
      </c>
      <c r="C3175" s="529">
        <v>8.64</v>
      </c>
      <c r="D3175" s="530">
        <v>0.38719999999999999</v>
      </c>
      <c r="E3175" s="531"/>
      <c r="F3175" s="530">
        <v>1.5840000000000001</v>
      </c>
      <c r="G3175" s="530">
        <v>3.7311999999999999</v>
      </c>
      <c r="H3175" s="530">
        <v>1.30592</v>
      </c>
      <c r="I3175" s="532">
        <v>5.0371199999999998</v>
      </c>
      <c r="J3175" s="353"/>
    </row>
    <row r="3176" spans="1:10">
      <c r="A3176" s="527"/>
      <c r="B3176" s="528"/>
      <c r="C3176" s="529"/>
      <c r="D3176" s="530"/>
      <c r="E3176" s="531"/>
      <c r="F3176" s="530"/>
      <c r="G3176" s="530"/>
      <c r="H3176" s="530"/>
      <c r="I3176" s="532"/>
      <c r="J3176" s="353"/>
    </row>
    <row r="3177" spans="1:10">
      <c r="A3177" s="519" t="s">
        <v>1759</v>
      </c>
      <c r="B3177" s="520"/>
      <c r="C3177" s="412">
        <f>C3178+C3179</f>
        <v>57.9</v>
      </c>
      <c r="D3177" s="412">
        <f>C3177*0.22</f>
        <v>12.738</v>
      </c>
      <c r="E3177" s="384"/>
      <c r="F3177" s="412">
        <f t="shared" ref="F3177" si="987">C3177*0.9</f>
        <v>52.11</v>
      </c>
      <c r="G3177" s="412">
        <f>F3177+E3177+D3177+C3177</f>
        <v>122.74799999999999</v>
      </c>
      <c r="H3177" s="412">
        <f t="shared" ref="H3177" si="988">G3177*0.35</f>
        <v>42.961799999999997</v>
      </c>
      <c r="I3177" s="413">
        <f t="shared" ref="I3177" si="989">G3177+H3177</f>
        <v>165.70979999999997</v>
      </c>
      <c r="J3177" s="349">
        <f>I3177+I3179+I3180</f>
        <v>168.22835999999998</v>
      </c>
    </row>
    <row r="3178" spans="1:10">
      <c r="A3178" s="521" t="s">
        <v>1739</v>
      </c>
      <c r="B3178" s="522">
        <v>3</v>
      </c>
      <c r="C3178" s="523">
        <v>32.369999999999997</v>
      </c>
      <c r="D3178" s="523"/>
      <c r="E3178" s="522"/>
      <c r="F3178" s="523"/>
      <c r="G3178" s="523"/>
      <c r="H3178" s="523"/>
      <c r="I3178" s="524"/>
      <c r="J3178" s="353"/>
    </row>
    <row r="3179" spans="1:10">
      <c r="A3179" s="525" t="s">
        <v>1436</v>
      </c>
      <c r="B3179" s="522">
        <v>3</v>
      </c>
      <c r="C3179" s="523">
        <v>25.53</v>
      </c>
      <c r="D3179" s="522"/>
      <c r="E3179" s="522"/>
      <c r="F3179" s="523"/>
      <c r="G3179" s="522"/>
      <c r="H3179" s="523"/>
      <c r="I3179" s="526"/>
      <c r="J3179" s="353"/>
    </row>
    <row r="3180" spans="1:10">
      <c r="A3180" s="527" t="s">
        <v>385</v>
      </c>
      <c r="B3180" s="528">
        <v>24</v>
      </c>
      <c r="C3180" s="529">
        <v>12.96</v>
      </c>
      <c r="D3180" s="530">
        <v>0.19359999999999999</v>
      </c>
      <c r="E3180" s="531"/>
      <c r="F3180" s="530">
        <v>0.79200000000000004</v>
      </c>
      <c r="G3180" s="530">
        <v>1.8655999999999999</v>
      </c>
      <c r="H3180" s="530">
        <v>0.65295999999999998</v>
      </c>
      <c r="I3180" s="532">
        <v>2.5185599999999999</v>
      </c>
      <c r="J3180" s="353"/>
    </row>
    <row r="3181" spans="1:10">
      <c r="A3181" s="527"/>
      <c r="B3181" s="528"/>
      <c r="C3181" s="529"/>
      <c r="D3181" s="530"/>
      <c r="E3181" s="531"/>
      <c r="F3181" s="530"/>
      <c r="G3181" s="530"/>
      <c r="H3181" s="530"/>
      <c r="I3181" s="532"/>
      <c r="J3181" s="353"/>
    </row>
    <row r="3182" spans="1:10" ht="32.25">
      <c r="A3182" s="519" t="s">
        <v>1760</v>
      </c>
      <c r="B3182" s="520"/>
      <c r="C3182" s="412">
        <f>C3183+C3184</f>
        <v>4.83</v>
      </c>
      <c r="D3182" s="412">
        <f>C3182*0.22</f>
        <v>1.0626</v>
      </c>
      <c r="E3182" s="384"/>
      <c r="F3182" s="412">
        <f t="shared" ref="F3182" si="990">C3182*0.9</f>
        <v>4.3470000000000004</v>
      </c>
      <c r="G3182" s="412">
        <f>F3182+E3182+D3182+C3182</f>
        <v>10.239599999999999</v>
      </c>
      <c r="H3182" s="412">
        <f t="shared" ref="H3182" si="991">G3182*0.35</f>
        <v>3.5838599999999996</v>
      </c>
      <c r="I3182" s="413">
        <f t="shared" ref="I3182" si="992">G3182+H3182</f>
        <v>13.823459999999999</v>
      </c>
      <c r="J3182" s="349">
        <f>I3182+I3184+I3185</f>
        <v>16.342019999999998</v>
      </c>
    </row>
    <row r="3183" spans="1:10">
      <c r="A3183" s="521" t="s">
        <v>1739</v>
      </c>
      <c r="B3183" s="522">
        <v>0.25</v>
      </c>
      <c r="C3183" s="523">
        <v>2.7</v>
      </c>
      <c r="D3183" s="523"/>
      <c r="E3183" s="522"/>
      <c r="F3183" s="523"/>
      <c r="G3183" s="523"/>
      <c r="H3183" s="523"/>
      <c r="I3183" s="524"/>
      <c r="J3183" s="353"/>
    </row>
    <row r="3184" spans="1:10">
      <c r="A3184" s="525" t="s">
        <v>1436</v>
      </c>
      <c r="B3184" s="522">
        <v>0.25</v>
      </c>
      <c r="C3184" s="523">
        <v>2.13</v>
      </c>
      <c r="D3184" s="522"/>
      <c r="E3184" s="522"/>
      <c r="F3184" s="523"/>
      <c r="G3184" s="522"/>
      <c r="H3184" s="523"/>
      <c r="I3184" s="526"/>
      <c r="J3184" s="353"/>
    </row>
    <row r="3185" spans="1:10">
      <c r="A3185" s="527" t="s">
        <v>385</v>
      </c>
      <c r="B3185" s="528">
        <v>2</v>
      </c>
      <c r="C3185" s="529">
        <v>1.08</v>
      </c>
      <c r="D3185" s="530">
        <v>0.19359999999999999</v>
      </c>
      <c r="E3185" s="531"/>
      <c r="F3185" s="530">
        <v>0.79200000000000004</v>
      </c>
      <c r="G3185" s="530">
        <v>1.8655999999999999</v>
      </c>
      <c r="H3185" s="530">
        <v>0.65295999999999998</v>
      </c>
      <c r="I3185" s="532">
        <v>2.5185599999999999</v>
      </c>
      <c r="J3185" s="353"/>
    </row>
    <row r="3186" spans="1:10">
      <c r="A3186" s="527"/>
      <c r="B3186" s="528"/>
      <c r="C3186" s="529"/>
      <c r="D3186" s="530"/>
      <c r="E3186" s="531"/>
      <c r="F3186" s="530"/>
      <c r="G3186" s="530"/>
      <c r="H3186" s="530"/>
      <c r="I3186" s="532"/>
      <c r="J3186" s="353"/>
    </row>
    <row r="3187" spans="1:10">
      <c r="A3187" s="519" t="s">
        <v>1761</v>
      </c>
      <c r="B3187" s="520"/>
      <c r="C3187" s="412">
        <f>C3188+C3189</f>
        <v>9.64</v>
      </c>
      <c r="D3187" s="412">
        <f>C3187*0.22</f>
        <v>2.1208</v>
      </c>
      <c r="E3187" s="384"/>
      <c r="F3187" s="412">
        <f t="shared" ref="F3187" si="993">C3187*0.9</f>
        <v>8.6760000000000002</v>
      </c>
      <c r="G3187" s="412">
        <f>F3187+E3187+D3187+C3187</f>
        <v>20.436800000000002</v>
      </c>
      <c r="H3187" s="412">
        <f t="shared" ref="H3187" si="994">G3187*0.35</f>
        <v>7.1528799999999997</v>
      </c>
      <c r="I3187" s="413">
        <f t="shared" ref="I3187" si="995">G3187+H3187</f>
        <v>27.589680000000001</v>
      </c>
      <c r="J3187" s="349">
        <f>I3187+I3189+I3190</f>
        <v>57.812399999999997</v>
      </c>
    </row>
    <row r="3188" spans="1:10">
      <c r="A3188" s="521" t="s">
        <v>1739</v>
      </c>
      <c r="B3188" s="522">
        <v>0.5</v>
      </c>
      <c r="C3188" s="523">
        <v>5.39</v>
      </c>
      <c r="D3188" s="523"/>
      <c r="E3188" s="522"/>
      <c r="F3188" s="523"/>
      <c r="G3188" s="523"/>
      <c r="H3188" s="523"/>
      <c r="I3188" s="524"/>
      <c r="J3188" s="353"/>
    </row>
    <row r="3189" spans="1:10">
      <c r="A3189" s="525" t="s">
        <v>1436</v>
      </c>
      <c r="B3189" s="522">
        <v>0.5</v>
      </c>
      <c r="C3189" s="523">
        <v>4.25</v>
      </c>
      <c r="D3189" s="522"/>
      <c r="E3189" s="522"/>
      <c r="F3189" s="523"/>
      <c r="G3189" s="522"/>
      <c r="H3189" s="523"/>
      <c r="I3189" s="526"/>
      <c r="J3189" s="353"/>
    </row>
    <row r="3190" spans="1:10">
      <c r="A3190" s="527" t="s">
        <v>385</v>
      </c>
      <c r="B3190" s="528">
        <v>4</v>
      </c>
      <c r="C3190" s="529">
        <v>2.16</v>
      </c>
      <c r="D3190" s="530">
        <v>2.3231999999999999</v>
      </c>
      <c r="E3190" s="531"/>
      <c r="F3190" s="530">
        <v>9.5040000000000013</v>
      </c>
      <c r="G3190" s="530">
        <v>22.3872</v>
      </c>
      <c r="H3190" s="530">
        <v>7.8355199999999998</v>
      </c>
      <c r="I3190" s="532">
        <v>30.222719999999999</v>
      </c>
      <c r="J3190" s="353"/>
    </row>
    <row r="3191" spans="1:10">
      <c r="A3191" s="527"/>
      <c r="B3191" s="528"/>
      <c r="C3191" s="529"/>
      <c r="D3191" s="530"/>
      <c r="E3191" s="531"/>
      <c r="F3191" s="530"/>
      <c r="G3191" s="530"/>
      <c r="H3191" s="530"/>
      <c r="I3191" s="532"/>
      <c r="J3191" s="353"/>
    </row>
    <row r="3192" spans="1:10" ht="21.75">
      <c r="A3192" s="519" t="s">
        <v>1762</v>
      </c>
      <c r="B3192" s="520"/>
      <c r="C3192" s="412">
        <f>C3193+C3194</f>
        <v>4.83</v>
      </c>
      <c r="D3192" s="412">
        <f>C3192*0.22</f>
        <v>1.0626</v>
      </c>
      <c r="E3192" s="384"/>
      <c r="F3192" s="412">
        <f t="shared" ref="F3192" si="996">C3192*0.9</f>
        <v>4.3470000000000004</v>
      </c>
      <c r="G3192" s="412">
        <f>F3192+E3192+D3192+C3192</f>
        <v>10.239599999999999</v>
      </c>
      <c r="H3192" s="412">
        <f t="shared" ref="H3192" si="997">G3192*0.35</f>
        <v>3.5838599999999996</v>
      </c>
      <c r="I3192" s="413">
        <f t="shared" ref="I3192" si="998">G3192+H3192</f>
        <v>13.823459999999999</v>
      </c>
      <c r="J3192" s="349">
        <f>I3192+I3194+I3195</f>
        <v>23.8977</v>
      </c>
    </row>
    <row r="3193" spans="1:10">
      <c r="A3193" s="521" t="s">
        <v>1739</v>
      </c>
      <c r="B3193" s="522">
        <v>0.25</v>
      </c>
      <c r="C3193" s="523">
        <v>2.7</v>
      </c>
      <c r="D3193" s="523"/>
      <c r="E3193" s="522"/>
      <c r="F3193" s="523"/>
      <c r="G3193" s="523"/>
      <c r="H3193" s="523"/>
      <c r="I3193" s="524"/>
      <c r="J3193" s="353"/>
    </row>
    <row r="3194" spans="1:10">
      <c r="A3194" s="525" t="s">
        <v>1436</v>
      </c>
      <c r="B3194" s="522">
        <v>0.25</v>
      </c>
      <c r="C3194" s="523">
        <v>2.13</v>
      </c>
      <c r="D3194" s="522"/>
      <c r="E3194" s="522"/>
      <c r="F3194" s="523"/>
      <c r="G3194" s="522"/>
      <c r="H3194" s="523"/>
      <c r="I3194" s="526"/>
      <c r="J3194" s="353"/>
    </row>
    <row r="3195" spans="1:10">
      <c r="A3195" s="527" t="s">
        <v>385</v>
      </c>
      <c r="B3195" s="528">
        <v>2</v>
      </c>
      <c r="C3195" s="529">
        <v>1.08</v>
      </c>
      <c r="D3195" s="530">
        <v>0.77439999999999998</v>
      </c>
      <c r="E3195" s="531"/>
      <c r="F3195" s="530">
        <v>3.1680000000000001</v>
      </c>
      <c r="G3195" s="530">
        <v>7.4623999999999997</v>
      </c>
      <c r="H3195" s="530">
        <v>2.6118399999999999</v>
      </c>
      <c r="I3195" s="532">
        <v>10.07424</v>
      </c>
      <c r="J3195" s="353"/>
    </row>
    <row r="3196" spans="1:10">
      <c r="A3196" s="527"/>
      <c r="B3196" s="528"/>
      <c r="C3196" s="529"/>
      <c r="D3196" s="530"/>
      <c r="E3196" s="531"/>
      <c r="F3196" s="530"/>
      <c r="G3196" s="530"/>
      <c r="H3196" s="530"/>
      <c r="I3196" s="532"/>
      <c r="J3196" s="353"/>
    </row>
    <row r="3197" spans="1:10">
      <c r="A3197" s="519" t="s">
        <v>1763</v>
      </c>
      <c r="B3197" s="520"/>
      <c r="C3197" s="412">
        <f>C3198+C3199</f>
        <v>4.83</v>
      </c>
      <c r="D3197" s="412">
        <f>C3197*0.22</f>
        <v>1.0626</v>
      </c>
      <c r="E3197" s="384"/>
      <c r="F3197" s="412">
        <f t="shared" ref="F3197" si="999">C3197*0.9</f>
        <v>4.3470000000000004</v>
      </c>
      <c r="G3197" s="412">
        <f>F3197+E3197+D3197+C3197</f>
        <v>10.239599999999999</v>
      </c>
      <c r="H3197" s="412">
        <f t="shared" ref="H3197" si="1000">G3197*0.35</f>
        <v>3.5838599999999996</v>
      </c>
      <c r="I3197" s="413">
        <f t="shared" ref="I3197" si="1001">G3197+H3197</f>
        <v>13.823459999999999</v>
      </c>
      <c r="J3197" s="349">
        <f>I3197+I3199+I3200</f>
        <v>23.8977</v>
      </c>
    </row>
    <row r="3198" spans="1:10">
      <c r="A3198" s="521" t="s">
        <v>1739</v>
      </c>
      <c r="B3198" s="522">
        <v>0.25</v>
      </c>
      <c r="C3198" s="523">
        <v>2.7</v>
      </c>
      <c r="D3198" s="523"/>
      <c r="E3198" s="522"/>
      <c r="F3198" s="523"/>
      <c r="G3198" s="523"/>
      <c r="H3198" s="523"/>
      <c r="I3198" s="524"/>
      <c r="J3198" s="353"/>
    </row>
    <row r="3199" spans="1:10">
      <c r="A3199" s="525" t="s">
        <v>1436</v>
      </c>
      <c r="B3199" s="522">
        <v>0.25</v>
      </c>
      <c r="C3199" s="523">
        <v>2.13</v>
      </c>
      <c r="D3199" s="522"/>
      <c r="E3199" s="522"/>
      <c r="F3199" s="523"/>
      <c r="G3199" s="522"/>
      <c r="H3199" s="523"/>
      <c r="I3199" s="526"/>
      <c r="J3199" s="353"/>
    </row>
    <row r="3200" spans="1:10">
      <c r="A3200" s="527" t="s">
        <v>385</v>
      </c>
      <c r="B3200" s="528">
        <v>2</v>
      </c>
      <c r="C3200" s="529">
        <v>1.08</v>
      </c>
      <c r="D3200" s="530">
        <v>0.77439999999999998</v>
      </c>
      <c r="E3200" s="531"/>
      <c r="F3200" s="530">
        <v>3.1680000000000001</v>
      </c>
      <c r="G3200" s="530">
        <v>7.4623999999999997</v>
      </c>
      <c r="H3200" s="530">
        <v>2.6118399999999999</v>
      </c>
      <c r="I3200" s="532">
        <v>10.07424</v>
      </c>
      <c r="J3200" s="353"/>
    </row>
    <row r="3201" spans="1:10">
      <c r="A3201" s="527"/>
      <c r="B3201" s="528"/>
      <c r="C3201" s="529"/>
      <c r="D3201" s="530"/>
      <c r="E3201" s="531"/>
      <c r="F3201" s="530"/>
      <c r="G3201" s="530"/>
      <c r="H3201" s="530"/>
      <c r="I3201" s="532"/>
      <c r="J3201" s="353"/>
    </row>
    <row r="3202" spans="1:10" ht="32.25">
      <c r="A3202" s="519" t="s">
        <v>1764</v>
      </c>
      <c r="B3202" s="520"/>
      <c r="C3202" s="412">
        <f>C3203+C3204</f>
        <v>28.939999999999998</v>
      </c>
      <c r="D3202" s="412">
        <f>C3202*0.22</f>
        <v>6.3667999999999996</v>
      </c>
      <c r="E3202" s="384"/>
      <c r="F3202" s="412">
        <f t="shared" ref="F3202" si="1002">C3202*0.9</f>
        <v>26.045999999999999</v>
      </c>
      <c r="G3202" s="412">
        <f>F3202+E3202+D3202+C3202</f>
        <v>61.352799999999995</v>
      </c>
      <c r="H3202" s="412">
        <f t="shared" ref="H3202" si="1003">G3202*0.35</f>
        <v>21.473479999999999</v>
      </c>
      <c r="I3202" s="413">
        <f t="shared" ref="I3202" si="1004">G3202+H3202</f>
        <v>82.826279999999997</v>
      </c>
      <c r="J3202" s="349">
        <f>I3202+I3204+I3205</f>
        <v>87.863399999999999</v>
      </c>
    </row>
    <row r="3203" spans="1:10">
      <c r="A3203" s="521" t="s">
        <v>1739</v>
      </c>
      <c r="B3203" s="522">
        <v>1.5</v>
      </c>
      <c r="C3203" s="523">
        <v>16.18</v>
      </c>
      <c r="D3203" s="523"/>
      <c r="E3203" s="522"/>
      <c r="F3203" s="523"/>
      <c r="G3203" s="523"/>
      <c r="H3203" s="523"/>
      <c r="I3203" s="524"/>
      <c r="J3203" s="353"/>
    </row>
    <row r="3204" spans="1:10">
      <c r="A3204" s="525" t="s">
        <v>1436</v>
      </c>
      <c r="B3204" s="522">
        <v>1.5</v>
      </c>
      <c r="C3204" s="523">
        <v>12.76</v>
      </c>
      <c r="D3204" s="522"/>
      <c r="E3204" s="522"/>
      <c r="F3204" s="523"/>
      <c r="G3204" s="522"/>
      <c r="H3204" s="523"/>
      <c r="I3204" s="526"/>
      <c r="J3204" s="353"/>
    </row>
    <row r="3205" spans="1:10">
      <c r="A3205" s="527" t="s">
        <v>385</v>
      </c>
      <c r="B3205" s="528">
        <v>12</v>
      </c>
      <c r="C3205" s="529">
        <v>6.48</v>
      </c>
      <c r="D3205" s="530">
        <v>0.38719999999999999</v>
      </c>
      <c r="E3205" s="531"/>
      <c r="F3205" s="530">
        <v>1.5840000000000001</v>
      </c>
      <c r="G3205" s="530">
        <v>3.7311999999999999</v>
      </c>
      <c r="H3205" s="530">
        <v>1.30592</v>
      </c>
      <c r="I3205" s="532">
        <v>5.0371199999999998</v>
      </c>
      <c r="J3205" s="353"/>
    </row>
    <row r="3206" spans="1:10">
      <c r="A3206" s="527"/>
      <c r="B3206" s="528"/>
      <c r="C3206" s="529"/>
      <c r="D3206" s="530"/>
      <c r="E3206" s="531"/>
      <c r="F3206" s="530"/>
      <c r="G3206" s="530"/>
      <c r="H3206" s="530"/>
      <c r="I3206" s="532"/>
      <c r="J3206" s="353"/>
    </row>
    <row r="3207" spans="1:10" ht="42.75">
      <c r="A3207" s="519" t="s">
        <v>1765</v>
      </c>
      <c r="B3207" s="520"/>
      <c r="C3207" s="412">
        <f>C3208+C3209</f>
        <v>106.15</v>
      </c>
      <c r="D3207" s="412">
        <f>C3207*0.22</f>
        <v>23.353000000000002</v>
      </c>
      <c r="E3207" s="384"/>
      <c r="F3207" s="412">
        <f t="shared" ref="F3207" si="1005">C3207*0.9</f>
        <v>95.535000000000011</v>
      </c>
      <c r="G3207" s="412">
        <f>F3207+E3207+D3207+C3207</f>
        <v>225.03800000000001</v>
      </c>
      <c r="H3207" s="412">
        <f t="shared" ref="H3207" si="1006">G3207*0.35</f>
        <v>78.763300000000001</v>
      </c>
      <c r="I3207" s="413">
        <f t="shared" ref="I3207" si="1007">G3207+H3207</f>
        <v>303.80130000000003</v>
      </c>
      <c r="J3207" s="349">
        <f>I3207+I3209+I3210</f>
        <v>318.91266000000002</v>
      </c>
    </row>
    <row r="3208" spans="1:10">
      <c r="A3208" s="521" t="s">
        <v>1739</v>
      </c>
      <c r="B3208" s="522">
        <v>5.5</v>
      </c>
      <c r="C3208" s="523">
        <v>59.34</v>
      </c>
      <c r="D3208" s="523"/>
      <c r="E3208" s="522"/>
      <c r="F3208" s="523"/>
      <c r="G3208" s="523"/>
      <c r="H3208" s="523"/>
      <c r="I3208" s="524"/>
      <c r="J3208" s="353"/>
    </row>
    <row r="3209" spans="1:10">
      <c r="A3209" s="525" t="s">
        <v>1436</v>
      </c>
      <c r="B3209" s="522">
        <v>5.5</v>
      </c>
      <c r="C3209" s="523">
        <v>46.81</v>
      </c>
      <c r="D3209" s="522"/>
      <c r="E3209" s="522"/>
      <c r="F3209" s="523"/>
      <c r="G3209" s="522"/>
      <c r="H3209" s="523"/>
      <c r="I3209" s="526"/>
      <c r="J3209" s="353"/>
    </row>
    <row r="3210" spans="1:10">
      <c r="A3210" s="527" t="s">
        <v>385</v>
      </c>
      <c r="B3210" s="528">
        <v>44</v>
      </c>
      <c r="C3210" s="529">
        <v>23.76</v>
      </c>
      <c r="D3210" s="530">
        <v>1.1616</v>
      </c>
      <c r="E3210" s="531"/>
      <c r="F3210" s="530">
        <v>4.7520000000000007</v>
      </c>
      <c r="G3210" s="530">
        <v>11.1936</v>
      </c>
      <c r="H3210" s="530">
        <v>3.9177599999999999</v>
      </c>
      <c r="I3210" s="532">
        <v>15.111359999999999</v>
      </c>
      <c r="J3210" s="353"/>
    </row>
    <row r="3211" spans="1:10">
      <c r="A3211" s="527"/>
      <c r="B3211" s="528"/>
      <c r="C3211" s="529"/>
      <c r="D3211" s="530"/>
      <c r="E3211" s="531"/>
      <c r="F3211" s="530"/>
      <c r="G3211" s="530"/>
      <c r="H3211" s="530"/>
      <c r="I3211" s="532"/>
      <c r="J3211" s="353"/>
    </row>
    <row r="3212" spans="1:10" ht="42.75">
      <c r="A3212" s="519" t="s">
        <v>1766</v>
      </c>
      <c r="B3212" s="520"/>
      <c r="C3212" s="412">
        <f>C3213+C3214</f>
        <v>125.44</v>
      </c>
      <c r="D3212" s="412">
        <f>C3212*0.22</f>
        <v>27.596799999999998</v>
      </c>
      <c r="E3212" s="384"/>
      <c r="F3212" s="412">
        <f t="shared" ref="F3212" si="1008">C3212*0.9</f>
        <v>112.896</v>
      </c>
      <c r="G3212" s="412">
        <f>F3212+E3212+D3212+C3212</f>
        <v>265.93279999999999</v>
      </c>
      <c r="H3212" s="412">
        <f t="shared" ref="H3212" si="1009">G3212*0.35</f>
        <v>93.076479999999989</v>
      </c>
      <c r="I3212" s="413">
        <f t="shared" ref="I3212" si="1010">G3212+H3212</f>
        <v>359.00927999999999</v>
      </c>
      <c r="J3212" s="349">
        <f>I3212+I3214+I3215</f>
        <v>399.30624</v>
      </c>
    </row>
    <row r="3213" spans="1:10">
      <c r="A3213" s="521" t="s">
        <v>1739</v>
      </c>
      <c r="B3213" s="522">
        <v>6.5</v>
      </c>
      <c r="C3213" s="523">
        <v>70.13</v>
      </c>
      <c r="D3213" s="523"/>
      <c r="E3213" s="522"/>
      <c r="F3213" s="523"/>
      <c r="G3213" s="523"/>
      <c r="H3213" s="523"/>
      <c r="I3213" s="524"/>
      <c r="J3213" s="355"/>
    </row>
    <row r="3214" spans="1:10">
      <c r="A3214" s="525" t="s">
        <v>1436</v>
      </c>
      <c r="B3214" s="522">
        <v>6.5</v>
      </c>
      <c r="C3214" s="523">
        <v>55.31</v>
      </c>
      <c r="D3214" s="522"/>
      <c r="E3214" s="522"/>
      <c r="F3214" s="523"/>
      <c r="G3214" s="522"/>
      <c r="H3214" s="523"/>
      <c r="I3214" s="526"/>
      <c r="J3214" s="355"/>
    </row>
    <row r="3215" spans="1:10">
      <c r="A3215" s="527" t="s">
        <v>385</v>
      </c>
      <c r="B3215" s="528">
        <v>52</v>
      </c>
      <c r="C3215" s="529">
        <v>28.08</v>
      </c>
      <c r="D3215" s="530">
        <v>3.0975999999999999</v>
      </c>
      <c r="E3215" s="531"/>
      <c r="F3215" s="530">
        <v>12.672000000000001</v>
      </c>
      <c r="G3215" s="530">
        <v>29.849599999999999</v>
      </c>
      <c r="H3215" s="530">
        <v>10.44736</v>
      </c>
      <c r="I3215" s="532">
        <v>40.296959999999999</v>
      </c>
      <c r="J3215" s="355"/>
    </row>
    <row r="3216" spans="1:10">
      <c r="A3216" s="527"/>
      <c r="B3216" s="528"/>
      <c r="C3216" s="529"/>
      <c r="D3216" s="530"/>
      <c r="E3216" s="531"/>
      <c r="F3216" s="530"/>
      <c r="G3216" s="530"/>
      <c r="H3216" s="530"/>
      <c r="I3216" s="532"/>
      <c r="J3216" s="355"/>
    </row>
    <row r="3217" spans="1:10" ht="12.75">
      <c r="A3217" s="536" t="s">
        <v>1767</v>
      </c>
      <c r="B3217" s="501"/>
      <c r="C3217" s="501"/>
      <c r="D3217" s="501"/>
      <c r="E3217" s="501"/>
      <c r="F3217" s="501"/>
      <c r="G3217" s="501"/>
      <c r="H3217" s="501"/>
      <c r="I3217" s="501"/>
      <c r="J3217" s="502"/>
    </row>
    <row r="3218" spans="1:10">
      <c r="A3218" s="383" t="s">
        <v>1768</v>
      </c>
      <c r="B3218" s="386">
        <v>15</v>
      </c>
      <c r="C3218" s="426">
        <v>18.25</v>
      </c>
      <c r="D3218" s="424">
        <f t="shared" ref="D3218:D3224" si="1011">C3218*0.22</f>
        <v>4.0149999999999997</v>
      </c>
      <c r="E3218" s="423">
        <v>3.68</v>
      </c>
      <c r="F3218" s="424">
        <f t="shared" ref="F3218:F3223" si="1012">C3218*0.9</f>
        <v>16.425000000000001</v>
      </c>
      <c r="G3218" s="424">
        <f t="shared" ref="G3218:G3224" si="1013">F3218+E3218+D3218+C3218</f>
        <v>42.370000000000005</v>
      </c>
      <c r="H3218" s="424">
        <f t="shared" ref="H3218:H3223" si="1014">G3218*0.35</f>
        <v>14.829500000000001</v>
      </c>
      <c r="I3218" s="425">
        <f t="shared" ref="I3218:I3223" si="1015">G3218+H3218</f>
        <v>57.199500000000008</v>
      </c>
      <c r="J3218" s="349">
        <f t="shared" ref="J3218:J3223" si="1016">I3218</f>
        <v>57.199500000000008</v>
      </c>
    </row>
    <row r="3219" spans="1:10" ht="21.75">
      <c r="A3219" s="383" t="s">
        <v>1769</v>
      </c>
      <c r="B3219" s="386">
        <v>15</v>
      </c>
      <c r="C3219" s="426">
        <v>18.25</v>
      </c>
      <c r="D3219" s="424">
        <f t="shared" si="1011"/>
        <v>4.0149999999999997</v>
      </c>
      <c r="E3219" s="423">
        <v>3.68</v>
      </c>
      <c r="F3219" s="424">
        <f t="shared" si="1012"/>
        <v>16.425000000000001</v>
      </c>
      <c r="G3219" s="424">
        <f t="shared" si="1013"/>
        <v>42.370000000000005</v>
      </c>
      <c r="H3219" s="424">
        <f t="shared" si="1014"/>
        <v>14.829500000000001</v>
      </c>
      <c r="I3219" s="425">
        <f t="shared" si="1015"/>
        <v>57.199500000000008</v>
      </c>
      <c r="J3219" s="349">
        <f t="shared" si="1016"/>
        <v>57.199500000000008</v>
      </c>
    </row>
    <row r="3220" spans="1:10">
      <c r="A3220" s="383" t="s">
        <v>1770</v>
      </c>
      <c r="B3220" s="386">
        <v>15</v>
      </c>
      <c r="C3220" s="426">
        <v>18.25</v>
      </c>
      <c r="D3220" s="424">
        <f t="shared" si="1011"/>
        <v>4.0149999999999997</v>
      </c>
      <c r="E3220" s="423">
        <v>3.68</v>
      </c>
      <c r="F3220" s="424">
        <f t="shared" si="1012"/>
        <v>16.425000000000001</v>
      </c>
      <c r="G3220" s="424">
        <f t="shared" si="1013"/>
        <v>42.370000000000005</v>
      </c>
      <c r="H3220" s="424">
        <f t="shared" si="1014"/>
        <v>14.829500000000001</v>
      </c>
      <c r="I3220" s="425">
        <f t="shared" si="1015"/>
        <v>57.199500000000008</v>
      </c>
      <c r="J3220" s="349">
        <f t="shared" si="1016"/>
        <v>57.199500000000008</v>
      </c>
    </row>
    <row r="3221" spans="1:10">
      <c r="A3221" s="383" t="s">
        <v>1771</v>
      </c>
      <c r="B3221" s="386">
        <v>15</v>
      </c>
      <c r="C3221" s="426">
        <v>18.25</v>
      </c>
      <c r="D3221" s="424">
        <f t="shared" si="1011"/>
        <v>4.0149999999999997</v>
      </c>
      <c r="E3221" s="423">
        <v>3.68</v>
      </c>
      <c r="F3221" s="424">
        <f t="shared" si="1012"/>
        <v>16.425000000000001</v>
      </c>
      <c r="G3221" s="424">
        <f t="shared" si="1013"/>
        <v>42.370000000000005</v>
      </c>
      <c r="H3221" s="424">
        <f t="shared" si="1014"/>
        <v>14.829500000000001</v>
      </c>
      <c r="I3221" s="425">
        <f t="shared" si="1015"/>
        <v>57.199500000000008</v>
      </c>
      <c r="J3221" s="349">
        <f t="shared" si="1016"/>
        <v>57.199500000000008</v>
      </c>
    </row>
    <row r="3222" spans="1:10">
      <c r="A3222" s="383" t="s">
        <v>1772</v>
      </c>
      <c r="B3222" s="386">
        <v>15</v>
      </c>
      <c r="C3222" s="426">
        <v>18.25</v>
      </c>
      <c r="D3222" s="424">
        <f t="shared" si="1011"/>
        <v>4.0149999999999997</v>
      </c>
      <c r="E3222" s="423">
        <v>3.68</v>
      </c>
      <c r="F3222" s="424">
        <f t="shared" si="1012"/>
        <v>16.425000000000001</v>
      </c>
      <c r="G3222" s="424">
        <f t="shared" si="1013"/>
        <v>42.370000000000005</v>
      </c>
      <c r="H3222" s="424">
        <f t="shared" si="1014"/>
        <v>14.829500000000001</v>
      </c>
      <c r="I3222" s="425">
        <f t="shared" si="1015"/>
        <v>57.199500000000008</v>
      </c>
      <c r="J3222" s="349">
        <f t="shared" si="1016"/>
        <v>57.199500000000008</v>
      </c>
    </row>
    <row r="3223" spans="1:10" ht="21.75">
      <c r="A3223" s="383" t="s">
        <v>1773</v>
      </c>
      <c r="B3223" s="386">
        <v>15</v>
      </c>
      <c r="C3223" s="426">
        <v>18.25</v>
      </c>
      <c r="D3223" s="424">
        <f t="shared" si="1011"/>
        <v>4.0149999999999997</v>
      </c>
      <c r="E3223" s="423">
        <v>3.68</v>
      </c>
      <c r="F3223" s="424">
        <f t="shared" si="1012"/>
        <v>16.425000000000001</v>
      </c>
      <c r="G3223" s="424">
        <f t="shared" si="1013"/>
        <v>42.370000000000005</v>
      </c>
      <c r="H3223" s="424">
        <f t="shared" si="1014"/>
        <v>14.829500000000001</v>
      </c>
      <c r="I3223" s="425">
        <f t="shared" si="1015"/>
        <v>57.199500000000008</v>
      </c>
      <c r="J3223" s="349">
        <f t="shared" si="1016"/>
        <v>57.199500000000008</v>
      </c>
    </row>
    <row r="3224" spans="1:10">
      <c r="A3224" s="358" t="s">
        <v>1774</v>
      </c>
      <c r="B3224" s="452"/>
      <c r="C3224" s="452">
        <f>C3225+C3226+C3227</f>
        <v>23.299999999999997</v>
      </c>
      <c r="D3224" s="537">
        <f t="shared" si="1011"/>
        <v>5.1259999999999994</v>
      </c>
      <c r="E3224" s="452"/>
      <c r="F3224" s="392">
        <f>(C3224+D3224 )*90/100</f>
        <v>25.583399999999997</v>
      </c>
      <c r="G3224" s="392">
        <f t="shared" si="1013"/>
        <v>54.009399999999992</v>
      </c>
      <c r="H3224" s="538">
        <f>G3224*0.35</f>
        <v>18.903289999999995</v>
      </c>
      <c r="I3224" s="425">
        <f>G3224+H3224</f>
        <v>72.912689999999984</v>
      </c>
      <c r="J3224" s="349">
        <v>72.91</v>
      </c>
    </row>
    <row r="3225" spans="1:10">
      <c r="A3225" s="355" t="s">
        <v>1775</v>
      </c>
      <c r="B3225" s="452"/>
      <c r="C3225" s="452">
        <v>5.4</v>
      </c>
      <c r="D3225" s="392"/>
      <c r="E3225" s="452"/>
      <c r="F3225" s="392"/>
      <c r="G3225" s="392"/>
      <c r="H3225" s="538"/>
      <c r="I3225" s="424"/>
      <c r="J3225" s="355"/>
    </row>
    <row r="3226" spans="1:10">
      <c r="A3226" s="355" t="s">
        <v>1776</v>
      </c>
      <c r="B3226" s="452"/>
      <c r="C3226" s="452">
        <v>7.8</v>
      </c>
      <c r="D3226" s="392"/>
      <c r="E3226" s="452"/>
      <c r="F3226" s="392"/>
      <c r="G3226" s="392"/>
      <c r="H3226" s="538"/>
      <c r="I3226" s="424"/>
      <c r="J3226" s="355"/>
    </row>
    <row r="3227" spans="1:10">
      <c r="A3227" s="355" t="s">
        <v>1777</v>
      </c>
      <c r="B3227" s="452"/>
      <c r="C3227" s="452">
        <v>10.1</v>
      </c>
      <c r="D3227" s="392"/>
      <c r="E3227" s="452"/>
      <c r="F3227" s="392"/>
      <c r="G3227" s="392"/>
      <c r="H3227" s="538"/>
      <c r="I3227" s="424"/>
      <c r="J3227" s="355"/>
    </row>
    <row r="3228" spans="1:10">
      <c r="A3228" s="539"/>
      <c r="B3228" s="540"/>
      <c r="C3228" s="540"/>
      <c r="D3228" s="541"/>
      <c r="E3228" s="540"/>
      <c r="F3228" s="541"/>
      <c r="G3228" s="541"/>
      <c r="H3228" s="542"/>
      <c r="I3228" s="543"/>
      <c r="J3228" s="539"/>
    </row>
    <row r="3229" spans="1:10" ht="12.75">
      <c r="A3229" s="544" t="s">
        <v>1778</v>
      </c>
      <c r="B3229" s="544"/>
      <c r="C3229" s="544"/>
      <c r="D3229" s="544"/>
      <c r="E3229" s="544"/>
      <c r="F3229" s="544"/>
      <c r="G3229" s="544"/>
      <c r="H3229" s="544"/>
      <c r="I3229" s="544"/>
      <c r="J3229" s="539"/>
    </row>
    <row r="3230" spans="1:10">
      <c r="A3230" s="545"/>
      <c r="B3230" s="545"/>
      <c r="C3230" s="545"/>
      <c r="D3230" s="545"/>
      <c r="E3230" s="545"/>
      <c r="F3230" s="545"/>
      <c r="G3230" s="545"/>
      <c r="H3230" s="545"/>
      <c r="I3230" s="545"/>
      <c r="J3230" s="539"/>
    </row>
    <row r="3231" spans="1:10" ht="90">
      <c r="A3231" s="546" t="s">
        <v>1779</v>
      </c>
      <c r="B3231" s="547" t="s">
        <v>1780</v>
      </c>
      <c r="C3231" s="547" t="s">
        <v>1781</v>
      </c>
      <c r="D3231" s="546" t="s">
        <v>1782</v>
      </c>
      <c r="E3231" s="547" t="s">
        <v>1783</v>
      </c>
      <c r="F3231" s="548" t="s">
        <v>1105</v>
      </c>
      <c r="G3231" s="548" t="s">
        <v>246</v>
      </c>
      <c r="H3231" s="548" t="s">
        <v>1106</v>
      </c>
      <c r="I3231" s="548" t="s">
        <v>1107</v>
      </c>
      <c r="J3231" s="539"/>
    </row>
    <row r="3232" spans="1:10">
      <c r="A3232" s="546" t="s">
        <v>1784</v>
      </c>
      <c r="B3232" s="546">
        <v>4.55</v>
      </c>
      <c r="C3232" s="546">
        <v>1921</v>
      </c>
      <c r="D3232" s="546">
        <v>87.41</v>
      </c>
      <c r="E3232" s="546">
        <v>19.23</v>
      </c>
      <c r="F3232" s="546">
        <v>95.97</v>
      </c>
      <c r="G3232" s="546">
        <v>202.61</v>
      </c>
      <c r="H3232" s="546">
        <v>70.91</v>
      </c>
      <c r="I3232" s="549">
        <v>273.52</v>
      </c>
      <c r="J3232" s="539"/>
    </row>
    <row r="3233" spans="1:10">
      <c r="A3233" s="545"/>
      <c r="B3233" s="545"/>
      <c r="C3233" s="545"/>
      <c r="D3233" s="545"/>
      <c r="E3233" s="545"/>
      <c r="F3233" s="545"/>
      <c r="G3233" s="545"/>
      <c r="H3233" s="545"/>
      <c r="I3233" s="545"/>
      <c r="J3233" s="539"/>
    </row>
    <row r="3234" spans="1:10">
      <c r="A3234" s="550" t="s">
        <v>1785</v>
      </c>
      <c r="B3234" s="545"/>
      <c r="C3234" s="545"/>
      <c r="D3234" s="545"/>
      <c r="E3234" s="545"/>
      <c r="F3234" s="545"/>
      <c r="G3234" s="545"/>
      <c r="H3234" s="545"/>
      <c r="I3234" s="545"/>
      <c r="J3234" s="539"/>
    </row>
    <row r="3235" spans="1:10">
      <c r="A3235" s="539"/>
      <c r="B3235" s="540"/>
      <c r="C3235" s="540"/>
      <c r="D3235" s="541"/>
      <c r="E3235" s="540"/>
      <c r="F3235" s="541"/>
      <c r="G3235" s="541"/>
      <c r="H3235" s="542"/>
      <c r="I3235" s="543"/>
      <c r="J3235" s="539"/>
    </row>
    <row r="3236" spans="1:10">
      <c r="A3236" s="335" t="s">
        <v>515</v>
      </c>
      <c r="D3236" s="335" t="s">
        <v>1786</v>
      </c>
    </row>
  </sheetData>
  <mergeCells count="41">
    <mergeCell ref="A2896:J2896"/>
    <mergeCell ref="A3038:J3038"/>
    <mergeCell ref="A3076:J3076"/>
    <mergeCell ref="A3217:J3217"/>
    <mergeCell ref="A3229:I3229"/>
    <mergeCell ref="A2465:J2465"/>
    <mergeCell ref="A2571:J2571"/>
    <mergeCell ref="A2602:J2602"/>
    <mergeCell ref="A2648:J2648"/>
    <mergeCell ref="A2754:J2754"/>
    <mergeCell ref="A2825:J2825"/>
    <mergeCell ref="A2043:J2043"/>
    <mergeCell ref="A2174:J2174"/>
    <mergeCell ref="A2206:J2206"/>
    <mergeCell ref="A2282:J2282"/>
    <mergeCell ref="A2403:J2403"/>
    <mergeCell ref="A2429:J2429"/>
    <mergeCell ref="A1484:J1484"/>
    <mergeCell ref="A1550:J1550"/>
    <mergeCell ref="A1611:J1611"/>
    <mergeCell ref="A1671:J1671"/>
    <mergeCell ref="A1762:J1762"/>
    <mergeCell ref="A1912:J1912"/>
    <mergeCell ref="A1136:J1136"/>
    <mergeCell ref="A1203:I1203"/>
    <mergeCell ref="A1229:J1229"/>
    <mergeCell ref="A1265:I1265"/>
    <mergeCell ref="A1281:J1281"/>
    <mergeCell ref="A1322:J1322"/>
    <mergeCell ref="A219:J219"/>
    <mergeCell ref="A533:J533"/>
    <mergeCell ref="A612:J612"/>
    <mergeCell ref="A833:J833"/>
    <mergeCell ref="A929:J929"/>
    <mergeCell ref="A955:J955"/>
    <mergeCell ref="F1:I1"/>
    <mergeCell ref="F2:I2"/>
    <mergeCell ref="F3:I3"/>
    <mergeCell ref="A5:I5"/>
    <mergeCell ref="A6:I6"/>
    <mergeCell ref="A7:I7"/>
  </mergeCells>
  <pageMargins left="0.70866141732283472" right="0.70866141732283472" top="0.55118110236220474" bottom="0.55118110236220474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9"/>
  <sheetViews>
    <sheetView tabSelected="1" topLeftCell="A85" workbookViewId="0">
      <selection activeCell="H110" sqref="H110"/>
    </sheetView>
  </sheetViews>
  <sheetFormatPr defaultColWidth="9.140625" defaultRowHeight="15"/>
  <cols>
    <col min="1" max="1" width="1.42578125" style="186" customWidth="1"/>
    <col min="2" max="2" width="3.7109375" style="186" customWidth="1"/>
    <col min="3" max="3" width="42.5703125" style="560" customWidth="1"/>
    <col min="4" max="4" width="10" style="560" customWidth="1"/>
    <col min="5" max="6" width="10.28515625" style="560" customWidth="1"/>
    <col min="7" max="7" width="9.28515625" style="560" customWidth="1"/>
    <col min="8" max="8" width="8.42578125" style="560" customWidth="1"/>
    <col min="9" max="9" width="10.140625" style="560" customWidth="1"/>
    <col min="10" max="10" width="12.7109375" style="560" customWidth="1"/>
    <col min="11" max="11" width="10.140625" style="561" customWidth="1"/>
    <col min="12" max="12" width="9.140625" style="561" customWidth="1"/>
    <col min="13" max="16384" width="9.140625" style="186"/>
  </cols>
  <sheetData>
    <row r="1" spans="2:13" ht="15.75" customHeight="1">
      <c r="G1" s="586"/>
      <c r="H1" s="586"/>
      <c r="I1" s="586"/>
      <c r="J1" s="586"/>
    </row>
    <row r="2" spans="2:13" ht="36.75" customHeight="1">
      <c r="B2" s="268" t="s">
        <v>662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</row>
    <row r="3" spans="2:13" ht="10.5" customHeight="1">
      <c r="B3" s="187"/>
      <c r="C3" s="187"/>
      <c r="D3" s="187"/>
      <c r="E3" s="187"/>
      <c r="F3" s="187"/>
      <c r="G3" s="187"/>
      <c r="H3" s="187"/>
      <c r="I3" s="187"/>
      <c r="J3" s="187"/>
    </row>
    <row r="4" spans="2:13" ht="108.75" customHeight="1">
      <c r="B4" s="188" t="s">
        <v>602</v>
      </c>
      <c r="C4" s="188" t="s">
        <v>130</v>
      </c>
      <c r="D4" s="587" t="s">
        <v>603</v>
      </c>
      <c r="E4" s="588" t="s">
        <v>604</v>
      </c>
      <c r="F4" s="588" t="s">
        <v>605</v>
      </c>
      <c r="G4" s="588" t="s">
        <v>606</v>
      </c>
      <c r="H4" s="588" t="s">
        <v>607</v>
      </c>
      <c r="I4" s="588" t="s">
        <v>1098</v>
      </c>
      <c r="J4" s="588" t="s">
        <v>131</v>
      </c>
      <c r="K4" s="558" t="s">
        <v>529</v>
      </c>
      <c r="L4" s="559" t="s">
        <v>234</v>
      </c>
      <c r="M4" s="189"/>
    </row>
    <row r="5" spans="2:13" ht="24" customHeight="1">
      <c r="B5" s="269" t="s">
        <v>663</v>
      </c>
      <c r="C5" s="270"/>
      <c r="D5" s="270"/>
      <c r="E5" s="270"/>
      <c r="F5" s="270"/>
      <c r="G5" s="270"/>
      <c r="H5" s="270"/>
      <c r="I5" s="270"/>
      <c r="J5" s="270"/>
      <c r="K5" s="270"/>
      <c r="L5" s="271"/>
      <c r="M5" s="189"/>
    </row>
    <row r="6" spans="2:13" ht="21.75" customHeight="1">
      <c r="B6" s="190">
        <v>1</v>
      </c>
      <c r="C6" s="562" t="s">
        <v>608</v>
      </c>
      <c r="D6" s="206">
        <v>8</v>
      </c>
      <c r="E6" s="589">
        <f>D6*1.27</f>
        <v>10.16</v>
      </c>
      <c r="F6" s="589">
        <f>E6*22/100</f>
        <v>2.2352000000000003</v>
      </c>
      <c r="G6" s="562">
        <v>6.66</v>
      </c>
      <c r="H6" s="563">
        <f>D6*0.011</f>
        <v>8.7999999999999995E-2</v>
      </c>
      <c r="I6" s="563">
        <f>E6*0.37</f>
        <v>3.7591999999999999</v>
      </c>
      <c r="J6" s="563">
        <f>E6+F6+G6+H6+I6</f>
        <v>22.9024</v>
      </c>
      <c r="K6" s="564">
        <f>J6*0.3</f>
        <v>6.8707199999999995</v>
      </c>
      <c r="L6" s="565">
        <f>J6+K6</f>
        <v>29.773119999999999</v>
      </c>
    </row>
    <row r="7" spans="2:13" ht="21.75" customHeight="1">
      <c r="B7" s="190">
        <v>2</v>
      </c>
      <c r="C7" s="562" t="s">
        <v>609</v>
      </c>
      <c r="D7" s="206">
        <v>24</v>
      </c>
      <c r="E7" s="589">
        <f t="shared" ref="E7:E44" si="0">D7*1.27</f>
        <v>30.48</v>
      </c>
      <c r="F7" s="589">
        <f t="shared" ref="F7:F44" si="1">E7*22/100</f>
        <v>6.7056000000000004</v>
      </c>
      <c r="G7" s="562">
        <v>14.41</v>
      </c>
      <c r="H7" s="563">
        <f t="shared" ref="H7:H44" si="2">D7*0.011</f>
        <v>0.26400000000000001</v>
      </c>
      <c r="I7" s="563">
        <f>E7*0.37</f>
        <v>11.2776</v>
      </c>
      <c r="J7" s="563">
        <f t="shared" ref="J7:J44" si="3">E7+F7+G7+H7+I7</f>
        <v>63.137200000000007</v>
      </c>
      <c r="K7" s="564">
        <f t="shared" ref="K7:K44" si="4">J7*0.3</f>
        <v>18.94116</v>
      </c>
      <c r="L7" s="565">
        <f t="shared" ref="L7:L44" si="5">J7+K7</f>
        <v>82.078360000000004</v>
      </c>
    </row>
    <row r="8" spans="2:13" ht="26.25" customHeight="1">
      <c r="B8" s="190">
        <v>3</v>
      </c>
      <c r="C8" s="562" t="s">
        <v>610</v>
      </c>
      <c r="D8" s="206">
        <v>12</v>
      </c>
      <c r="E8" s="589">
        <f t="shared" si="0"/>
        <v>15.24</v>
      </c>
      <c r="F8" s="589">
        <f t="shared" si="1"/>
        <v>3.3528000000000002</v>
      </c>
      <c r="G8" s="562">
        <v>7.19</v>
      </c>
      <c r="H8" s="563">
        <f t="shared" si="2"/>
        <v>0.13200000000000001</v>
      </c>
      <c r="I8" s="563">
        <f t="shared" ref="I8:I44" si="6">E8*0.37</f>
        <v>5.6387999999999998</v>
      </c>
      <c r="J8" s="563">
        <f t="shared" si="3"/>
        <v>31.553600000000003</v>
      </c>
      <c r="K8" s="564">
        <f t="shared" si="4"/>
        <v>9.4660799999999998</v>
      </c>
      <c r="L8" s="565">
        <f t="shared" si="5"/>
        <v>41.019680000000001</v>
      </c>
    </row>
    <row r="9" spans="2:13" ht="33" customHeight="1">
      <c r="B9" s="190">
        <v>4</v>
      </c>
      <c r="C9" s="562" t="s">
        <v>611</v>
      </c>
      <c r="D9" s="206">
        <v>64</v>
      </c>
      <c r="E9" s="589">
        <f t="shared" si="0"/>
        <v>81.28</v>
      </c>
      <c r="F9" s="589">
        <f t="shared" si="1"/>
        <v>17.881600000000002</v>
      </c>
      <c r="G9" s="562">
        <v>9.69</v>
      </c>
      <c r="H9" s="563">
        <f t="shared" si="2"/>
        <v>0.70399999999999996</v>
      </c>
      <c r="I9" s="563">
        <f t="shared" si="6"/>
        <v>30.073599999999999</v>
      </c>
      <c r="J9" s="563">
        <f t="shared" si="3"/>
        <v>139.6292</v>
      </c>
      <c r="K9" s="564">
        <f t="shared" si="4"/>
        <v>41.888759999999998</v>
      </c>
      <c r="L9" s="565">
        <f t="shared" si="5"/>
        <v>181.51795999999999</v>
      </c>
    </row>
    <row r="10" spans="2:13" ht="34.5" customHeight="1">
      <c r="B10" s="191">
        <v>5</v>
      </c>
      <c r="C10" s="562" t="s">
        <v>612</v>
      </c>
      <c r="D10" s="603">
        <v>48</v>
      </c>
      <c r="E10" s="589">
        <f t="shared" si="0"/>
        <v>60.96</v>
      </c>
      <c r="F10" s="589">
        <f t="shared" si="1"/>
        <v>13.411200000000001</v>
      </c>
      <c r="G10" s="562">
        <v>14.62</v>
      </c>
      <c r="H10" s="563">
        <f t="shared" si="2"/>
        <v>0.52800000000000002</v>
      </c>
      <c r="I10" s="563">
        <f t="shared" si="6"/>
        <v>22.555199999999999</v>
      </c>
      <c r="J10" s="563">
        <f t="shared" si="3"/>
        <v>112.07440000000001</v>
      </c>
      <c r="K10" s="564">
        <f t="shared" si="4"/>
        <v>33.622320000000002</v>
      </c>
      <c r="L10" s="565">
        <f t="shared" si="5"/>
        <v>145.69672000000003</v>
      </c>
    </row>
    <row r="11" spans="2:13" ht="35.25" customHeight="1">
      <c r="B11" s="191">
        <v>6</v>
      </c>
      <c r="C11" s="562" t="s">
        <v>1795</v>
      </c>
      <c r="D11" s="603">
        <v>12</v>
      </c>
      <c r="E11" s="589">
        <f t="shared" si="0"/>
        <v>15.24</v>
      </c>
      <c r="F11" s="589">
        <f t="shared" si="1"/>
        <v>3.3528000000000002</v>
      </c>
      <c r="G11" s="562">
        <v>6.43</v>
      </c>
      <c r="H11" s="563">
        <f t="shared" si="2"/>
        <v>0.13200000000000001</v>
      </c>
      <c r="I11" s="563">
        <f t="shared" si="6"/>
        <v>5.6387999999999998</v>
      </c>
      <c r="J11" s="563">
        <f t="shared" si="3"/>
        <v>30.793600000000001</v>
      </c>
      <c r="K11" s="564">
        <f t="shared" si="4"/>
        <v>9.2380800000000001</v>
      </c>
      <c r="L11" s="565">
        <f t="shared" si="5"/>
        <v>40.031680000000001</v>
      </c>
    </row>
    <row r="12" spans="2:13" ht="33" customHeight="1">
      <c r="B12" s="191">
        <v>7</v>
      </c>
      <c r="C12" s="562" t="s">
        <v>613</v>
      </c>
      <c r="D12" s="603">
        <v>20</v>
      </c>
      <c r="E12" s="589">
        <f t="shared" si="0"/>
        <v>25.4</v>
      </c>
      <c r="F12" s="589">
        <f t="shared" si="1"/>
        <v>5.5879999999999992</v>
      </c>
      <c r="G12" s="562">
        <v>6.52</v>
      </c>
      <c r="H12" s="563">
        <f t="shared" si="2"/>
        <v>0.21999999999999997</v>
      </c>
      <c r="I12" s="563">
        <f t="shared" si="6"/>
        <v>9.3979999999999997</v>
      </c>
      <c r="J12" s="563">
        <f t="shared" si="3"/>
        <v>47.125999999999991</v>
      </c>
      <c r="K12" s="564">
        <f t="shared" si="4"/>
        <v>14.137799999999997</v>
      </c>
      <c r="L12" s="565">
        <f t="shared" si="5"/>
        <v>61.263799999999989</v>
      </c>
    </row>
    <row r="13" spans="2:13" ht="37.5" customHeight="1">
      <c r="B13" s="190">
        <v>8</v>
      </c>
      <c r="C13" s="562" t="s">
        <v>614</v>
      </c>
      <c r="D13" s="604">
        <v>12</v>
      </c>
      <c r="E13" s="589">
        <f t="shared" si="0"/>
        <v>15.24</v>
      </c>
      <c r="F13" s="589">
        <f t="shared" si="1"/>
        <v>3.3528000000000002</v>
      </c>
      <c r="G13" s="562">
        <v>5.0199999999999996</v>
      </c>
      <c r="H13" s="563">
        <f t="shared" si="2"/>
        <v>0.13200000000000001</v>
      </c>
      <c r="I13" s="563">
        <f t="shared" si="6"/>
        <v>5.6387999999999998</v>
      </c>
      <c r="J13" s="563">
        <f t="shared" si="3"/>
        <v>29.383600000000001</v>
      </c>
      <c r="K13" s="564">
        <f t="shared" si="4"/>
        <v>8.81508</v>
      </c>
      <c r="L13" s="565">
        <f t="shared" si="5"/>
        <v>38.198680000000003</v>
      </c>
    </row>
    <row r="14" spans="2:13" ht="27" customHeight="1">
      <c r="B14" s="190">
        <v>9</v>
      </c>
      <c r="C14" s="206" t="s">
        <v>615</v>
      </c>
      <c r="D14" s="206">
        <v>4</v>
      </c>
      <c r="E14" s="589">
        <f t="shared" si="0"/>
        <v>5.08</v>
      </c>
      <c r="F14" s="589">
        <f t="shared" si="1"/>
        <v>1.1176000000000001</v>
      </c>
      <c r="G14" s="206">
        <v>1.58</v>
      </c>
      <c r="H14" s="563">
        <f t="shared" si="2"/>
        <v>4.3999999999999997E-2</v>
      </c>
      <c r="I14" s="563">
        <f t="shared" si="6"/>
        <v>1.8795999999999999</v>
      </c>
      <c r="J14" s="563">
        <f t="shared" si="3"/>
        <v>9.7012</v>
      </c>
      <c r="K14" s="564">
        <f t="shared" si="4"/>
        <v>2.9103599999999998</v>
      </c>
      <c r="L14" s="565">
        <f t="shared" si="5"/>
        <v>12.611560000000001</v>
      </c>
    </row>
    <row r="15" spans="2:13" ht="30" customHeight="1">
      <c r="B15" s="190">
        <v>10</v>
      </c>
      <c r="C15" s="206" t="s">
        <v>616</v>
      </c>
      <c r="D15" s="206">
        <v>4</v>
      </c>
      <c r="E15" s="589">
        <f t="shared" si="0"/>
        <v>5.08</v>
      </c>
      <c r="F15" s="589">
        <f t="shared" si="1"/>
        <v>1.1176000000000001</v>
      </c>
      <c r="G15" s="206">
        <v>2.61</v>
      </c>
      <c r="H15" s="563">
        <f t="shared" si="2"/>
        <v>4.3999999999999997E-2</v>
      </c>
      <c r="I15" s="563">
        <f t="shared" si="6"/>
        <v>1.8795999999999999</v>
      </c>
      <c r="J15" s="563">
        <f t="shared" si="3"/>
        <v>10.731200000000001</v>
      </c>
      <c r="K15" s="564">
        <f t="shared" si="4"/>
        <v>3.2193600000000004</v>
      </c>
      <c r="L15" s="565">
        <f t="shared" si="5"/>
        <v>13.950560000000001</v>
      </c>
    </row>
    <row r="16" spans="2:13" ht="32.25" customHeight="1">
      <c r="B16" s="190">
        <v>11</v>
      </c>
      <c r="C16" s="206" t="s">
        <v>617</v>
      </c>
      <c r="D16" s="206">
        <v>8</v>
      </c>
      <c r="E16" s="589">
        <f t="shared" si="0"/>
        <v>10.16</v>
      </c>
      <c r="F16" s="589">
        <f t="shared" si="1"/>
        <v>2.2352000000000003</v>
      </c>
      <c r="G16" s="206">
        <v>37.33</v>
      </c>
      <c r="H16" s="563">
        <f t="shared" si="2"/>
        <v>8.7999999999999995E-2</v>
      </c>
      <c r="I16" s="563">
        <f t="shared" si="6"/>
        <v>3.7591999999999999</v>
      </c>
      <c r="J16" s="563">
        <f t="shared" si="3"/>
        <v>53.572400000000002</v>
      </c>
      <c r="K16" s="564">
        <f t="shared" si="4"/>
        <v>16.071719999999999</v>
      </c>
      <c r="L16" s="565">
        <f t="shared" si="5"/>
        <v>69.644120000000001</v>
      </c>
    </row>
    <row r="17" spans="2:12" ht="25.5" customHeight="1">
      <c r="B17" s="190">
        <v>12</v>
      </c>
      <c r="C17" s="193" t="s">
        <v>618</v>
      </c>
      <c r="D17" s="206">
        <v>12</v>
      </c>
      <c r="E17" s="589">
        <f t="shared" si="0"/>
        <v>15.24</v>
      </c>
      <c r="F17" s="589">
        <f t="shared" si="1"/>
        <v>3.3528000000000002</v>
      </c>
      <c r="G17" s="206">
        <v>38.93</v>
      </c>
      <c r="H17" s="563">
        <f t="shared" si="2"/>
        <v>0.13200000000000001</v>
      </c>
      <c r="I17" s="563">
        <f t="shared" si="6"/>
        <v>5.6387999999999998</v>
      </c>
      <c r="J17" s="563">
        <f t="shared" si="3"/>
        <v>63.293599999999998</v>
      </c>
      <c r="K17" s="564">
        <f t="shared" si="4"/>
        <v>18.98808</v>
      </c>
      <c r="L17" s="565">
        <f t="shared" si="5"/>
        <v>82.281679999999994</v>
      </c>
    </row>
    <row r="18" spans="2:12" ht="29.25" customHeight="1">
      <c r="B18" s="190">
        <v>13</v>
      </c>
      <c r="C18" s="193" t="s">
        <v>619</v>
      </c>
      <c r="D18" s="206">
        <v>12</v>
      </c>
      <c r="E18" s="589">
        <f t="shared" si="0"/>
        <v>15.24</v>
      </c>
      <c r="F18" s="589">
        <f t="shared" si="1"/>
        <v>3.3528000000000002</v>
      </c>
      <c r="G18" s="206">
        <v>47.08</v>
      </c>
      <c r="H18" s="563">
        <f t="shared" si="2"/>
        <v>0.13200000000000001</v>
      </c>
      <c r="I18" s="563">
        <f t="shared" si="6"/>
        <v>5.6387999999999998</v>
      </c>
      <c r="J18" s="563">
        <f t="shared" si="3"/>
        <v>71.443600000000004</v>
      </c>
      <c r="K18" s="564">
        <f t="shared" si="4"/>
        <v>21.43308</v>
      </c>
      <c r="L18" s="565">
        <f t="shared" si="5"/>
        <v>92.876680000000007</v>
      </c>
    </row>
    <row r="19" spans="2:12" ht="30" customHeight="1">
      <c r="B19" s="190">
        <v>14</v>
      </c>
      <c r="C19" s="193" t="s">
        <v>620</v>
      </c>
      <c r="D19" s="206">
        <v>12</v>
      </c>
      <c r="E19" s="589">
        <f t="shared" si="0"/>
        <v>15.24</v>
      </c>
      <c r="F19" s="589">
        <f t="shared" si="1"/>
        <v>3.3528000000000002</v>
      </c>
      <c r="G19" s="206">
        <v>47.58</v>
      </c>
      <c r="H19" s="563">
        <f t="shared" si="2"/>
        <v>0.13200000000000001</v>
      </c>
      <c r="I19" s="563">
        <f t="shared" si="6"/>
        <v>5.6387999999999998</v>
      </c>
      <c r="J19" s="563">
        <f t="shared" si="3"/>
        <v>71.943600000000004</v>
      </c>
      <c r="K19" s="564">
        <f t="shared" si="4"/>
        <v>21.583079999999999</v>
      </c>
      <c r="L19" s="565">
        <f t="shared" si="5"/>
        <v>93.526679999999999</v>
      </c>
    </row>
    <row r="20" spans="2:12" ht="33" customHeight="1">
      <c r="B20" s="190">
        <v>15</v>
      </c>
      <c r="C20" s="193" t="s">
        <v>621</v>
      </c>
      <c r="D20" s="206">
        <v>12</v>
      </c>
      <c r="E20" s="589">
        <f t="shared" si="0"/>
        <v>15.24</v>
      </c>
      <c r="F20" s="589">
        <f t="shared" si="1"/>
        <v>3.3528000000000002</v>
      </c>
      <c r="G20" s="206">
        <v>24.59</v>
      </c>
      <c r="H20" s="563">
        <f t="shared" si="2"/>
        <v>0.13200000000000001</v>
      </c>
      <c r="I20" s="563">
        <f t="shared" si="6"/>
        <v>5.6387999999999998</v>
      </c>
      <c r="J20" s="563">
        <f t="shared" si="3"/>
        <v>48.953599999999994</v>
      </c>
      <c r="K20" s="564">
        <f t="shared" si="4"/>
        <v>14.686079999999997</v>
      </c>
      <c r="L20" s="565">
        <f t="shared" si="5"/>
        <v>63.639679999999991</v>
      </c>
    </row>
    <row r="21" spans="2:12" ht="35.1" customHeight="1">
      <c r="B21" s="190">
        <v>16</v>
      </c>
      <c r="C21" s="562" t="s">
        <v>622</v>
      </c>
      <c r="D21" s="206">
        <v>8</v>
      </c>
      <c r="E21" s="589">
        <f t="shared" si="0"/>
        <v>10.16</v>
      </c>
      <c r="F21" s="589">
        <f t="shared" si="1"/>
        <v>2.2352000000000003</v>
      </c>
      <c r="G21" s="206">
        <v>38.479999999999997</v>
      </c>
      <c r="H21" s="563">
        <f t="shared" si="2"/>
        <v>8.7999999999999995E-2</v>
      </c>
      <c r="I21" s="563">
        <f t="shared" si="6"/>
        <v>3.7591999999999999</v>
      </c>
      <c r="J21" s="563">
        <f t="shared" si="3"/>
        <v>54.7224</v>
      </c>
      <c r="K21" s="564">
        <f t="shared" si="4"/>
        <v>16.416719999999998</v>
      </c>
      <c r="L21" s="565">
        <f t="shared" si="5"/>
        <v>71.139119999999991</v>
      </c>
    </row>
    <row r="22" spans="2:12" ht="27.75" customHeight="1">
      <c r="B22" s="190">
        <v>17</v>
      </c>
      <c r="C22" s="562" t="s">
        <v>623</v>
      </c>
      <c r="D22" s="590">
        <v>32</v>
      </c>
      <c r="E22" s="589">
        <f t="shared" si="0"/>
        <v>40.64</v>
      </c>
      <c r="F22" s="589">
        <f t="shared" si="1"/>
        <v>8.9408000000000012</v>
      </c>
      <c r="G22" s="206">
        <v>150.83000000000001</v>
      </c>
      <c r="H22" s="563">
        <f t="shared" si="2"/>
        <v>0.35199999999999998</v>
      </c>
      <c r="I22" s="563">
        <f t="shared" si="6"/>
        <v>15.036799999999999</v>
      </c>
      <c r="J22" s="563">
        <f t="shared" si="3"/>
        <v>215.79960000000003</v>
      </c>
      <c r="K22" s="564">
        <f t="shared" si="4"/>
        <v>64.739879999999999</v>
      </c>
      <c r="L22" s="565">
        <f t="shared" si="5"/>
        <v>280.53948000000003</v>
      </c>
    </row>
    <row r="23" spans="2:12" ht="35.1" customHeight="1">
      <c r="B23" s="190">
        <v>18</v>
      </c>
      <c r="C23" s="562" t="s">
        <v>624</v>
      </c>
      <c r="D23" s="590">
        <v>48</v>
      </c>
      <c r="E23" s="589">
        <f t="shared" si="0"/>
        <v>60.96</v>
      </c>
      <c r="F23" s="589">
        <f t="shared" si="1"/>
        <v>13.411200000000001</v>
      </c>
      <c r="G23" s="206">
        <v>151</v>
      </c>
      <c r="H23" s="563">
        <f t="shared" si="2"/>
        <v>0.52800000000000002</v>
      </c>
      <c r="I23" s="563">
        <f t="shared" si="6"/>
        <v>22.555199999999999</v>
      </c>
      <c r="J23" s="563">
        <f t="shared" si="3"/>
        <v>248.45439999999996</v>
      </c>
      <c r="K23" s="564">
        <f t="shared" si="4"/>
        <v>74.536319999999989</v>
      </c>
      <c r="L23" s="565">
        <f t="shared" si="5"/>
        <v>322.99071999999995</v>
      </c>
    </row>
    <row r="24" spans="2:12" ht="35.1" customHeight="1">
      <c r="B24" s="190">
        <v>19</v>
      </c>
      <c r="C24" s="562" t="s">
        <v>625</v>
      </c>
      <c r="D24" s="206">
        <v>4</v>
      </c>
      <c r="E24" s="589">
        <f t="shared" si="0"/>
        <v>5.08</v>
      </c>
      <c r="F24" s="589">
        <f t="shared" si="1"/>
        <v>1.1176000000000001</v>
      </c>
      <c r="G24" s="206">
        <v>1.82</v>
      </c>
      <c r="H24" s="563">
        <f t="shared" si="2"/>
        <v>4.3999999999999997E-2</v>
      </c>
      <c r="I24" s="563">
        <f t="shared" si="6"/>
        <v>1.8795999999999999</v>
      </c>
      <c r="J24" s="563">
        <f t="shared" si="3"/>
        <v>9.9412000000000003</v>
      </c>
      <c r="K24" s="564">
        <f t="shared" si="4"/>
        <v>2.9823599999999999</v>
      </c>
      <c r="L24" s="565">
        <f t="shared" si="5"/>
        <v>12.92356</v>
      </c>
    </row>
    <row r="25" spans="2:12" ht="21" customHeight="1">
      <c r="B25" s="192">
        <v>20</v>
      </c>
      <c r="C25" s="562" t="s">
        <v>626</v>
      </c>
      <c r="D25" s="206">
        <v>8</v>
      </c>
      <c r="E25" s="589">
        <f t="shared" si="0"/>
        <v>10.16</v>
      </c>
      <c r="F25" s="589">
        <f t="shared" si="1"/>
        <v>2.2352000000000003</v>
      </c>
      <c r="G25" s="206">
        <v>6.43</v>
      </c>
      <c r="H25" s="563">
        <f t="shared" si="2"/>
        <v>8.7999999999999995E-2</v>
      </c>
      <c r="I25" s="563">
        <f t="shared" si="6"/>
        <v>3.7591999999999999</v>
      </c>
      <c r="J25" s="563">
        <f t="shared" si="3"/>
        <v>22.672400000000003</v>
      </c>
      <c r="K25" s="564">
        <f t="shared" si="4"/>
        <v>6.8017200000000004</v>
      </c>
      <c r="L25" s="565">
        <f t="shared" si="5"/>
        <v>29.474120000000003</v>
      </c>
    </row>
    <row r="26" spans="2:12" ht="19.5" customHeight="1">
      <c r="B26" s="192">
        <v>21</v>
      </c>
      <c r="C26" s="562" t="s">
        <v>627</v>
      </c>
      <c r="D26" s="206">
        <v>4</v>
      </c>
      <c r="E26" s="589">
        <f t="shared" si="0"/>
        <v>5.08</v>
      </c>
      <c r="F26" s="589">
        <f t="shared" si="1"/>
        <v>1.1176000000000001</v>
      </c>
      <c r="G26" s="590">
        <v>1</v>
      </c>
      <c r="H26" s="563">
        <f t="shared" si="2"/>
        <v>4.3999999999999997E-2</v>
      </c>
      <c r="I26" s="563">
        <f t="shared" si="6"/>
        <v>1.8795999999999999</v>
      </c>
      <c r="J26" s="563">
        <f t="shared" si="3"/>
        <v>9.1212</v>
      </c>
      <c r="K26" s="564">
        <f t="shared" si="4"/>
        <v>2.7363599999999999</v>
      </c>
      <c r="L26" s="565">
        <f t="shared" si="5"/>
        <v>11.857559999999999</v>
      </c>
    </row>
    <row r="27" spans="2:12" ht="20.25" customHeight="1">
      <c r="B27" s="192">
        <v>22</v>
      </c>
      <c r="C27" s="562" t="s">
        <v>628</v>
      </c>
      <c r="D27" s="206">
        <v>4</v>
      </c>
      <c r="E27" s="589">
        <f t="shared" si="0"/>
        <v>5.08</v>
      </c>
      <c r="F27" s="589">
        <f t="shared" si="1"/>
        <v>1.1176000000000001</v>
      </c>
      <c r="G27" s="206">
        <v>16.93</v>
      </c>
      <c r="H27" s="563">
        <f t="shared" si="2"/>
        <v>4.3999999999999997E-2</v>
      </c>
      <c r="I27" s="563">
        <f t="shared" si="6"/>
        <v>1.8795999999999999</v>
      </c>
      <c r="J27" s="563">
        <f t="shared" si="3"/>
        <v>25.051200000000001</v>
      </c>
      <c r="K27" s="564">
        <f t="shared" si="4"/>
        <v>7.5153600000000003</v>
      </c>
      <c r="L27" s="565">
        <f t="shared" si="5"/>
        <v>32.566560000000003</v>
      </c>
    </row>
    <row r="28" spans="2:12" ht="30" customHeight="1">
      <c r="B28" s="192">
        <v>23</v>
      </c>
      <c r="C28" s="562" t="s">
        <v>629</v>
      </c>
      <c r="D28" s="206">
        <v>4</v>
      </c>
      <c r="E28" s="589">
        <f t="shared" si="0"/>
        <v>5.08</v>
      </c>
      <c r="F28" s="589">
        <f t="shared" si="1"/>
        <v>1.1176000000000001</v>
      </c>
      <c r="G28" s="206">
        <v>86.7</v>
      </c>
      <c r="H28" s="563">
        <f t="shared" si="2"/>
        <v>4.3999999999999997E-2</v>
      </c>
      <c r="I28" s="563">
        <f t="shared" si="6"/>
        <v>1.8795999999999999</v>
      </c>
      <c r="J28" s="563">
        <f t="shared" si="3"/>
        <v>94.82119999999999</v>
      </c>
      <c r="K28" s="564">
        <f t="shared" si="4"/>
        <v>28.446359999999995</v>
      </c>
      <c r="L28" s="565">
        <f t="shared" si="5"/>
        <v>123.26755999999999</v>
      </c>
    </row>
    <row r="29" spans="2:12" ht="35.1" customHeight="1">
      <c r="B29" s="192">
        <v>24</v>
      </c>
      <c r="C29" s="562" t="s">
        <v>630</v>
      </c>
      <c r="D29" s="206">
        <v>4</v>
      </c>
      <c r="E29" s="589">
        <f t="shared" si="0"/>
        <v>5.08</v>
      </c>
      <c r="F29" s="589">
        <f t="shared" si="1"/>
        <v>1.1176000000000001</v>
      </c>
      <c r="G29" s="206">
        <v>48.2</v>
      </c>
      <c r="H29" s="563">
        <f t="shared" si="2"/>
        <v>4.3999999999999997E-2</v>
      </c>
      <c r="I29" s="563">
        <f t="shared" si="6"/>
        <v>1.8795999999999999</v>
      </c>
      <c r="J29" s="563">
        <f t="shared" si="3"/>
        <v>56.321200000000005</v>
      </c>
      <c r="K29" s="564">
        <f t="shared" si="4"/>
        <v>16.896360000000001</v>
      </c>
      <c r="L29" s="565">
        <f t="shared" si="5"/>
        <v>73.217560000000006</v>
      </c>
    </row>
    <row r="30" spans="2:12" ht="35.1" customHeight="1">
      <c r="B30" s="192">
        <v>25</v>
      </c>
      <c r="C30" s="562" t="s">
        <v>631</v>
      </c>
      <c r="D30" s="206">
        <v>24</v>
      </c>
      <c r="E30" s="589">
        <f t="shared" si="0"/>
        <v>30.48</v>
      </c>
      <c r="F30" s="589">
        <f t="shared" si="1"/>
        <v>6.7056000000000004</v>
      </c>
      <c r="G30" s="206">
        <v>131.35</v>
      </c>
      <c r="H30" s="563">
        <f t="shared" si="2"/>
        <v>0.26400000000000001</v>
      </c>
      <c r="I30" s="563">
        <f t="shared" si="6"/>
        <v>11.2776</v>
      </c>
      <c r="J30" s="563">
        <f t="shared" si="3"/>
        <v>180.0772</v>
      </c>
      <c r="K30" s="564">
        <f t="shared" si="4"/>
        <v>54.023159999999997</v>
      </c>
      <c r="L30" s="565">
        <f t="shared" si="5"/>
        <v>234.10035999999999</v>
      </c>
    </row>
    <row r="31" spans="2:12" ht="35.1" customHeight="1">
      <c r="B31" s="192">
        <v>26</v>
      </c>
      <c r="C31" s="562" t="s">
        <v>632</v>
      </c>
      <c r="D31" s="206">
        <v>24</v>
      </c>
      <c r="E31" s="589">
        <f t="shared" si="0"/>
        <v>30.48</v>
      </c>
      <c r="F31" s="589">
        <f t="shared" si="1"/>
        <v>6.7056000000000004</v>
      </c>
      <c r="G31" s="206">
        <v>193.85</v>
      </c>
      <c r="H31" s="563">
        <f t="shared" si="2"/>
        <v>0.26400000000000001</v>
      </c>
      <c r="I31" s="563">
        <f t="shared" si="6"/>
        <v>11.2776</v>
      </c>
      <c r="J31" s="563">
        <f t="shared" si="3"/>
        <v>242.5772</v>
      </c>
      <c r="K31" s="564">
        <f t="shared" si="4"/>
        <v>72.773160000000004</v>
      </c>
      <c r="L31" s="565">
        <f t="shared" si="5"/>
        <v>315.35036000000002</v>
      </c>
    </row>
    <row r="32" spans="2:12" ht="30" customHeight="1">
      <c r="B32" s="192">
        <v>27</v>
      </c>
      <c r="C32" s="562" t="s">
        <v>633</v>
      </c>
      <c r="D32" s="206">
        <v>24</v>
      </c>
      <c r="E32" s="589">
        <f t="shared" si="0"/>
        <v>30.48</v>
      </c>
      <c r="F32" s="589">
        <f t="shared" si="1"/>
        <v>6.7056000000000004</v>
      </c>
      <c r="G32" s="206">
        <v>105.1</v>
      </c>
      <c r="H32" s="563">
        <f t="shared" si="2"/>
        <v>0.26400000000000001</v>
      </c>
      <c r="I32" s="563">
        <f t="shared" si="6"/>
        <v>11.2776</v>
      </c>
      <c r="J32" s="563">
        <f t="shared" si="3"/>
        <v>153.8272</v>
      </c>
      <c r="K32" s="564">
        <f t="shared" si="4"/>
        <v>46.148159999999997</v>
      </c>
      <c r="L32" s="565">
        <f t="shared" si="5"/>
        <v>199.97535999999999</v>
      </c>
    </row>
    <row r="33" spans="2:12" ht="43.5" customHeight="1">
      <c r="B33" s="192">
        <v>28</v>
      </c>
      <c r="C33" s="562" t="s">
        <v>634</v>
      </c>
      <c r="D33" s="206">
        <v>88</v>
      </c>
      <c r="E33" s="589">
        <f t="shared" si="0"/>
        <v>111.76</v>
      </c>
      <c r="F33" s="589">
        <f t="shared" si="1"/>
        <v>24.587200000000003</v>
      </c>
      <c r="G33" s="206">
        <v>111.26</v>
      </c>
      <c r="H33" s="563">
        <f t="shared" si="2"/>
        <v>0.96799999999999997</v>
      </c>
      <c r="I33" s="563">
        <f t="shared" si="6"/>
        <v>41.351199999999999</v>
      </c>
      <c r="J33" s="563">
        <f t="shared" si="3"/>
        <v>289.9264</v>
      </c>
      <c r="K33" s="564">
        <f t="shared" si="4"/>
        <v>86.977919999999997</v>
      </c>
      <c r="L33" s="565">
        <f t="shared" si="5"/>
        <v>376.90431999999998</v>
      </c>
    </row>
    <row r="34" spans="2:12" ht="42.75" customHeight="1">
      <c r="B34" s="192">
        <v>29</v>
      </c>
      <c r="C34" s="562" t="s">
        <v>635</v>
      </c>
      <c r="D34" s="206">
        <v>88</v>
      </c>
      <c r="E34" s="589">
        <f t="shared" si="0"/>
        <v>111.76</v>
      </c>
      <c r="F34" s="589">
        <f t="shared" si="1"/>
        <v>24.587200000000003</v>
      </c>
      <c r="G34" s="206">
        <v>137.51</v>
      </c>
      <c r="H34" s="563">
        <f t="shared" si="2"/>
        <v>0.96799999999999997</v>
      </c>
      <c r="I34" s="563">
        <f t="shared" si="6"/>
        <v>41.351199999999999</v>
      </c>
      <c r="J34" s="563">
        <f t="shared" si="3"/>
        <v>316.17640000000006</v>
      </c>
      <c r="K34" s="564">
        <f t="shared" si="4"/>
        <v>94.852920000000012</v>
      </c>
      <c r="L34" s="565">
        <f t="shared" si="5"/>
        <v>411.0293200000001</v>
      </c>
    </row>
    <row r="35" spans="2:12" ht="45" customHeight="1">
      <c r="B35" s="192">
        <v>30</v>
      </c>
      <c r="C35" s="562" t="s">
        <v>636</v>
      </c>
      <c r="D35" s="206">
        <v>88</v>
      </c>
      <c r="E35" s="589">
        <f t="shared" si="0"/>
        <v>111.76</v>
      </c>
      <c r="F35" s="589">
        <f t="shared" si="1"/>
        <v>24.587200000000003</v>
      </c>
      <c r="G35" s="206">
        <v>200.01</v>
      </c>
      <c r="H35" s="563">
        <f t="shared" si="2"/>
        <v>0.96799999999999997</v>
      </c>
      <c r="I35" s="563">
        <f t="shared" si="6"/>
        <v>41.351199999999999</v>
      </c>
      <c r="J35" s="563">
        <f t="shared" si="3"/>
        <v>378.67640000000006</v>
      </c>
      <c r="K35" s="564">
        <f t="shared" si="4"/>
        <v>113.60292000000001</v>
      </c>
      <c r="L35" s="565">
        <f t="shared" si="5"/>
        <v>492.2793200000001</v>
      </c>
    </row>
    <row r="36" spans="2:12" ht="18" customHeight="1">
      <c r="B36" s="192">
        <v>31</v>
      </c>
      <c r="C36" s="562" t="s">
        <v>637</v>
      </c>
      <c r="D36" s="206">
        <v>24</v>
      </c>
      <c r="E36" s="589">
        <f t="shared" si="0"/>
        <v>30.48</v>
      </c>
      <c r="F36" s="589">
        <f t="shared" si="1"/>
        <v>6.7056000000000004</v>
      </c>
      <c r="G36" s="206">
        <v>25.68</v>
      </c>
      <c r="H36" s="563">
        <f t="shared" si="2"/>
        <v>0.26400000000000001</v>
      </c>
      <c r="I36" s="563">
        <f t="shared" si="6"/>
        <v>11.2776</v>
      </c>
      <c r="J36" s="563">
        <f t="shared" si="3"/>
        <v>74.407200000000003</v>
      </c>
      <c r="K36" s="564">
        <f t="shared" si="4"/>
        <v>22.32216</v>
      </c>
      <c r="L36" s="565">
        <f t="shared" si="5"/>
        <v>96.72936</v>
      </c>
    </row>
    <row r="37" spans="2:12" ht="29.25" customHeight="1">
      <c r="B37" s="192">
        <v>32</v>
      </c>
      <c r="C37" s="193" t="s">
        <v>638</v>
      </c>
      <c r="D37" s="206">
        <v>96</v>
      </c>
      <c r="E37" s="589">
        <f t="shared" si="0"/>
        <v>121.92</v>
      </c>
      <c r="F37" s="589">
        <f t="shared" si="1"/>
        <v>26.822400000000002</v>
      </c>
      <c r="G37" s="206">
        <v>442.01</v>
      </c>
      <c r="H37" s="563">
        <f t="shared" si="2"/>
        <v>1.056</v>
      </c>
      <c r="I37" s="563">
        <f t="shared" si="6"/>
        <v>45.110399999999998</v>
      </c>
      <c r="J37" s="563">
        <f t="shared" si="3"/>
        <v>636.91880000000003</v>
      </c>
      <c r="K37" s="564">
        <f t="shared" si="4"/>
        <v>191.07563999999999</v>
      </c>
      <c r="L37" s="565">
        <f t="shared" si="5"/>
        <v>827.99444000000005</v>
      </c>
    </row>
    <row r="38" spans="2:12" ht="27" customHeight="1">
      <c r="B38" s="192">
        <v>33</v>
      </c>
      <c r="C38" s="193" t="s">
        <v>639</v>
      </c>
      <c r="D38" s="206">
        <v>96</v>
      </c>
      <c r="E38" s="589">
        <f t="shared" si="0"/>
        <v>121.92</v>
      </c>
      <c r="F38" s="589">
        <f t="shared" si="1"/>
        <v>26.822400000000002</v>
      </c>
      <c r="G38" s="206">
        <v>243.61</v>
      </c>
      <c r="H38" s="563">
        <f t="shared" si="2"/>
        <v>1.056</v>
      </c>
      <c r="I38" s="563">
        <f t="shared" si="6"/>
        <v>45.110399999999998</v>
      </c>
      <c r="J38" s="563">
        <f t="shared" si="3"/>
        <v>438.51879999999994</v>
      </c>
      <c r="K38" s="564">
        <f t="shared" si="4"/>
        <v>131.55563999999998</v>
      </c>
      <c r="L38" s="565">
        <f t="shared" si="5"/>
        <v>570.07443999999987</v>
      </c>
    </row>
    <row r="39" spans="2:12" ht="53.25" customHeight="1">
      <c r="B39" s="192">
        <v>34</v>
      </c>
      <c r="C39" s="562" t="s">
        <v>640</v>
      </c>
      <c r="D39" s="206">
        <v>104</v>
      </c>
      <c r="E39" s="589">
        <f t="shared" si="0"/>
        <v>132.08000000000001</v>
      </c>
      <c r="F39" s="589">
        <f t="shared" si="1"/>
        <v>29.057600000000001</v>
      </c>
      <c r="G39" s="206">
        <v>160.37</v>
      </c>
      <c r="H39" s="563">
        <f t="shared" si="2"/>
        <v>1.1439999999999999</v>
      </c>
      <c r="I39" s="563">
        <f t="shared" si="6"/>
        <v>48.869600000000005</v>
      </c>
      <c r="J39" s="563">
        <f t="shared" si="3"/>
        <v>371.52120000000002</v>
      </c>
      <c r="K39" s="564">
        <f t="shared" si="4"/>
        <v>111.45636</v>
      </c>
      <c r="L39" s="565">
        <f t="shared" si="5"/>
        <v>482.97756000000004</v>
      </c>
    </row>
    <row r="40" spans="2:12" ht="50.25" customHeight="1">
      <c r="B40" s="192">
        <v>35</v>
      </c>
      <c r="C40" s="562" t="s">
        <v>641</v>
      </c>
      <c r="D40" s="206">
        <v>104</v>
      </c>
      <c r="E40" s="589">
        <f t="shared" si="0"/>
        <v>132.08000000000001</v>
      </c>
      <c r="F40" s="589">
        <f t="shared" si="1"/>
        <v>29.057600000000001</v>
      </c>
      <c r="G40" s="206">
        <v>199.75</v>
      </c>
      <c r="H40" s="563">
        <f t="shared" si="2"/>
        <v>1.1439999999999999</v>
      </c>
      <c r="I40" s="563">
        <f t="shared" si="6"/>
        <v>48.869600000000005</v>
      </c>
      <c r="J40" s="563">
        <f t="shared" si="3"/>
        <v>410.90120000000002</v>
      </c>
      <c r="K40" s="564">
        <f t="shared" si="4"/>
        <v>123.27036</v>
      </c>
      <c r="L40" s="565">
        <f t="shared" si="5"/>
        <v>534.17156</v>
      </c>
    </row>
    <row r="41" spans="2:12" ht="51" customHeight="1">
      <c r="B41" s="192">
        <v>36</v>
      </c>
      <c r="C41" s="562" t="s">
        <v>642</v>
      </c>
      <c r="D41" s="206">
        <v>104</v>
      </c>
      <c r="E41" s="589">
        <f t="shared" si="0"/>
        <v>132.08000000000001</v>
      </c>
      <c r="F41" s="589">
        <f t="shared" si="1"/>
        <v>29.057600000000001</v>
      </c>
      <c r="G41" s="206">
        <v>293.5</v>
      </c>
      <c r="H41" s="563">
        <f t="shared" si="2"/>
        <v>1.1439999999999999</v>
      </c>
      <c r="I41" s="563">
        <f t="shared" si="6"/>
        <v>48.869600000000005</v>
      </c>
      <c r="J41" s="563">
        <f t="shared" si="3"/>
        <v>504.65120000000002</v>
      </c>
      <c r="K41" s="564">
        <f t="shared" si="4"/>
        <v>151.39536000000001</v>
      </c>
      <c r="L41" s="565">
        <f t="shared" si="5"/>
        <v>656.04656</v>
      </c>
    </row>
    <row r="42" spans="2:12" ht="26.25" customHeight="1">
      <c r="B42" s="192">
        <v>37</v>
      </c>
      <c r="C42" s="562" t="s">
        <v>643</v>
      </c>
      <c r="D42" s="206">
        <v>8</v>
      </c>
      <c r="E42" s="589">
        <f t="shared" si="0"/>
        <v>10.16</v>
      </c>
      <c r="F42" s="589">
        <f t="shared" si="1"/>
        <v>2.2352000000000003</v>
      </c>
      <c r="G42" s="206">
        <v>21.53</v>
      </c>
      <c r="H42" s="563">
        <f t="shared" si="2"/>
        <v>8.7999999999999995E-2</v>
      </c>
      <c r="I42" s="563">
        <f t="shared" si="6"/>
        <v>3.7591999999999999</v>
      </c>
      <c r="J42" s="563">
        <f t="shared" si="3"/>
        <v>37.772400000000005</v>
      </c>
      <c r="K42" s="564">
        <f t="shared" si="4"/>
        <v>11.331720000000001</v>
      </c>
      <c r="L42" s="565">
        <f t="shared" si="5"/>
        <v>49.104120000000009</v>
      </c>
    </row>
    <row r="43" spans="2:12" ht="24" customHeight="1">
      <c r="B43" s="192">
        <v>38</v>
      </c>
      <c r="C43" s="562" t="s">
        <v>644</v>
      </c>
      <c r="D43" s="206">
        <v>8</v>
      </c>
      <c r="E43" s="589">
        <f t="shared" si="0"/>
        <v>10.16</v>
      </c>
      <c r="F43" s="589">
        <f t="shared" si="1"/>
        <v>2.2352000000000003</v>
      </c>
      <c r="G43" s="206">
        <v>52.35</v>
      </c>
      <c r="H43" s="563">
        <f t="shared" si="2"/>
        <v>8.7999999999999995E-2</v>
      </c>
      <c r="I43" s="563">
        <f t="shared" si="6"/>
        <v>3.7591999999999999</v>
      </c>
      <c r="J43" s="563">
        <f t="shared" si="3"/>
        <v>68.592399999999998</v>
      </c>
      <c r="K43" s="564">
        <f t="shared" si="4"/>
        <v>20.577719999999999</v>
      </c>
      <c r="L43" s="565">
        <f t="shared" si="5"/>
        <v>89.170119999999997</v>
      </c>
    </row>
    <row r="44" spans="2:12" ht="27.75" customHeight="1">
      <c r="B44" s="192">
        <v>39</v>
      </c>
      <c r="C44" s="562" t="s">
        <v>645</v>
      </c>
      <c r="D44" s="206">
        <v>8</v>
      </c>
      <c r="E44" s="589">
        <f t="shared" si="0"/>
        <v>10.16</v>
      </c>
      <c r="F44" s="589">
        <f t="shared" si="1"/>
        <v>2.2352000000000003</v>
      </c>
      <c r="G44" s="206">
        <v>13.01</v>
      </c>
      <c r="H44" s="563">
        <f t="shared" si="2"/>
        <v>8.7999999999999995E-2</v>
      </c>
      <c r="I44" s="563">
        <f t="shared" si="6"/>
        <v>3.7591999999999999</v>
      </c>
      <c r="J44" s="563">
        <f t="shared" si="3"/>
        <v>29.252400000000002</v>
      </c>
      <c r="K44" s="564">
        <f t="shared" si="4"/>
        <v>8.7757199999999997</v>
      </c>
      <c r="L44" s="565">
        <f t="shared" si="5"/>
        <v>38.028120000000001</v>
      </c>
    </row>
    <row r="45" spans="2:12" s="34" customFormat="1" ht="21.75" customHeight="1">
      <c r="B45" s="270" t="s">
        <v>661</v>
      </c>
      <c r="C45" s="270"/>
      <c r="D45" s="270"/>
      <c r="E45" s="270"/>
      <c r="F45" s="270"/>
      <c r="G45" s="270"/>
      <c r="H45" s="270"/>
      <c r="I45" s="270"/>
      <c r="J45" s="270"/>
      <c r="K45" s="270"/>
      <c r="L45" s="270"/>
    </row>
    <row r="46" spans="2:12" s="34" customFormat="1" ht="19.5" customHeight="1">
      <c r="B46" s="188">
        <v>1</v>
      </c>
      <c r="C46" s="566" t="s">
        <v>648</v>
      </c>
      <c r="D46" s="591">
        <v>8</v>
      </c>
      <c r="E46" s="592">
        <f>D46*2.35</f>
        <v>18.8</v>
      </c>
      <c r="F46" s="591">
        <f>E46*22/100</f>
        <v>4.1360000000000001</v>
      </c>
      <c r="G46" s="203">
        <v>11.94</v>
      </c>
      <c r="H46" s="203"/>
      <c r="I46" s="593">
        <f>E46*0.37</f>
        <v>6.9560000000000004</v>
      </c>
      <c r="J46" s="593">
        <f>E46+F46+G46+H46+I46</f>
        <v>41.832000000000001</v>
      </c>
      <c r="K46" s="567">
        <f>J46*0.3</f>
        <v>12.5496</v>
      </c>
      <c r="L46" s="568">
        <f>J46+K46</f>
        <v>54.381599999999999</v>
      </c>
    </row>
    <row r="47" spans="2:12" s="34" customFormat="1" ht="19.5" customHeight="1">
      <c r="B47" s="188">
        <v>2</v>
      </c>
      <c r="C47" s="566" t="s">
        <v>1792</v>
      </c>
      <c r="D47" s="591">
        <v>8</v>
      </c>
      <c r="E47" s="592">
        <f t="shared" ref="E47:E61" si="7">D47*2.35</f>
        <v>18.8</v>
      </c>
      <c r="F47" s="591">
        <f t="shared" ref="F47:F61" si="8">E47*22/100</f>
        <v>4.1360000000000001</v>
      </c>
      <c r="G47" s="203">
        <v>23</v>
      </c>
      <c r="H47" s="203"/>
      <c r="I47" s="593">
        <f t="shared" ref="I47:I61" si="9">E47*0.37</f>
        <v>6.9560000000000004</v>
      </c>
      <c r="J47" s="593">
        <f t="shared" ref="J47:J61" si="10">E47+F47+G47+H47+I47</f>
        <v>52.892000000000003</v>
      </c>
      <c r="K47" s="567">
        <f t="shared" ref="K47:K61" si="11">J47*0.3</f>
        <v>15.867599999999999</v>
      </c>
      <c r="L47" s="568">
        <f t="shared" ref="L47:L61" si="12">J47+K47</f>
        <v>68.759600000000006</v>
      </c>
    </row>
    <row r="48" spans="2:12" s="34" customFormat="1" ht="19.5" customHeight="1">
      <c r="B48" s="197">
        <v>3</v>
      </c>
      <c r="C48" s="569" t="s">
        <v>649</v>
      </c>
      <c r="D48" s="591">
        <v>16</v>
      </c>
      <c r="E48" s="592">
        <f t="shared" si="7"/>
        <v>37.6</v>
      </c>
      <c r="F48" s="591">
        <f t="shared" si="8"/>
        <v>8.2720000000000002</v>
      </c>
      <c r="G48" s="206">
        <v>34.54</v>
      </c>
      <c r="H48" s="206"/>
      <c r="I48" s="593">
        <f t="shared" si="9"/>
        <v>13.912000000000001</v>
      </c>
      <c r="J48" s="593">
        <f t="shared" si="10"/>
        <v>94.324000000000012</v>
      </c>
      <c r="K48" s="567">
        <f t="shared" si="11"/>
        <v>28.297200000000004</v>
      </c>
      <c r="L48" s="568">
        <f t="shared" si="12"/>
        <v>122.62120000000002</v>
      </c>
    </row>
    <row r="49" spans="2:12" s="34" customFormat="1" ht="19.5" customHeight="1">
      <c r="B49" s="198">
        <v>4</v>
      </c>
      <c r="C49" s="566" t="s">
        <v>650</v>
      </c>
      <c r="D49" s="591">
        <v>24</v>
      </c>
      <c r="E49" s="592">
        <f t="shared" si="7"/>
        <v>56.400000000000006</v>
      </c>
      <c r="F49" s="591">
        <f t="shared" si="8"/>
        <v>12.408000000000001</v>
      </c>
      <c r="G49" s="203">
        <v>128.24</v>
      </c>
      <c r="H49" s="203"/>
      <c r="I49" s="593">
        <f t="shared" si="9"/>
        <v>20.868000000000002</v>
      </c>
      <c r="J49" s="593">
        <f t="shared" si="10"/>
        <v>217.916</v>
      </c>
      <c r="K49" s="567">
        <f t="shared" si="11"/>
        <v>65.374799999999993</v>
      </c>
      <c r="L49" s="568">
        <f t="shared" si="12"/>
        <v>283.29079999999999</v>
      </c>
    </row>
    <row r="50" spans="2:12" s="34" customFormat="1" ht="16.5" customHeight="1">
      <c r="B50" s="198">
        <v>5</v>
      </c>
      <c r="C50" s="566" t="s">
        <v>651</v>
      </c>
      <c r="D50" s="591">
        <v>8</v>
      </c>
      <c r="E50" s="592">
        <f t="shared" si="7"/>
        <v>18.8</v>
      </c>
      <c r="F50" s="591">
        <f t="shared" si="8"/>
        <v>4.1360000000000001</v>
      </c>
      <c r="G50" s="203">
        <v>55.3</v>
      </c>
      <c r="H50" s="203"/>
      <c r="I50" s="593">
        <f t="shared" si="9"/>
        <v>6.9560000000000004</v>
      </c>
      <c r="J50" s="593">
        <f t="shared" si="10"/>
        <v>85.191999999999993</v>
      </c>
      <c r="K50" s="567">
        <f t="shared" si="11"/>
        <v>25.557599999999997</v>
      </c>
      <c r="L50" s="568">
        <f t="shared" si="12"/>
        <v>110.74959999999999</v>
      </c>
    </row>
    <row r="51" spans="2:12" s="34" customFormat="1" ht="36.75" customHeight="1">
      <c r="B51" s="199">
        <v>6</v>
      </c>
      <c r="C51" s="569" t="s">
        <v>652</v>
      </c>
      <c r="D51" s="562">
        <v>72</v>
      </c>
      <c r="E51" s="592">
        <f t="shared" si="7"/>
        <v>169.20000000000002</v>
      </c>
      <c r="F51" s="562">
        <f t="shared" si="8"/>
        <v>37.224000000000004</v>
      </c>
      <c r="G51" s="206">
        <v>61.3</v>
      </c>
      <c r="H51" s="206"/>
      <c r="I51" s="593">
        <f t="shared" si="9"/>
        <v>62.604000000000006</v>
      </c>
      <c r="J51" s="563">
        <f t="shared" si="10"/>
        <v>330.32800000000003</v>
      </c>
      <c r="K51" s="567">
        <f t="shared" si="11"/>
        <v>99.098400000000012</v>
      </c>
      <c r="L51" s="568">
        <f t="shared" si="12"/>
        <v>429.42640000000006</v>
      </c>
    </row>
    <row r="52" spans="2:12" s="34" customFormat="1" ht="40.5" customHeight="1">
      <c r="B52" s="199">
        <v>7</v>
      </c>
      <c r="C52" s="569" t="s">
        <v>653</v>
      </c>
      <c r="D52" s="562">
        <v>40</v>
      </c>
      <c r="E52" s="589">
        <f t="shared" si="7"/>
        <v>94</v>
      </c>
      <c r="F52" s="562">
        <f t="shared" si="8"/>
        <v>20.68</v>
      </c>
      <c r="G52" s="206">
        <v>59.4</v>
      </c>
      <c r="H52" s="206"/>
      <c r="I52" s="563">
        <f t="shared" si="9"/>
        <v>34.78</v>
      </c>
      <c r="J52" s="563">
        <f t="shared" si="10"/>
        <v>208.86</v>
      </c>
      <c r="K52" s="567">
        <f t="shared" si="11"/>
        <v>62.658000000000001</v>
      </c>
      <c r="L52" s="568">
        <f t="shared" si="12"/>
        <v>271.51800000000003</v>
      </c>
    </row>
    <row r="53" spans="2:12" s="34" customFormat="1" ht="42" customHeight="1">
      <c r="B53" s="199">
        <v>8</v>
      </c>
      <c r="C53" s="569" t="s">
        <v>1793</v>
      </c>
      <c r="D53" s="562">
        <v>76</v>
      </c>
      <c r="E53" s="589">
        <f t="shared" si="7"/>
        <v>178.6</v>
      </c>
      <c r="F53" s="562">
        <f t="shared" si="8"/>
        <v>39.292000000000002</v>
      </c>
      <c r="G53" s="206">
        <v>124.44</v>
      </c>
      <c r="H53" s="206"/>
      <c r="I53" s="563">
        <f t="shared" si="9"/>
        <v>66.081999999999994</v>
      </c>
      <c r="J53" s="563">
        <f t="shared" si="10"/>
        <v>408.41399999999999</v>
      </c>
      <c r="K53" s="567">
        <f t="shared" si="11"/>
        <v>122.52419999999999</v>
      </c>
      <c r="L53" s="568">
        <f t="shared" si="12"/>
        <v>530.93819999999994</v>
      </c>
    </row>
    <row r="54" spans="2:12" s="34" customFormat="1" ht="15" customHeight="1">
      <c r="B54" s="198">
        <v>9</v>
      </c>
      <c r="C54" s="566" t="s">
        <v>654</v>
      </c>
      <c r="D54" s="591">
        <v>32</v>
      </c>
      <c r="E54" s="592">
        <f t="shared" si="7"/>
        <v>75.2</v>
      </c>
      <c r="F54" s="591">
        <f t="shared" si="8"/>
        <v>16.544</v>
      </c>
      <c r="G54" s="203">
        <v>229.8</v>
      </c>
      <c r="H54" s="203"/>
      <c r="I54" s="593">
        <f t="shared" si="9"/>
        <v>27.824000000000002</v>
      </c>
      <c r="J54" s="593">
        <f t="shared" si="10"/>
        <v>349.36799999999999</v>
      </c>
      <c r="K54" s="567">
        <f t="shared" si="11"/>
        <v>104.8104</v>
      </c>
      <c r="L54" s="568">
        <f t="shared" si="12"/>
        <v>454.17840000000001</v>
      </c>
    </row>
    <row r="55" spans="2:12" s="34" customFormat="1" ht="15" customHeight="1">
      <c r="B55" s="200">
        <v>10</v>
      </c>
      <c r="C55" s="566" t="s">
        <v>655</v>
      </c>
      <c r="D55" s="591">
        <v>32</v>
      </c>
      <c r="E55" s="592">
        <f t="shared" si="7"/>
        <v>75.2</v>
      </c>
      <c r="F55" s="591">
        <f t="shared" si="8"/>
        <v>16.544</v>
      </c>
      <c r="G55" s="203">
        <v>94.9</v>
      </c>
      <c r="H55" s="203"/>
      <c r="I55" s="593">
        <f t="shared" si="9"/>
        <v>27.824000000000002</v>
      </c>
      <c r="J55" s="593">
        <f t="shared" si="10"/>
        <v>214.46800000000002</v>
      </c>
      <c r="K55" s="567">
        <f t="shared" si="11"/>
        <v>64.340400000000002</v>
      </c>
      <c r="L55" s="568">
        <f t="shared" si="12"/>
        <v>278.80840000000001</v>
      </c>
    </row>
    <row r="56" spans="2:12" s="34" customFormat="1" ht="18" customHeight="1">
      <c r="B56" s="201">
        <v>11</v>
      </c>
      <c r="C56" s="570" t="s">
        <v>656</v>
      </c>
      <c r="D56" s="591">
        <v>16</v>
      </c>
      <c r="E56" s="592">
        <f t="shared" si="7"/>
        <v>37.6</v>
      </c>
      <c r="F56" s="591">
        <f t="shared" si="8"/>
        <v>8.2720000000000002</v>
      </c>
      <c r="G56" s="202">
        <v>106.95</v>
      </c>
      <c r="H56" s="202"/>
      <c r="I56" s="593">
        <f t="shared" si="9"/>
        <v>13.912000000000001</v>
      </c>
      <c r="J56" s="593">
        <f t="shared" si="10"/>
        <v>166.73400000000001</v>
      </c>
      <c r="K56" s="567">
        <f t="shared" si="11"/>
        <v>50.020200000000003</v>
      </c>
      <c r="L56" s="568">
        <f t="shared" si="12"/>
        <v>216.75420000000003</v>
      </c>
    </row>
    <row r="57" spans="2:12" s="34" customFormat="1" ht="14.25" customHeight="1">
      <c r="B57" s="201">
        <v>12</v>
      </c>
      <c r="C57" s="566" t="s">
        <v>657</v>
      </c>
      <c r="D57" s="591">
        <v>8</v>
      </c>
      <c r="E57" s="592">
        <f t="shared" si="7"/>
        <v>18.8</v>
      </c>
      <c r="F57" s="591">
        <f t="shared" si="8"/>
        <v>4.1360000000000001</v>
      </c>
      <c r="G57" s="203">
        <v>116.86</v>
      </c>
      <c r="H57" s="203"/>
      <c r="I57" s="593">
        <f t="shared" si="9"/>
        <v>6.9560000000000004</v>
      </c>
      <c r="J57" s="593">
        <f t="shared" si="10"/>
        <v>146.75199999999998</v>
      </c>
      <c r="K57" s="567">
        <f t="shared" si="11"/>
        <v>44.02559999999999</v>
      </c>
      <c r="L57" s="568">
        <f t="shared" si="12"/>
        <v>190.77759999999998</v>
      </c>
    </row>
    <row r="58" spans="2:12" s="34" customFormat="1" ht="15" customHeight="1">
      <c r="B58" s="201">
        <v>13</v>
      </c>
      <c r="C58" s="566" t="s">
        <v>658</v>
      </c>
      <c r="D58" s="591">
        <v>4</v>
      </c>
      <c r="E58" s="592">
        <f t="shared" si="7"/>
        <v>9.4</v>
      </c>
      <c r="F58" s="591">
        <f t="shared" si="8"/>
        <v>2.0680000000000001</v>
      </c>
      <c r="G58" s="203">
        <v>13.5</v>
      </c>
      <c r="H58" s="203"/>
      <c r="I58" s="593">
        <f t="shared" si="9"/>
        <v>3.4780000000000002</v>
      </c>
      <c r="J58" s="593">
        <f t="shared" si="10"/>
        <v>28.446000000000002</v>
      </c>
      <c r="K58" s="567">
        <f t="shared" si="11"/>
        <v>8.5337999999999994</v>
      </c>
      <c r="L58" s="568">
        <f t="shared" si="12"/>
        <v>36.979799999999997</v>
      </c>
    </row>
    <row r="59" spans="2:12" s="34" customFormat="1" ht="15" customHeight="1">
      <c r="B59" s="201">
        <v>14</v>
      </c>
      <c r="C59" s="566" t="s">
        <v>1794</v>
      </c>
      <c r="D59" s="591">
        <v>12</v>
      </c>
      <c r="E59" s="592">
        <f t="shared" si="7"/>
        <v>28.200000000000003</v>
      </c>
      <c r="F59" s="591">
        <f t="shared" si="8"/>
        <v>6.2040000000000006</v>
      </c>
      <c r="G59" s="203">
        <v>19.100000000000001</v>
      </c>
      <c r="H59" s="203"/>
      <c r="I59" s="593">
        <f t="shared" si="9"/>
        <v>10.434000000000001</v>
      </c>
      <c r="J59" s="593">
        <f t="shared" si="10"/>
        <v>63.938000000000002</v>
      </c>
      <c r="K59" s="567">
        <f t="shared" si="11"/>
        <v>19.1814</v>
      </c>
      <c r="L59" s="568">
        <f t="shared" si="12"/>
        <v>83.119399999999999</v>
      </c>
    </row>
    <row r="60" spans="2:12" s="34" customFormat="1" ht="16.5" customHeight="1">
      <c r="B60" s="201">
        <v>15</v>
      </c>
      <c r="C60" s="571" t="s">
        <v>659</v>
      </c>
      <c r="D60" s="591">
        <v>40</v>
      </c>
      <c r="E60" s="592">
        <f t="shared" si="7"/>
        <v>94</v>
      </c>
      <c r="F60" s="591">
        <f t="shared" si="8"/>
        <v>20.68</v>
      </c>
      <c r="G60" s="204">
        <v>82.65</v>
      </c>
      <c r="H60" s="204"/>
      <c r="I60" s="593">
        <f t="shared" si="9"/>
        <v>34.78</v>
      </c>
      <c r="J60" s="593">
        <f t="shared" si="10"/>
        <v>232.11</v>
      </c>
      <c r="K60" s="567">
        <f t="shared" si="11"/>
        <v>69.632999999999996</v>
      </c>
      <c r="L60" s="568">
        <f t="shared" si="12"/>
        <v>301.74299999999999</v>
      </c>
    </row>
    <row r="61" spans="2:12" s="34" customFormat="1" ht="20.25" customHeight="1">
      <c r="B61" s="205">
        <v>16</v>
      </c>
      <c r="C61" s="569" t="s">
        <v>660</v>
      </c>
      <c r="D61" s="562">
        <v>48</v>
      </c>
      <c r="E61" s="589">
        <f t="shared" si="7"/>
        <v>112.80000000000001</v>
      </c>
      <c r="F61" s="562">
        <f t="shared" si="8"/>
        <v>24.816000000000003</v>
      </c>
      <c r="G61" s="206">
        <v>332.3</v>
      </c>
      <c r="H61" s="206"/>
      <c r="I61" s="563">
        <f t="shared" si="9"/>
        <v>41.736000000000004</v>
      </c>
      <c r="J61" s="563">
        <f t="shared" si="10"/>
        <v>511.65200000000004</v>
      </c>
      <c r="K61" s="567">
        <f t="shared" si="11"/>
        <v>153.4956</v>
      </c>
      <c r="L61" s="568">
        <f t="shared" si="12"/>
        <v>665.14760000000001</v>
      </c>
    </row>
    <row r="62" spans="2:12" s="333" customFormat="1" ht="24.75" customHeight="1">
      <c r="C62" s="572" t="s">
        <v>1097</v>
      </c>
      <c r="D62" s="572"/>
      <c r="E62" s="572"/>
      <c r="F62" s="572"/>
      <c r="G62" s="572"/>
      <c r="H62" s="572"/>
      <c r="I62" s="572"/>
      <c r="J62" s="572"/>
      <c r="K62" s="572"/>
      <c r="L62" s="573"/>
    </row>
    <row r="63" spans="2:12" s="333" customFormat="1" ht="31.5" customHeight="1">
      <c r="B63" s="334">
        <v>1</v>
      </c>
      <c r="C63" s="574" t="s">
        <v>1055</v>
      </c>
      <c r="D63" s="594">
        <v>360</v>
      </c>
      <c r="E63" s="595">
        <v>306</v>
      </c>
      <c r="F63" s="595">
        <v>67.320000000000007</v>
      </c>
      <c r="G63" s="595">
        <v>49.33</v>
      </c>
      <c r="H63" s="595">
        <v>1.08</v>
      </c>
      <c r="I63" s="595">
        <v>113.22</v>
      </c>
      <c r="J63" s="595">
        <v>536.94999999999993</v>
      </c>
      <c r="K63" s="575">
        <v>161.08499999999998</v>
      </c>
      <c r="L63" s="576">
        <v>698.03499999999985</v>
      </c>
    </row>
    <row r="64" spans="2:12" s="333" customFormat="1" ht="30">
      <c r="B64" s="334">
        <v>2</v>
      </c>
      <c r="C64" s="577" t="s">
        <v>1056</v>
      </c>
      <c r="D64" s="594">
        <v>30</v>
      </c>
      <c r="E64" s="595">
        <v>25.5</v>
      </c>
      <c r="F64" s="595">
        <v>5.61</v>
      </c>
      <c r="G64" s="595">
        <v>8.7100000000000009</v>
      </c>
      <c r="H64" s="595">
        <v>0.09</v>
      </c>
      <c r="I64" s="595">
        <v>9.4350000000000005</v>
      </c>
      <c r="J64" s="595">
        <v>49.345000000000006</v>
      </c>
      <c r="K64" s="575">
        <v>14.803500000000001</v>
      </c>
      <c r="L64" s="576">
        <v>64.148500000000013</v>
      </c>
    </row>
    <row r="65" spans="2:12" s="333" customFormat="1" ht="15.75">
      <c r="B65" s="334">
        <v>3</v>
      </c>
      <c r="C65" s="578" t="s">
        <v>1057</v>
      </c>
      <c r="D65" s="594">
        <v>408</v>
      </c>
      <c r="E65" s="595">
        <v>346.8</v>
      </c>
      <c r="F65" s="595">
        <v>76.296000000000006</v>
      </c>
      <c r="G65" s="595">
        <v>56.42</v>
      </c>
      <c r="H65" s="595">
        <v>1.224</v>
      </c>
      <c r="I65" s="595">
        <v>128.316</v>
      </c>
      <c r="J65" s="595">
        <v>609.05600000000004</v>
      </c>
      <c r="K65" s="575">
        <v>182.71680000000001</v>
      </c>
      <c r="L65" s="576">
        <v>791.77280000000007</v>
      </c>
    </row>
    <row r="66" spans="2:12" s="333" customFormat="1" ht="15.75">
      <c r="B66" s="334">
        <v>4</v>
      </c>
      <c r="C66" s="578" t="s">
        <v>1058</v>
      </c>
      <c r="D66" s="594">
        <v>78</v>
      </c>
      <c r="E66" s="595">
        <v>66.3</v>
      </c>
      <c r="F66" s="595">
        <v>14.586</v>
      </c>
      <c r="G66" s="595">
        <v>46.89</v>
      </c>
      <c r="H66" s="595">
        <v>0.23400000000000001</v>
      </c>
      <c r="I66" s="595">
        <v>24.530999999999999</v>
      </c>
      <c r="J66" s="595">
        <v>152.541</v>
      </c>
      <c r="K66" s="575">
        <v>45.762299999999996</v>
      </c>
      <c r="L66" s="576">
        <v>198.30329999999998</v>
      </c>
    </row>
    <row r="67" spans="2:12" s="333" customFormat="1" ht="15.75">
      <c r="B67" s="334">
        <v>5</v>
      </c>
      <c r="C67" s="578" t="s">
        <v>1059</v>
      </c>
      <c r="D67" s="594">
        <v>6</v>
      </c>
      <c r="E67" s="595">
        <v>5.0999999999999996</v>
      </c>
      <c r="F67" s="595">
        <v>1.1219999999999999</v>
      </c>
      <c r="G67" s="595">
        <v>9.56</v>
      </c>
      <c r="H67" s="595">
        <v>1.8000000000000002E-2</v>
      </c>
      <c r="I67" s="595">
        <v>1.8869999999999998</v>
      </c>
      <c r="J67" s="595">
        <v>17.687000000000001</v>
      </c>
      <c r="K67" s="575">
        <v>5.3060999999999998</v>
      </c>
      <c r="L67" s="576">
        <v>22.993100000000002</v>
      </c>
    </row>
    <row r="68" spans="2:12" s="333" customFormat="1" ht="15.75">
      <c r="B68" s="334">
        <v>6</v>
      </c>
      <c r="C68" s="578" t="s">
        <v>1060</v>
      </c>
      <c r="D68" s="594">
        <v>54</v>
      </c>
      <c r="E68" s="595">
        <v>45.9</v>
      </c>
      <c r="F68" s="595">
        <v>10.097999999999999</v>
      </c>
      <c r="G68" s="595">
        <v>29.73</v>
      </c>
      <c r="H68" s="595">
        <v>0.16200000000000001</v>
      </c>
      <c r="I68" s="595">
        <v>16.983000000000001</v>
      </c>
      <c r="J68" s="595">
        <v>102.873</v>
      </c>
      <c r="K68" s="575">
        <v>30.861899999999999</v>
      </c>
      <c r="L68" s="576">
        <v>133.73490000000001</v>
      </c>
    </row>
    <row r="69" spans="2:12" s="333" customFormat="1" ht="15.75">
      <c r="B69" s="334">
        <v>7</v>
      </c>
      <c r="C69" s="578" t="s">
        <v>1061</v>
      </c>
      <c r="D69" s="594">
        <v>66</v>
      </c>
      <c r="E69" s="595">
        <v>56.1</v>
      </c>
      <c r="F69" s="595">
        <v>12.342000000000001</v>
      </c>
      <c r="G69" s="595">
        <v>53.84</v>
      </c>
      <c r="H69" s="595">
        <v>0.19800000000000001</v>
      </c>
      <c r="I69" s="595">
        <v>20.757000000000001</v>
      </c>
      <c r="J69" s="595">
        <v>143.23699999999999</v>
      </c>
      <c r="K69" s="575">
        <v>42.9711</v>
      </c>
      <c r="L69" s="576">
        <v>186.2081</v>
      </c>
    </row>
    <row r="70" spans="2:12" s="333" customFormat="1" ht="15.75">
      <c r="B70" s="334">
        <v>8</v>
      </c>
      <c r="C70" s="578" t="s">
        <v>1062</v>
      </c>
      <c r="D70" s="594">
        <v>96</v>
      </c>
      <c r="E70" s="595">
        <v>81.599999999999994</v>
      </c>
      <c r="F70" s="595">
        <v>17.951999999999998</v>
      </c>
      <c r="G70" s="595">
        <v>38.869999999999997</v>
      </c>
      <c r="H70" s="595">
        <v>0.28800000000000003</v>
      </c>
      <c r="I70" s="595">
        <v>30.191999999999997</v>
      </c>
      <c r="J70" s="595">
        <v>168.90200000000002</v>
      </c>
      <c r="K70" s="575">
        <v>50.6706</v>
      </c>
      <c r="L70" s="576">
        <v>219.57260000000002</v>
      </c>
    </row>
    <row r="71" spans="2:12" s="333" customFormat="1" ht="15.75">
      <c r="B71" s="334">
        <v>9</v>
      </c>
      <c r="C71" s="578" t="s">
        <v>1063</v>
      </c>
      <c r="D71" s="594">
        <v>102</v>
      </c>
      <c r="E71" s="595">
        <v>86.7</v>
      </c>
      <c r="F71" s="595">
        <v>19.074000000000002</v>
      </c>
      <c r="G71" s="595">
        <v>73.239999999999995</v>
      </c>
      <c r="H71" s="595">
        <v>0.30599999999999999</v>
      </c>
      <c r="I71" s="595">
        <v>32.079000000000001</v>
      </c>
      <c r="J71" s="595">
        <v>211.39900000000003</v>
      </c>
      <c r="K71" s="575">
        <v>63.419700000000006</v>
      </c>
      <c r="L71" s="576">
        <v>274.81870000000004</v>
      </c>
    </row>
    <row r="72" spans="2:12" s="333" customFormat="1" ht="15.75">
      <c r="B72" s="334">
        <v>10</v>
      </c>
      <c r="C72" s="578" t="s">
        <v>1064</v>
      </c>
      <c r="D72" s="594">
        <v>108</v>
      </c>
      <c r="E72" s="595">
        <v>91.8</v>
      </c>
      <c r="F72" s="595">
        <v>20.195999999999998</v>
      </c>
      <c r="G72" s="595">
        <v>108.76</v>
      </c>
      <c r="H72" s="595">
        <v>0.32400000000000001</v>
      </c>
      <c r="I72" s="595">
        <v>33.966000000000001</v>
      </c>
      <c r="J72" s="595">
        <v>255.04600000000002</v>
      </c>
      <c r="K72" s="575">
        <v>76.513800000000003</v>
      </c>
      <c r="L72" s="576">
        <v>331.5598</v>
      </c>
    </row>
    <row r="73" spans="2:12" s="333" customFormat="1" ht="15.75">
      <c r="B73" s="334">
        <v>11</v>
      </c>
      <c r="C73" s="578" t="s">
        <v>1065</v>
      </c>
      <c r="D73" s="594">
        <v>114</v>
      </c>
      <c r="E73" s="595">
        <v>96.899999999999991</v>
      </c>
      <c r="F73" s="595">
        <v>21.317999999999998</v>
      </c>
      <c r="G73" s="595">
        <v>144.99</v>
      </c>
      <c r="H73" s="595">
        <v>0.34200000000000003</v>
      </c>
      <c r="I73" s="595">
        <v>35.852999999999994</v>
      </c>
      <c r="J73" s="595">
        <v>299.40299999999996</v>
      </c>
      <c r="K73" s="575">
        <v>89.82089999999998</v>
      </c>
      <c r="L73" s="576">
        <v>389.22389999999996</v>
      </c>
    </row>
    <row r="74" spans="2:12" s="333" customFormat="1" ht="15.75">
      <c r="B74" s="334">
        <v>12</v>
      </c>
      <c r="C74" s="578" t="s">
        <v>1066</v>
      </c>
      <c r="D74" s="594">
        <v>102</v>
      </c>
      <c r="E74" s="595">
        <v>86.7</v>
      </c>
      <c r="F74" s="595">
        <v>19.074000000000002</v>
      </c>
      <c r="G74" s="595">
        <v>29.27</v>
      </c>
      <c r="H74" s="595">
        <v>0.30599999999999999</v>
      </c>
      <c r="I74" s="595">
        <v>32.079000000000001</v>
      </c>
      <c r="J74" s="595">
        <v>167.42900000000003</v>
      </c>
      <c r="K74" s="575">
        <v>50.228700000000011</v>
      </c>
      <c r="L74" s="576">
        <v>217.65770000000003</v>
      </c>
    </row>
    <row r="75" spans="2:12" s="333" customFormat="1" ht="15.75">
      <c r="B75" s="334">
        <v>13</v>
      </c>
      <c r="C75" s="578" t="s">
        <v>1067</v>
      </c>
      <c r="D75" s="594">
        <v>108</v>
      </c>
      <c r="E75" s="595">
        <v>91.8</v>
      </c>
      <c r="F75" s="595">
        <v>20.195999999999998</v>
      </c>
      <c r="G75" s="595">
        <v>29.98</v>
      </c>
      <c r="H75" s="595">
        <v>0.32400000000000001</v>
      </c>
      <c r="I75" s="595">
        <v>33.966000000000001</v>
      </c>
      <c r="J75" s="595">
        <v>176.26600000000002</v>
      </c>
      <c r="K75" s="575">
        <v>52.879800000000003</v>
      </c>
      <c r="L75" s="576">
        <v>229.14580000000001</v>
      </c>
    </row>
    <row r="76" spans="2:12" s="333" customFormat="1" ht="15.75">
      <c r="B76" s="334">
        <v>14</v>
      </c>
      <c r="C76" s="578" t="s">
        <v>1068</v>
      </c>
      <c r="D76" s="594">
        <v>120</v>
      </c>
      <c r="E76" s="595">
        <v>102</v>
      </c>
      <c r="F76" s="595">
        <v>22.44</v>
      </c>
      <c r="G76" s="595">
        <v>54.93</v>
      </c>
      <c r="H76" s="595">
        <v>0.36</v>
      </c>
      <c r="I76" s="595">
        <v>37.74</v>
      </c>
      <c r="J76" s="595">
        <v>217.47000000000003</v>
      </c>
      <c r="K76" s="575">
        <v>65.241</v>
      </c>
      <c r="L76" s="576">
        <v>282.71100000000001</v>
      </c>
    </row>
    <row r="77" spans="2:12" s="333" customFormat="1" ht="30.75" customHeight="1">
      <c r="B77" s="334">
        <v>15</v>
      </c>
      <c r="C77" s="577" t="s">
        <v>1069</v>
      </c>
      <c r="D77" s="594">
        <v>120</v>
      </c>
      <c r="E77" s="595">
        <v>102</v>
      </c>
      <c r="F77" s="595">
        <v>22.44</v>
      </c>
      <c r="G77" s="595">
        <v>54.78</v>
      </c>
      <c r="H77" s="595">
        <v>0.36</v>
      </c>
      <c r="I77" s="595">
        <v>37.74</v>
      </c>
      <c r="J77" s="595">
        <v>217.32000000000002</v>
      </c>
      <c r="K77" s="575">
        <v>65.195999999999998</v>
      </c>
      <c r="L77" s="576">
        <v>282.51600000000002</v>
      </c>
    </row>
    <row r="78" spans="2:12" s="333" customFormat="1" ht="31.5" customHeight="1">
      <c r="B78" s="334">
        <v>16</v>
      </c>
      <c r="C78" s="577" t="s">
        <v>1070</v>
      </c>
      <c r="D78" s="594">
        <v>132</v>
      </c>
      <c r="E78" s="595">
        <v>112.2</v>
      </c>
      <c r="F78" s="595">
        <v>24.684000000000001</v>
      </c>
      <c r="G78" s="594">
        <v>60.32</v>
      </c>
      <c r="H78" s="595">
        <v>0.39600000000000002</v>
      </c>
      <c r="I78" s="595">
        <v>41.514000000000003</v>
      </c>
      <c r="J78" s="595">
        <v>239.114</v>
      </c>
      <c r="K78" s="575">
        <v>71.734200000000001</v>
      </c>
      <c r="L78" s="576">
        <v>310.84820000000002</v>
      </c>
    </row>
    <row r="79" spans="2:12" s="333" customFormat="1" ht="30" customHeight="1">
      <c r="B79" s="334">
        <v>17</v>
      </c>
      <c r="C79" s="577" t="s">
        <v>1071</v>
      </c>
      <c r="D79" s="594">
        <v>102</v>
      </c>
      <c r="E79" s="595">
        <v>86.7</v>
      </c>
      <c r="F79" s="595">
        <v>19.074000000000002</v>
      </c>
      <c r="G79" s="594">
        <v>27.34</v>
      </c>
      <c r="H79" s="595">
        <v>0.30599999999999999</v>
      </c>
      <c r="I79" s="595">
        <v>32.079000000000001</v>
      </c>
      <c r="J79" s="595">
        <v>165.49900000000002</v>
      </c>
      <c r="K79" s="575">
        <v>49.649700000000003</v>
      </c>
      <c r="L79" s="576">
        <v>215.14870000000002</v>
      </c>
    </row>
    <row r="80" spans="2:12" s="333" customFormat="1" ht="31.5" customHeight="1">
      <c r="B80" s="334">
        <v>18</v>
      </c>
      <c r="C80" s="577" t="s">
        <v>1072</v>
      </c>
      <c r="D80" s="594">
        <v>174</v>
      </c>
      <c r="E80" s="595">
        <v>147.9</v>
      </c>
      <c r="F80" s="595">
        <v>32.538000000000004</v>
      </c>
      <c r="G80" s="594">
        <v>89.51</v>
      </c>
      <c r="H80" s="595">
        <v>0.52200000000000002</v>
      </c>
      <c r="I80" s="595">
        <v>54.722999999999999</v>
      </c>
      <c r="J80" s="595">
        <v>325.19300000000004</v>
      </c>
      <c r="K80" s="575">
        <v>97.557900000000004</v>
      </c>
      <c r="L80" s="576">
        <v>422.75090000000006</v>
      </c>
    </row>
    <row r="81" spans="2:12" s="333" customFormat="1" ht="30">
      <c r="B81" s="334">
        <v>19</v>
      </c>
      <c r="C81" s="577" t="s">
        <v>1073</v>
      </c>
      <c r="D81" s="594">
        <v>120</v>
      </c>
      <c r="E81" s="595">
        <v>102</v>
      </c>
      <c r="F81" s="595">
        <v>22.44</v>
      </c>
      <c r="G81" s="594">
        <v>24.83</v>
      </c>
      <c r="H81" s="595">
        <v>0.36</v>
      </c>
      <c r="I81" s="595">
        <v>37.74</v>
      </c>
      <c r="J81" s="595">
        <v>187.37</v>
      </c>
      <c r="K81" s="575">
        <v>56.210999999999999</v>
      </c>
      <c r="L81" s="576">
        <v>243.58100000000002</v>
      </c>
    </row>
    <row r="82" spans="2:12" s="333" customFormat="1" ht="31.5" customHeight="1">
      <c r="B82" s="334">
        <v>20</v>
      </c>
      <c r="C82" s="577" t="s">
        <v>1074</v>
      </c>
      <c r="D82" s="594">
        <v>90</v>
      </c>
      <c r="E82" s="595">
        <v>76.5</v>
      </c>
      <c r="F82" s="595">
        <v>16.830000000000002</v>
      </c>
      <c r="G82" s="594">
        <v>54.43</v>
      </c>
      <c r="H82" s="595">
        <v>0.27</v>
      </c>
      <c r="I82" s="595">
        <v>28.305</v>
      </c>
      <c r="J82" s="595">
        <v>176.33500000000001</v>
      </c>
      <c r="K82" s="575">
        <v>52.900500000000001</v>
      </c>
      <c r="L82" s="576">
        <v>229.2355</v>
      </c>
    </row>
    <row r="83" spans="2:12" s="333" customFormat="1" ht="34.5" customHeight="1">
      <c r="B83" s="334">
        <v>21</v>
      </c>
      <c r="C83" s="577" t="s">
        <v>1075</v>
      </c>
      <c r="D83" s="594">
        <v>72</v>
      </c>
      <c r="E83" s="595">
        <v>61.199999999999996</v>
      </c>
      <c r="F83" s="595">
        <v>13.463999999999999</v>
      </c>
      <c r="G83" s="594">
        <v>36.68</v>
      </c>
      <c r="H83" s="595">
        <v>0.216</v>
      </c>
      <c r="I83" s="595">
        <v>22.643999999999998</v>
      </c>
      <c r="J83" s="595">
        <v>134.20399999999998</v>
      </c>
      <c r="K83" s="575">
        <v>40.261199999999995</v>
      </c>
      <c r="L83" s="576">
        <v>174.46519999999998</v>
      </c>
    </row>
    <row r="84" spans="2:12" s="333" customFormat="1" ht="15.75">
      <c r="B84" s="334">
        <v>22</v>
      </c>
      <c r="C84" s="577" t="s">
        <v>1076</v>
      </c>
      <c r="D84" s="594">
        <v>18</v>
      </c>
      <c r="E84" s="595">
        <v>15.299999999999999</v>
      </c>
      <c r="F84" s="595">
        <v>3.3659999999999997</v>
      </c>
      <c r="G84" s="594">
        <v>19.52</v>
      </c>
      <c r="H84" s="595">
        <v>5.3999999999999999E-2</v>
      </c>
      <c r="I84" s="595">
        <v>5.6609999999999996</v>
      </c>
      <c r="J84" s="595">
        <v>43.900999999999996</v>
      </c>
      <c r="K84" s="575">
        <v>13.170299999999999</v>
      </c>
      <c r="L84" s="576">
        <v>57.071299999999994</v>
      </c>
    </row>
    <row r="85" spans="2:12" s="333" customFormat="1" ht="15.75">
      <c r="B85" s="334">
        <v>23</v>
      </c>
      <c r="C85" s="578" t="s">
        <v>1077</v>
      </c>
      <c r="D85" s="594">
        <v>96</v>
      </c>
      <c r="E85" s="595">
        <v>81.599999999999994</v>
      </c>
      <c r="F85" s="595">
        <v>17.951999999999998</v>
      </c>
      <c r="G85" s="594">
        <v>36.42</v>
      </c>
      <c r="H85" s="595">
        <v>0.28800000000000003</v>
      </c>
      <c r="I85" s="595">
        <v>30.191999999999997</v>
      </c>
      <c r="J85" s="595">
        <v>166.452</v>
      </c>
      <c r="K85" s="575">
        <v>49.935600000000001</v>
      </c>
      <c r="L85" s="576">
        <v>216.38759999999999</v>
      </c>
    </row>
    <row r="86" spans="2:12" s="333" customFormat="1" ht="15.75">
      <c r="B86" s="334">
        <v>24</v>
      </c>
      <c r="C86" s="578" t="s">
        <v>1078</v>
      </c>
      <c r="D86" s="594">
        <v>18</v>
      </c>
      <c r="E86" s="595">
        <v>15.299999999999999</v>
      </c>
      <c r="F86" s="595">
        <v>3.3659999999999997</v>
      </c>
      <c r="G86" s="594">
        <v>19.29</v>
      </c>
      <c r="H86" s="595">
        <v>5.3999999999999999E-2</v>
      </c>
      <c r="I86" s="595">
        <v>5.6609999999999996</v>
      </c>
      <c r="J86" s="595">
        <v>43.670999999999999</v>
      </c>
      <c r="K86" s="575">
        <v>13.1013</v>
      </c>
      <c r="L86" s="576">
        <v>56.772300000000001</v>
      </c>
    </row>
    <row r="87" spans="2:12" s="333" customFormat="1" ht="15.75">
      <c r="B87" s="334">
        <v>25</v>
      </c>
      <c r="C87" s="578" t="s">
        <v>1079</v>
      </c>
      <c r="D87" s="594">
        <v>30</v>
      </c>
      <c r="E87" s="595">
        <v>25.5</v>
      </c>
      <c r="F87" s="595">
        <v>5.61</v>
      </c>
      <c r="G87" s="594">
        <v>12.93</v>
      </c>
      <c r="H87" s="595">
        <v>0.09</v>
      </c>
      <c r="I87" s="595">
        <v>9.4350000000000005</v>
      </c>
      <c r="J87" s="595">
        <v>53.565000000000005</v>
      </c>
      <c r="K87" s="575">
        <v>16.069500000000001</v>
      </c>
      <c r="L87" s="576">
        <v>69.634500000000003</v>
      </c>
    </row>
    <row r="88" spans="2:12" s="333" customFormat="1" ht="15.75">
      <c r="B88" s="334">
        <v>26</v>
      </c>
      <c r="C88" s="578" t="s">
        <v>1080</v>
      </c>
      <c r="D88" s="594">
        <v>6</v>
      </c>
      <c r="E88" s="595">
        <v>5.0999999999999996</v>
      </c>
      <c r="F88" s="595">
        <v>1.1219999999999999</v>
      </c>
      <c r="G88" s="594">
        <v>12.93</v>
      </c>
      <c r="H88" s="595">
        <v>1.8000000000000002E-2</v>
      </c>
      <c r="I88" s="595">
        <v>1.8869999999999998</v>
      </c>
      <c r="J88" s="595">
        <v>21.057000000000002</v>
      </c>
      <c r="K88" s="575">
        <v>6.3171000000000008</v>
      </c>
      <c r="L88" s="576">
        <v>27.374100000000002</v>
      </c>
    </row>
    <row r="89" spans="2:12" s="333" customFormat="1" ht="31.5" customHeight="1">
      <c r="B89" s="334">
        <v>27</v>
      </c>
      <c r="C89" s="577" t="s">
        <v>1081</v>
      </c>
      <c r="D89" s="594">
        <v>18</v>
      </c>
      <c r="E89" s="595">
        <v>15.299999999999999</v>
      </c>
      <c r="F89" s="595">
        <v>3.3659999999999997</v>
      </c>
      <c r="G89" s="595">
        <v>4.0999999999999996</v>
      </c>
      <c r="H89" s="595">
        <v>5.3999999999999999E-2</v>
      </c>
      <c r="I89" s="595">
        <v>5.6609999999999996</v>
      </c>
      <c r="J89" s="595">
        <v>28.480999999999995</v>
      </c>
      <c r="K89" s="575">
        <v>8.544299999999998</v>
      </c>
      <c r="L89" s="576">
        <v>37.025299999999994</v>
      </c>
    </row>
    <row r="90" spans="2:12" s="333" customFormat="1" ht="30">
      <c r="B90" s="334">
        <v>28</v>
      </c>
      <c r="C90" s="577" t="s">
        <v>1082</v>
      </c>
      <c r="D90" s="594">
        <v>270</v>
      </c>
      <c r="E90" s="595">
        <v>229.5</v>
      </c>
      <c r="F90" s="595">
        <v>50.49</v>
      </c>
      <c r="G90" s="594">
        <v>63.12</v>
      </c>
      <c r="H90" s="595">
        <v>0.81</v>
      </c>
      <c r="I90" s="595">
        <v>84.914999999999992</v>
      </c>
      <c r="J90" s="595">
        <v>428.83500000000004</v>
      </c>
      <c r="K90" s="575">
        <v>128.65049999999999</v>
      </c>
      <c r="L90" s="576">
        <v>557.4855</v>
      </c>
    </row>
    <row r="91" spans="2:12" s="333" customFormat="1" ht="30">
      <c r="B91" s="334">
        <v>29</v>
      </c>
      <c r="C91" s="577" t="s">
        <v>1083</v>
      </c>
      <c r="D91" s="594">
        <v>72</v>
      </c>
      <c r="E91" s="595">
        <v>61.199999999999996</v>
      </c>
      <c r="F91" s="595">
        <v>13.463999999999999</v>
      </c>
      <c r="G91" s="594">
        <v>68.14</v>
      </c>
      <c r="H91" s="595">
        <v>0.216</v>
      </c>
      <c r="I91" s="595">
        <v>22.643999999999998</v>
      </c>
      <c r="J91" s="595">
        <v>165.66399999999999</v>
      </c>
      <c r="K91" s="575">
        <v>49.699199999999998</v>
      </c>
      <c r="L91" s="576">
        <v>215.36319999999998</v>
      </c>
    </row>
    <row r="92" spans="2:12" s="333" customFormat="1" ht="30.75" customHeight="1">
      <c r="B92" s="334">
        <v>30</v>
      </c>
      <c r="C92" s="577" t="s">
        <v>1084</v>
      </c>
      <c r="D92" s="594">
        <v>396</v>
      </c>
      <c r="E92" s="595">
        <v>336.59999999999997</v>
      </c>
      <c r="F92" s="595">
        <v>74.051999999999992</v>
      </c>
      <c r="G92" s="594">
        <v>100.14</v>
      </c>
      <c r="H92" s="595">
        <v>1.1879999999999999</v>
      </c>
      <c r="I92" s="595">
        <v>124.54199999999999</v>
      </c>
      <c r="J92" s="595">
        <v>636.52199999999993</v>
      </c>
      <c r="K92" s="575">
        <v>190.95659999999998</v>
      </c>
      <c r="L92" s="576">
        <v>827.47859999999991</v>
      </c>
    </row>
    <row r="93" spans="2:12" s="333" customFormat="1" ht="30">
      <c r="B93" s="334">
        <v>31</v>
      </c>
      <c r="C93" s="577" t="s">
        <v>1085</v>
      </c>
      <c r="D93" s="594">
        <v>162</v>
      </c>
      <c r="E93" s="595">
        <v>137.69999999999999</v>
      </c>
      <c r="F93" s="595">
        <v>30.293999999999997</v>
      </c>
      <c r="G93" s="595">
        <v>99.5</v>
      </c>
      <c r="H93" s="595">
        <v>0.48599999999999999</v>
      </c>
      <c r="I93" s="595">
        <v>50.948999999999998</v>
      </c>
      <c r="J93" s="595">
        <v>318.92899999999997</v>
      </c>
      <c r="K93" s="575">
        <v>95.678699999999992</v>
      </c>
      <c r="L93" s="576">
        <v>414.60769999999997</v>
      </c>
    </row>
    <row r="94" spans="2:12" s="333" customFormat="1" ht="30">
      <c r="B94" s="334">
        <v>32</v>
      </c>
      <c r="C94" s="577" t="s">
        <v>1086</v>
      </c>
      <c r="D94" s="594">
        <v>510</v>
      </c>
      <c r="E94" s="595">
        <v>433.5</v>
      </c>
      <c r="F94" s="595">
        <v>95.37</v>
      </c>
      <c r="G94" s="594">
        <v>146.29</v>
      </c>
      <c r="H94" s="595">
        <v>1.53</v>
      </c>
      <c r="I94" s="595">
        <v>160.39500000000001</v>
      </c>
      <c r="J94" s="595">
        <v>837.08499999999992</v>
      </c>
      <c r="K94" s="575">
        <v>251.12549999999996</v>
      </c>
      <c r="L94" s="576">
        <v>1088.2104999999999</v>
      </c>
    </row>
    <row r="95" spans="2:12" s="333" customFormat="1" ht="30">
      <c r="B95" s="334">
        <v>33</v>
      </c>
      <c r="C95" s="577" t="s">
        <v>1087</v>
      </c>
      <c r="D95" s="594">
        <v>354</v>
      </c>
      <c r="E95" s="595">
        <v>300.89999999999998</v>
      </c>
      <c r="F95" s="595">
        <v>66.197999999999993</v>
      </c>
      <c r="G95" s="594">
        <v>150.91999999999999</v>
      </c>
      <c r="H95" s="595">
        <v>1.0620000000000001</v>
      </c>
      <c r="I95" s="595">
        <v>111.33299999999998</v>
      </c>
      <c r="J95" s="595">
        <v>630.4129999999999</v>
      </c>
      <c r="K95" s="575">
        <v>189.12389999999996</v>
      </c>
      <c r="L95" s="576">
        <v>819.53689999999983</v>
      </c>
    </row>
    <row r="96" spans="2:12" s="333" customFormat="1" ht="15.75">
      <c r="B96" s="334">
        <v>34</v>
      </c>
      <c r="C96" s="577" t="s">
        <v>1088</v>
      </c>
      <c r="D96" s="594">
        <v>6</v>
      </c>
      <c r="E96" s="595">
        <v>5.0999999999999996</v>
      </c>
      <c r="F96" s="595">
        <v>1.1219999999999999</v>
      </c>
      <c r="G96" s="595">
        <v>7.2</v>
      </c>
      <c r="H96" s="595">
        <v>1.8000000000000002E-2</v>
      </c>
      <c r="I96" s="595">
        <v>1.8869999999999998</v>
      </c>
      <c r="J96" s="595">
        <v>15.327000000000002</v>
      </c>
      <c r="K96" s="575">
        <v>4.5981000000000005</v>
      </c>
      <c r="L96" s="576">
        <v>19.9251</v>
      </c>
    </row>
    <row r="97" spans="2:12" s="333" customFormat="1" ht="17.25" customHeight="1">
      <c r="B97" s="334">
        <v>35</v>
      </c>
      <c r="C97" s="577" t="s">
        <v>1089</v>
      </c>
      <c r="D97" s="594">
        <v>18</v>
      </c>
      <c r="E97" s="595">
        <v>15.299999999999999</v>
      </c>
      <c r="F97" s="595">
        <v>3.3659999999999997</v>
      </c>
      <c r="G97" s="594">
        <v>7.86</v>
      </c>
      <c r="H97" s="595">
        <v>5.3999999999999999E-2</v>
      </c>
      <c r="I97" s="595">
        <v>5.6609999999999996</v>
      </c>
      <c r="J97" s="595">
        <v>32.240999999999993</v>
      </c>
      <c r="K97" s="575">
        <v>9.6722999999999981</v>
      </c>
      <c r="L97" s="576">
        <v>41.913299999999992</v>
      </c>
    </row>
    <row r="98" spans="2:12" s="333" customFormat="1" ht="20.25" customHeight="1">
      <c r="B98" s="334">
        <v>36</v>
      </c>
      <c r="C98" s="577" t="s">
        <v>1090</v>
      </c>
      <c r="D98" s="594">
        <v>18</v>
      </c>
      <c r="E98" s="595">
        <v>15.299999999999999</v>
      </c>
      <c r="F98" s="595">
        <v>3.3659999999999997</v>
      </c>
      <c r="G98" s="594">
        <v>48.46</v>
      </c>
      <c r="H98" s="595">
        <v>5.3999999999999999E-2</v>
      </c>
      <c r="I98" s="595">
        <v>5.6609999999999996</v>
      </c>
      <c r="J98" s="595">
        <v>72.841000000000008</v>
      </c>
      <c r="K98" s="575">
        <v>21.852300000000003</v>
      </c>
      <c r="L98" s="576">
        <v>94.693300000000008</v>
      </c>
    </row>
    <row r="99" spans="2:12" s="333" customFormat="1" ht="15.75">
      <c r="B99" s="334">
        <v>37</v>
      </c>
      <c r="C99" s="577" t="s">
        <v>1091</v>
      </c>
      <c r="D99" s="594">
        <v>6</v>
      </c>
      <c r="E99" s="595">
        <v>5.0999999999999996</v>
      </c>
      <c r="F99" s="595">
        <v>1.1219999999999999</v>
      </c>
      <c r="G99" s="595">
        <v>61.2</v>
      </c>
      <c r="H99" s="595">
        <v>1.8000000000000002E-2</v>
      </c>
      <c r="I99" s="595">
        <v>1.8869999999999998</v>
      </c>
      <c r="J99" s="595">
        <v>69.326999999999998</v>
      </c>
      <c r="K99" s="575">
        <v>20.798099999999998</v>
      </c>
      <c r="L99" s="576">
        <v>90.125100000000003</v>
      </c>
    </row>
    <row r="100" spans="2:12" s="333" customFormat="1" ht="15.75">
      <c r="B100" s="334">
        <v>38</v>
      </c>
      <c r="C100" s="577" t="s">
        <v>1092</v>
      </c>
      <c r="D100" s="594">
        <v>6</v>
      </c>
      <c r="E100" s="595">
        <v>5.0999999999999996</v>
      </c>
      <c r="F100" s="595">
        <v>1.1219999999999999</v>
      </c>
      <c r="G100" s="594">
        <v>8.84</v>
      </c>
      <c r="H100" s="595">
        <v>1.8000000000000002E-2</v>
      </c>
      <c r="I100" s="595">
        <v>1.8869999999999998</v>
      </c>
      <c r="J100" s="595">
        <v>16.966999999999999</v>
      </c>
      <c r="K100" s="575">
        <v>5.0900999999999996</v>
      </c>
      <c r="L100" s="576">
        <v>22.057099999999998</v>
      </c>
    </row>
    <row r="101" spans="2:12" s="333" customFormat="1" ht="15.75">
      <c r="B101" s="334">
        <v>39</v>
      </c>
      <c r="C101" s="577" t="s">
        <v>1093</v>
      </c>
      <c r="D101" s="594">
        <v>6</v>
      </c>
      <c r="E101" s="595">
        <v>5.0999999999999996</v>
      </c>
      <c r="F101" s="595">
        <v>1.1219999999999999</v>
      </c>
      <c r="G101" s="594">
        <v>4.08</v>
      </c>
      <c r="H101" s="595">
        <v>1.8000000000000002E-2</v>
      </c>
      <c r="I101" s="595">
        <v>1.8869999999999998</v>
      </c>
      <c r="J101" s="595">
        <v>12.207000000000001</v>
      </c>
      <c r="K101" s="575">
        <v>3.6621000000000001</v>
      </c>
      <c r="L101" s="576">
        <v>15.869100000000001</v>
      </c>
    </row>
    <row r="102" spans="2:12" s="333" customFormat="1" ht="15.75">
      <c r="B102" s="334">
        <v>40</v>
      </c>
      <c r="C102" s="578" t="s">
        <v>1094</v>
      </c>
      <c r="D102" s="594">
        <v>6</v>
      </c>
      <c r="E102" s="595">
        <v>5.0999999999999996</v>
      </c>
      <c r="F102" s="595">
        <v>1.1219999999999999</v>
      </c>
      <c r="G102" s="595">
        <v>67.5</v>
      </c>
      <c r="H102" s="595">
        <v>1.8000000000000002E-2</v>
      </c>
      <c r="I102" s="595">
        <v>1.8869999999999998</v>
      </c>
      <c r="J102" s="595">
        <v>75.626999999999995</v>
      </c>
      <c r="K102" s="575">
        <v>22.688099999999999</v>
      </c>
      <c r="L102" s="576">
        <v>98.315100000000001</v>
      </c>
    </row>
    <row r="103" spans="2:12" s="333" customFormat="1" ht="15.75">
      <c r="B103" s="334">
        <v>41</v>
      </c>
      <c r="C103" s="578" t="s">
        <v>1095</v>
      </c>
      <c r="D103" s="594">
        <v>6</v>
      </c>
      <c r="E103" s="595">
        <v>5.0999999999999996</v>
      </c>
      <c r="F103" s="595">
        <v>1.1219999999999999</v>
      </c>
      <c r="G103" s="594">
        <v>9.75</v>
      </c>
      <c r="H103" s="595">
        <v>1.8000000000000002E-2</v>
      </c>
      <c r="I103" s="595">
        <v>1.8869999999999998</v>
      </c>
      <c r="J103" s="595">
        <v>17.876999999999999</v>
      </c>
      <c r="K103" s="575">
        <v>5.3630999999999993</v>
      </c>
      <c r="L103" s="576">
        <v>23.240099999999998</v>
      </c>
    </row>
    <row r="104" spans="2:12" s="333" customFormat="1" ht="15.75">
      <c r="B104" s="334">
        <v>42</v>
      </c>
      <c r="C104" s="578" t="s">
        <v>1096</v>
      </c>
      <c r="D104" s="594">
        <v>6</v>
      </c>
      <c r="E104" s="595">
        <v>5.0999999999999996</v>
      </c>
      <c r="F104" s="595">
        <v>1.1219999999999999</v>
      </c>
      <c r="G104" s="595">
        <v>4.5</v>
      </c>
      <c r="H104" s="595">
        <v>1.8000000000000002E-2</v>
      </c>
      <c r="I104" s="595">
        <v>1.8869999999999998</v>
      </c>
      <c r="J104" s="595">
        <v>12.627000000000001</v>
      </c>
      <c r="K104" s="575">
        <v>3.7881</v>
      </c>
      <c r="L104" s="576">
        <v>16.415100000000002</v>
      </c>
    </row>
    <row r="105" spans="2:12" s="34" customFormat="1" ht="20.25" customHeight="1">
      <c r="B105" s="224"/>
      <c r="C105" s="579"/>
      <c r="D105" s="596"/>
      <c r="E105" s="597"/>
      <c r="F105" s="596"/>
      <c r="G105" s="225"/>
      <c r="H105" s="225"/>
      <c r="I105" s="598"/>
      <c r="J105" s="598"/>
      <c r="K105" s="580"/>
      <c r="L105" s="581"/>
    </row>
    <row r="106" spans="2:12" s="34" customFormat="1" ht="20.25" customHeight="1">
      <c r="B106" s="224"/>
      <c r="C106" s="579"/>
      <c r="D106" s="596"/>
      <c r="E106" s="597"/>
      <c r="F106" s="596"/>
      <c r="G106" s="225"/>
      <c r="H106" s="225"/>
      <c r="I106" s="598"/>
      <c r="J106" s="598"/>
      <c r="K106" s="580"/>
      <c r="L106" s="581"/>
    </row>
    <row r="107" spans="2:12" ht="15" customHeight="1">
      <c r="C107" s="267" t="s">
        <v>646</v>
      </c>
      <c r="D107" s="267"/>
      <c r="E107" s="267"/>
      <c r="F107" s="267"/>
      <c r="G107" s="267"/>
      <c r="H107" s="267"/>
    </row>
    <row r="108" spans="2:12">
      <c r="C108" s="582"/>
      <c r="D108" s="599"/>
      <c r="E108" s="194"/>
    </row>
    <row r="109" spans="2:12" ht="15.75" customHeight="1">
      <c r="C109" s="267" t="s">
        <v>647</v>
      </c>
      <c r="D109" s="267"/>
      <c r="E109" s="267"/>
      <c r="F109" s="267"/>
      <c r="G109" s="267"/>
      <c r="H109" s="267"/>
      <c r="I109" s="267"/>
    </row>
    <row r="110" spans="2:12">
      <c r="C110" s="582"/>
      <c r="D110" s="600"/>
      <c r="E110" s="601"/>
    </row>
    <row r="111" spans="2:12">
      <c r="C111" s="582"/>
      <c r="D111" s="601"/>
      <c r="E111" s="601"/>
    </row>
    <row r="112" spans="2:12">
      <c r="C112" s="582"/>
      <c r="D112" s="599"/>
      <c r="E112" s="601"/>
    </row>
    <row r="113" spans="3:5">
      <c r="C113" s="582"/>
      <c r="D113" s="602"/>
      <c r="E113" s="601"/>
    </row>
    <row r="114" spans="3:5">
      <c r="C114" s="582"/>
      <c r="D114" s="599"/>
      <c r="E114" s="601"/>
    </row>
    <row r="115" spans="3:5">
      <c r="C115" s="585"/>
      <c r="D115" s="599"/>
      <c r="E115" s="601"/>
    </row>
    <row r="116" spans="3:5">
      <c r="C116" s="584"/>
      <c r="D116" s="599"/>
      <c r="E116" s="601"/>
    </row>
    <row r="117" spans="3:5">
      <c r="C117" s="582"/>
      <c r="D117" s="599"/>
      <c r="E117" s="601"/>
    </row>
    <row r="118" spans="3:5">
      <c r="C118" s="582"/>
      <c r="D118" s="599"/>
      <c r="E118" s="601"/>
    </row>
    <row r="119" spans="3:5">
      <c r="C119" s="583"/>
      <c r="D119" s="601"/>
      <c r="E119" s="601"/>
    </row>
  </sheetData>
  <mergeCells count="7">
    <mergeCell ref="G1:J1"/>
    <mergeCell ref="C109:I109"/>
    <mergeCell ref="C107:H107"/>
    <mergeCell ref="B2:L2"/>
    <mergeCell ref="B5:L5"/>
    <mergeCell ref="B45:L45"/>
    <mergeCell ref="C62:K62"/>
  </mergeCells>
  <pageMargins left="0.51181102362204722" right="0.31496062992125984" top="0.55118110236220474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5"/>
  <sheetViews>
    <sheetView topLeftCell="A88" workbookViewId="0">
      <selection activeCell="L142" sqref="L142"/>
    </sheetView>
  </sheetViews>
  <sheetFormatPr defaultRowHeight="15"/>
  <cols>
    <col min="1" max="1" width="9.140625" style="207"/>
    <col min="2" max="2" width="51.5703125" style="207" customWidth="1"/>
    <col min="3" max="3" width="7.42578125" style="207" customWidth="1"/>
    <col min="4" max="4" width="6.85546875" style="207" customWidth="1"/>
    <col min="5" max="5" width="8.140625" style="207" customWidth="1"/>
    <col min="6" max="6" width="9.7109375" style="207" customWidth="1"/>
    <col min="7" max="7" width="7.28515625" style="207" customWidth="1"/>
    <col min="8" max="8" width="7" style="207" customWidth="1"/>
    <col min="9" max="9" width="7.28515625" style="207" customWidth="1"/>
    <col min="10" max="10" width="6.85546875" style="207" customWidth="1"/>
    <col min="11" max="11" width="8.85546875" style="207" customWidth="1"/>
    <col min="12" max="257" width="9.140625" style="207"/>
    <col min="258" max="258" width="51.5703125" style="207" customWidth="1"/>
    <col min="259" max="259" width="7.42578125" style="207" customWidth="1"/>
    <col min="260" max="260" width="6.85546875" style="207" customWidth="1"/>
    <col min="261" max="261" width="8.140625" style="207" customWidth="1"/>
    <col min="262" max="262" width="9.7109375" style="207" customWidth="1"/>
    <col min="263" max="263" width="7.28515625" style="207" customWidth="1"/>
    <col min="264" max="264" width="7" style="207" customWidth="1"/>
    <col min="265" max="265" width="7.28515625" style="207" customWidth="1"/>
    <col min="266" max="266" width="6.85546875" style="207" customWidth="1"/>
    <col min="267" max="267" width="8.85546875" style="207" customWidth="1"/>
    <col min="268" max="513" width="9.140625" style="207"/>
    <col min="514" max="514" width="51.5703125" style="207" customWidth="1"/>
    <col min="515" max="515" width="7.42578125" style="207" customWidth="1"/>
    <col min="516" max="516" width="6.85546875" style="207" customWidth="1"/>
    <col min="517" max="517" width="8.140625" style="207" customWidth="1"/>
    <col min="518" max="518" width="9.7109375" style="207" customWidth="1"/>
    <col min="519" max="519" width="7.28515625" style="207" customWidth="1"/>
    <col min="520" max="520" width="7" style="207" customWidth="1"/>
    <col min="521" max="521" width="7.28515625" style="207" customWidth="1"/>
    <col min="522" max="522" width="6.85546875" style="207" customWidth="1"/>
    <col min="523" max="523" width="8.85546875" style="207" customWidth="1"/>
    <col min="524" max="769" width="9.140625" style="207"/>
    <col min="770" max="770" width="51.5703125" style="207" customWidth="1"/>
    <col min="771" max="771" width="7.42578125" style="207" customWidth="1"/>
    <col min="772" max="772" width="6.85546875" style="207" customWidth="1"/>
    <col min="773" max="773" width="8.140625" style="207" customWidth="1"/>
    <col min="774" max="774" width="9.7109375" style="207" customWidth="1"/>
    <col min="775" max="775" width="7.28515625" style="207" customWidth="1"/>
    <col min="776" max="776" width="7" style="207" customWidth="1"/>
    <col min="777" max="777" width="7.28515625" style="207" customWidth="1"/>
    <col min="778" max="778" width="6.85546875" style="207" customWidth="1"/>
    <col min="779" max="779" width="8.85546875" style="207" customWidth="1"/>
    <col min="780" max="1025" width="9.140625" style="207"/>
    <col min="1026" max="1026" width="51.5703125" style="207" customWidth="1"/>
    <col min="1027" max="1027" width="7.42578125" style="207" customWidth="1"/>
    <col min="1028" max="1028" width="6.85546875" style="207" customWidth="1"/>
    <col min="1029" max="1029" width="8.140625" style="207" customWidth="1"/>
    <col min="1030" max="1030" width="9.7109375" style="207" customWidth="1"/>
    <col min="1031" max="1031" width="7.28515625" style="207" customWidth="1"/>
    <col min="1032" max="1032" width="7" style="207" customWidth="1"/>
    <col min="1033" max="1033" width="7.28515625" style="207" customWidth="1"/>
    <col min="1034" max="1034" width="6.85546875" style="207" customWidth="1"/>
    <col min="1035" max="1035" width="8.85546875" style="207" customWidth="1"/>
    <col min="1036" max="1281" width="9.140625" style="207"/>
    <col min="1282" max="1282" width="51.5703125" style="207" customWidth="1"/>
    <col min="1283" max="1283" width="7.42578125" style="207" customWidth="1"/>
    <col min="1284" max="1284" width="6.85546875" style="207" customWidth="1"/>
    <col min="1285" max="1285" width="8.140625" style="207" customWidth="1"/>
    <col min="1286" max="1286" width="9.7109375" style="207" customWidth="1"/>
    <col min="1287" max="1287" width="7.28515625" style="207" customWidth="1"/>
    <col min="1288" max="1288" width="7" style="207" customWidth="1"/>
    <col min="1289" max="1289" width="7.28515625" style="207" customWidth="1"/>
    <col min="1290" max="1290" width="6.85546875" style="207" customWidth="1"/>
    <col min="1291" max="1291" width="8.85546875" style="207" customWidth="1"/>
    <col min="1292" max="1537" width="9.140625" style="207"/>
    <col min="1538" max="1538" width="51.5703125" style="207" customWidth="1"/>
    <col min="1539" max="1539" width="7.42578125" style="207" customWidth="1"/>
    <col min="1540" max="1540" width="6.85546875" style="207" customWidth="1"/>
    <col min="1541" max="1541" width="8.140625" style="207" customWidth="1"/>
    <col min="1542" max="1542" width="9.7109375" style="207" customWidth="1"/>
    <col min="1543" max="1543" width="7.28515625" style="207" customWidth="1"/>
    <col min="1544" max="1544" width="7" style="207" customWidth="1"/>
    <col min="1545" max="1545" width="7.28515625" style="207" customWidth="1"/>
    <col min="1546" max="1546" width="6.85546875" style="207" customWidth="1"/>
    <col min="1547" max="1547" width="8.85546875" style="207" customWidth="1"/>
    <col min="1548" max="1793" width="9.140625" style="207"/>
    <col min="1794" max="1794" width="51.5703125" style="207" customWidth="1"/>
    <col min="1795" max="1795" width="7.42578125" style="207" customWidth="1"/>
    <col min="1796" max="1796" width="6.85546875" style="207" customWidth="1"/>
    <col min="1797" max="1797" width="8.140625" style="207" customWidth="1"/>
    <col min="1798" max="1798" width="9.7109375" style="207" customWidth="1"/>
    <col min="1799" max="1799" width="7.28515625" style="207" customWidth="1"/>
    <col min="1800" max="1800" width="7" style="207" customWidth="1"/>
    <col min="1801" max="1801" width="7.28515625" style="207" customWidth="1"/>
    <col min="1802" max="1802" width="6.85546875" style="207" customWidth="1"/>
    <col min="1803" max="1803" width="8.85546875" style="207" customWidth="1"/>
    <col min="1804" max="2049" width="9.140625" style="207"/>
    <col min="2050" max="2050" width="51.5703125" style="207" customWidth="1"/>
    <col min="2051" max="2051" width="7.42578125" style="207" customWidth="1"/>
    <col min="2052" max="2052" width="6.85546875" style="207" customWidth="1"/>
    <col min="2053" max="2053" width="8.140625" style="207" customWidth="1"/>
    <col min="2054" max="2054" width="9.7109375" style="207" customWidth="1"/>
    <col min="2055" max="2055" width="7.28515625" style="207" customWidth="1"/>
    <col min="2056" max="2056" width="7" style="207" customWidth="1"/>
    <col min="2057" max="2057" width="7.28515625" style="207" customWidth="1"/>
    <col min="2058" max="2058" width="6.85546875" style="207" customWidth="1"/>
    <col min="2059" max="2059" width="8.85546875" style="207" customWidth="1"/>
    <col min="2060" max="2305" width="9.140625" style="207"/>
    <col min="2306" max="2306" width="51.5703125" style="207" customWidth="1"/>
    <col min="2307" max="2307" width="7.42578125" style="207" customWidth="1"/>
    <col min="2308" max="2308" width="6.85546875" style="207" customWidth="1"/>
    <col min="2309" max="2309" width="8.140625" style="207" customWidth="1"/>
    <col min="2310" max="2310" width="9.7109375" style="207" customWidth="1"/>
    <col min="2311" max="2311" width="7.28515625" style="207" customWidth="1"/>
    <col min="2312" max="2312" width="7" style="207" customWidth="1"/>
    <col min="2313" max="2313" width="7.28515625" style="207" customWidth="1"/>
    <col min="2314" max="2314" width="6.85546875" style="207" customWidth="1"/>
    <col min="2315" max="2315" width="8.85546875" style="207" customWidth="1"/>
    <col min="2316" max="2561" width="9.140625" style="207"/>
    <col min="2562" max="2562" width="51.5703125" style="207" customWidth="1"/>
    <col min="2563" max="2563" width="7.42578125" style="207" customWidth="1"/>
    <col min="2564" max="2564" width="6.85546875" style="207" customWidth="1"/>
    <col min="2565" max="2565" width="8.140625" style="207" customWidth="1"/>
    <col min="2566" max="2566" width="9.7109375" style="207" customWidth="1"/>
    <col min="2567" max="2567" width="7.28515625" style="207" customWidth="1"/>
    <col min="2568" max="2568" width="7" style="207" customWidth="1"/>
    <col min="2569" max="2569" width="7.28515625" style="207" customWidth="1"/>
    <col min="2570" max="2570" width="6.85546875" style="207" customWidth="1"/>
    <col min="2571" max="2571" width="8.85546875" style="207" customWidth="1"/>
    <col min="2572" max="2817" width="9.140625" style="207"/>
    <col min="2818" max="2818" width="51.5703125" style="207" customWidth="1"/>
    <col min="2819" max="2819" width="7.42578125" style="207" customWidth="1"/>
    <col min="2820" max="2820" width="6.85546875" style="207" customWidth="1"/>
    <col min="2821" max="2821" width="8.140625" style="207" customWidth="1"/>
    <col min="2822" max="2822" width="9.7109375" style="207" customWidth="1"/>
    <col min="2823" max="2823" width="7.28515625" style="207" customWidth="1"/>
    <col min="2824" max="2824" width="7" style="207" customWidth="1"/>
    <col min="2825" max="2825" width="7.28515625" style="207" customWidth="1"/>
    <col min="2826" max="2826" width="6.85546875" style="207" customWidth="1"/>
    <col min="2827" max="2827" width="8.85546875" style="207" customWidth="1"/>
    <col min="2828" max="3073" width="9.140625" style="207"/>
    <col min="3074" max="3074" width="51.5703125" style="207" customWidth="1"/>
    <col min="3075" max="3075" width="7.42578125" style="207" customWidth="1"/>
    <col min="3076" max="3076" width="6.85546875" style="207" customWidth="1"/>
    <col min="3077" max="3077" width="8.140625" style="207" customWidth="1"/>
    <col min="3078" max="3078" width="9.7109375" style="207" customWidth="1"/>
    <col min="3079" max="3079" width="7.28515625" style="207" customWidth="1"/>
    <col min="3080" max="3080" width="7" style="207" customWidth="1"/>
    <col min="3081" max="3081" width="7.28515625" style="207" customWidth="1"/>
    <col min="3082" max="3082" width="6.85546875" style="207" customWidth="1"/>
    <col min="3083" max="3083" width="8.85546875" style="207" customWidth="1"/>
    <col min="3084" max="3329" width="9.140625" style="207"/>
    <col min="3330" max="3330" width="51.5703125" style="207" customWidth="1"/>
    <col min="3331" max="3331" width="7.42578125" style="207" customWidth="1"/>
    <col min="3332" max="3332" width="6.85546875" style="207" customWidth="1"/>
    <col min="3333" max="3333" width="8.140625" style="207" customWidth="1"/>
    <col min="3334" max="3334" width="9.7109375" style="207" customWidth="1"/>
    <col min="3335" max="3335" width="7.28515625" style="207" customWidth="1"/>
    <col min="3336" max="3336" width="7" style="207" customWidth="1"/>
    <col min="3337" max="3337" width="7.28515625" style="207" customWidth="1"/>
    <col min="3338" max="3338" width="6.85546875" style="207" customWidth="1"/>
    <col min="3339" max="3339" width="8.85546875" style="207" customWidth="1"/>
    <col min="3340" max="3585" width="9.140625" style="207"/>
    <col min="3586" max="3586" width="51.5703125" style="207" customWidth="1"/>
    <col min="3587" max="3587" width="7.42578125" style="207" customWidth="1"/>
    <col min="3588" max="3588" width="6.85546875" style="207" customWidth="1"/>
    <col min="3589" max="3589" width="8.140625" style="207" customWidth="1"/>
    <col min="3590" max="3590" width="9.7109375" style="207" customWidth="1"/>
    <col min="3591" max="3591" width="7.28515625" style="207" customWidth="1"/>
    <col min="3592" max="3592" width="7" style="207" customWidth="1"/>
    <col min="3593" max="3593" width="7.28515625" style="207" customWidth="1"/>
    <col min="3594" max="3594" width="6.85546875" style="207" customWidth="1"/>
    <col min="3595" max="3595" width="8.85546875" style="207" customWidth="1"/>
    <col min="3596" max="3841" width="9.140625" style="207"/>
    <col min="3842" max="3842" width="51.5703125" style="207" customWidth="1"/>
    <col min="3843" max="3843" width="7.42578125" style="207" customWidth="1"/>
    <col min="3844" max="3844" width="6.85546875" style="207" customWidth="1"/>
    <col min="3845" max="3845" width="8.140625" style="207" customWidth="1"/>
    <col min="3846" max="3846" width="9.7109375" style="207" customWidth="1"/>
    <col min="3847" max="3847" width="7.28515625" style="207" customWidth="1"/>
    <col min="3848" max="3848" width="7" style="207" customWidth="1"/>
    <col min="3849" max="3849" width="7.28515625" style="207" customWidth="1"/>
    <col min="3850" max="3850" width="6.85546875" style="207" customWidth="1"/>
    <col min="3851" max="3851" width="8.85546875" style="207" customWidth="1"/>
    <col min="3852" max="4097" width="9.140625" style="207"/>
    <col min="4098" max="4098" width="51.5703125" style="207" customWidth="1"/>
    <col min="4099" max="4099" width="7.42578125" style="207" customWidth="1"/>
    <col min="4100" max="4100" width="6.85546875" style="207" customWidth="1"/>
    <col min="4101" max="4101" width="8.140625" style="207" customWidth="1"/>
    <col min="4102" max="4102" width="9.7109375" style="207" customWidth="1"/>
    <col min="4103" max="4103" width="7.28515625" style="207" customWidth="1"/>
    <col min="4104" max="4104" width="7" style="207" customWidth="1"/>
    <col min="4105" max="4105" width="7.28515625" style="207" customWidth="1"/>
    <col min="4106" max="4106" width="6.85546875" style="207" customWidth="1"/>
    <col min="4107" max="4107" width="8.85546875" style="207" customWidth="1"/>
    <col min="4108" max="4353" width="9.140625" style="207"/>
    <col min="4354" max="4354" width="51.5703125" style="207" customWidth="1"/>
    <col min="4355" max="4355" width="7.42578125" style="207" customWidth="1"/>
    <col min="4356" max="4356" width="6.85546875" style="207" customWidth="1"/>
    <col min="4357" max="4357" width="8.140625" style="207" customWidth="1"/>
    <col min="4358" max="4358" width="9.7109375" style="207" customWidth="1"/>
    <col min="4359" max="4359" width="7.28515625" style="207" customWidth="1"/>
    <col min="4360" max="4360" width="7" style="207" customWidth="1"/>
    <col min="4361" max="4361" width="7.28515625" style="207" customWidth="1"/>
    <col min="4362" max="4362" width="6.85546875" style="207" customWidth="1"/>
    <col min="4363" max="4363" width="8.85546875" style="207" customWidth="1"/>
    <col min="4364" max="4609" width="9.140625" style="207"/>
    <col min="4610" max="4610" width="51.5703125" style="207" customWidth="1"/>
    <col min="4611" max="4611" width="7.42578125" style="207" customWidth="1"/>
    <col min="4612" max="4612" width="6.85546875" style="207" customWidth="1"/>
    <col min="4613" max="4613" width="8.140625" style="207" customWidth="1"/>
    <col min="4614" max="4614" width="9.7109375" style="207" customWidth="1"/>
    <col min="4615" max="4615" width="7.28515625" style="207" customWidth="1"/>
    <col min="4616" max="4616" width="7" style="207" customWidth="1"/>
    <col min="4617" max="4617" width="7.28515625" style="207" customWidth="1"/>
    <col min="4618" max="4618" width="6.85546875" style="207" customWidth="1"/>
    <col min="4619" max="4619" width="8.85546875" style="207" customWidth="1"/>
    <col min="4620" max="4865" width="9.140625" style="207"/>
    <col min="4866" max="4866" width="51.5703125" style="207" customWidth="1"/>
    <col min="4867" max="4867" width="7.42578125" style="207" customWidth="1"/>
    <col min="4868" max="4868" width="6.85546875" style="207" customWidth="1"/>
    <col min="4869" max="4869" width="8.140625" style="207" customWidth="1"/>
    <col min="4870" max="4870" width="9.7109375" style="207" customWidth="1"/>
    <col min="4871" max="4871" width="7.28515625" style="207" customWidth="1"/>
    <col min="4872" max="4872" width="7" style="207" customWidth="1"/>
    <col min="4873" max="4873" width="7.28515625" style="207" customWidth="1"/>
    <col min="4874" max="4874" width="6.85546875" style="207" customWidth="1"/>
    <col min="4875" max="4875" width="8.85546875" style="207" customWidth="1"/>
    <col min="4876" max="5121" width="9.140625" style="207"/>
    <col min="5122" max="5122" width="51.5703125" style="207" customWidth="1"/>
    <col min="5123" max="5123" width="7.42578125" style="207" customWidth="1"/>
    <col min="5124" max="5124" width="6.85546875" style="207" customWidth="1"/>
    <col min="5125" max="5125" width="8.140625" style="207" customWidth="1"/>
    <col min="5126" max="5126" width="9.7109375" style="207" customWidth="1"/>
    <col min="5127" max="5127" width="7.28515625" style="207" customWidth="1"/>
    <col min="5128" max="5128" width="7" style="207" customWidth="1"/>
    <col min="5129" max="5129" width="7.28515625" style="207" customWidth="1"/>
    <col min="5130" max="5130" width="6.85546875" style="207" customWidth="1"/>
    <col min="5131" max="5131" width="8.85546875" style="207" customWidth="1"/>
    <col min="5132" max="5377" width="9.140625" style="207"/>
    <col min="5378" max="5378" width="51.5703125" style="207" customWidth="1"/>
    <col min="5379" max="5379" width="7.42578125" style="207" customWidth="1"/>
    <col min="5380" max="5380" width="6.85546875" style="207" customWidth="1"/>
    <col min="5381" max="5381" width="8.140625" style="207" customWidth="1"/>
    <col min="5382" max="5382" width="9.7109375" style="207" customWidth="1"/>
    <col min="5383" max="5383" width="7.28515625" style="207" customWidth="1"/>
    <col min="5384" max="5384" width="7" style="207" customWidth="1"/>
    <col min="5385" max="5385" width="7.28515625" style="207" customWidth="1"/>
    <col min="5386" max="5386" width="6.85546875" style="207" customWidth="1"/>
    <col min="5387" max="5387" width="8.85546875" style="207" customWidth="1"/>
    <col min="5388" max="5633" width="9.140625" style="207"/>
    <col min="5634" max="5634" width="51.5703125" style="207" customWidth="1"/>
    <col min="5635" max="5635" width="7.42578125" style="207" customWidth="1"/>
    <col min="5636" max="5636" width="6.85546875" style="207" customWidth="1"/>
    <col min="5637" max="5637" width="8.140625" style="207" customWidth="1"/>
    <col min="5638" max="5638" width="9.7109375" style="207" customWidth="1"/>
    <col min="5639" max="5639" width="7.28515625" style="207" customWidth="1"/>
    <col min="5640" max="5640" width="7" style="207" customWidth="1"/>
    <col min="5641" max="5641" width="7.28515625" style="207" customWidth="1"/>
    <col min="5642" max="5642" width="6.85546875" style="207" customWidth="1"/>
    <col min="5643" max="5643" width="8.85546875" style="207" customWidth="1"/>
    <col min="5644" max="5889" width="9.140625" style="207"/>
    <col min="5890" max="5890" width="51.5703125" style="207" customWidth="1"/>
    <col min="5891" max="5891" width="7.42578125" style="207" customWidth="1"/>
    <col min="5892" max="5892" width="6.85546875" style="207" customWidth="1"/>
    <col min="5893" max="5893" width="8.140625" style="207" customWidth="1"/>
    <col min="5894" max="5894" width="9.7109375" style="207" customWidth="1"/>
    <col min="5895" max="5895" width="7.28515625" style="207" customWidth="1"/>
    <col min="5896" max="5896" width="7" style="207" customWidth="1"/>
    <col min="5897" max="5897" width="7.28515625" style="207" customWidth="1"/>
    <col min="5898" max="5898" width="6.85546875" style="207" customWidth="1"/>
    <col min="5899" max="5899" width="8.85546875" style="207" customWidth="1"/>
    <col min="5900" max="6145" width="9.140625" style="207"/>
    <col min="6146" max="6146" width="51.5703125" style="207" customWidth="1"/>
    <col min="6147" max="6147" width="7.42578125" style="207" customWidth="1"/>
    <col min="6148" max="6148" width="6.85546875" style="207" customWidth="1"/>
    <col min="6149" max="6149" width="8.140625" style="207" customWidth="1"/>
    <col min="6150" max="6150" width="9.7109375" style="207" customWidth="1"/>
    <col min="6151" max="6151" width="7.28515625" style="207" customWidth="1"/>
    <col min="6152" max="6152" width="7" style="207" customWidth="1"/>
    <col min="6153" max="6153" width="7.28515625" style="207" customWidth="1"/>
    <col min="6154" max="6154" width="6.85546875" style="207" customWidth="1"/>
    <col min="6155" max="6155" width="8.85546875" style="207" customWidth="1"/>
    <col min="6156" max="6401" width="9.140625" style="207"/>
    <col min="6402" max="6402" width="51.5703125" style="207" customWidth="1"/>
    <col min="6403" max="6403" width="7.42578125" style="207" customWidth="1"/>
    <col min="6404" max="6404" width="6.85546875" style="207" customWidth="1"/>
    <col min="6405" max="6405" width="8.140625" style="207" customWidth="1"/>
    <col min="6406" max="6406" width="9.7109375" style="207" customWidth="1"/>
    <col min="6407" max="6407" width="7.28515625" style="207" customWidth="1"/>
    <col min="6408" max="6408" width="7" style="207" customWidth="1"/>
    <col min="6409" max="6409" width="7.28515625" style="207" customWidth="1"/>
    <col min="6410" max="6410" width="6.85546875" style="207" customWidth="1"/>
    <col min="6411" max="6411" width="8.85546875" style="207" customWidth="1"/>
    <col min="6412" max="6657" width="9.140625" style="207"/>
    <col min="6658" max="6658" width="51.5703125" style="207" customWidth="1"/>
    <col min="6659" max="6659" width="7.42578125" style="207" customWidth="1"/>
    <col min="6660" max="6660" width="6.85546875" style="207" customWidth="1"/>
    <col min="6661" max="6661" width="8.140625" style="207" customWidth="1"/>
    <col min="6662" max="6662" width="9.7109375" style="207" customWidth="1"/>
    <col min="6663" max="6663" width="7.28515625" style="207" customWidth="1"/>
    <col min="6664" max="6664" width="7" style="207" customWidth="1"/>
    <col min="6665" max="6665" width="7.28515625" style="207" customWidth="1"/>
    <col min="6666" max="6666" width="6.85546875" style="207" customWidth="1"/>
    <col min="6667" max="6667" width="8.85546875" style="207" customWidth="1"/>
    <col min="6668" max="6913" width="9.140625" style="207"/>
    <col min="6914" max="6914" width="51.5703125" style="207" customWidth="1"/>
    <col min="6915" max="6915" width="7.42578125" style="207" customWidth="1"/>
    <col min="6916" max="6916" width="6.85546875" style="207" customWidth="1"/>
    <col min="6917" max="6917" width="8.140625" style="207" customWidth="1"/>
    <col min="6918" max="6918" width="9.7109375" style="207" customWidth="1"/>
    <col min="6919" max="6919" width="7.28515625" style="207" customWidth="1"/>
    <col min="6920" max="6920" width="7" style="207" customWidth="1"/>
    <col min="6921" max="6921" width="7.28515625" style="207" customWidth="1"/>
    <col min="6922" max="6922" width="6.85546875" style="207" customWidth="1"/>
    <col min="6923" max="6923" width="8.85546875" style="207" customWidth="1"/>
    <col min="6924" max="7169" width="9.140625" style="207"/>
    <col min="7170" max="7170" width="51.5703125" style="207" customWidth="1"/>
    <col min="7171" max="7171" width="7.42578125" style="207" customWidth="1"/>
    <col min="7172" max="7172" width="6.85546875" style="207" customWidth="1"/>
    <col min="7173" max="7173" width="8.140625" style="207" customWidth="1"/>
    <col min="7174" max="7174" width="9.7109375" style="207" customWidth="1"/>
    <col min="7175" max="7175" width="7.28515625" style="207" customWidth="1"/>
    <col min="7176" max="7176" width="7" style="207" customWidth="1"/>
    <col min="7177" max="7177" width="7.28515625" style="207" customWidth="1"/>
    <col min="7178" max="7178" width="6.85546875" style="207" customWidth="1"/>
    <col min="7179" max="7179" width="8.85546875" style="207" customWidth="1"/>
    <col min="7180" max="7425" width="9.140625" style="207"/>
    <col min="7426" max="7426" width="51.5703125" style="207" customWidth="1"/>
    <col min="7427" max="7427" width="7.42578125" style="207" customWidth="1"/>
    <col min="7428" max="7428" width="6.85546875" style="207" customWidth="1"/>
    <col min="7429" max="7429" width="8.140625" style="207" customWidth="1"/>
    <col min="7430" max="7430" width="9.7109375" style="207" customWidth="1"/>
    <col min="7431" max="7431" width="7.28515625" style="207" customWidth="1"/>
    <col min="7432" max="7432" width="7" style="207" customWidth="1"/>
    <col min="7433" max="7433" width="7.28515625" style="207" customWidth="1"/>
    <col min="7434" max="7434" width="6.85546875" style="207" customWidth="1"/>
    <col min="7435" max="7435" width="8.85546875" style="207" customWidth="1"/>
    <col min="7436" max="7681" width="9.140625" style="207"/>
    <col min="7682" max="7682" width="51.5703125" style="207" customWidth="1"/>
    <col min="7683" max="7683" width="7.42578125" style="207" customWidth="1"/>
    <col min="7684" max="7684" width="6.85546875" style="207" customWidth="1"/>
    <col min="7685" max="7685" width="8.140625" style="207" customWidth="1"/>
    <col min="7686" max="7686" width="9.7109375" style="207" customWidth="1"/>
    <col min="7687" max="7687" width="7.28515625" style="207" customWidth="1"/>
    <col min="7688" max="7688" width="7" style="207" customWidth="1"/>
    <col min="7689" max="7689" width="7.28515625" style="207" customWidth="1"/>
    <col min="7690" max="7690" width="6.85546875" style="207" customWidth="1"/>
    <col min="7691" max="7691" width="8.85546875" style="207" customWidth="1"/>
    <col min="7692" max="7937" width="9.140625" style="207"/>
    <col min="7938" max="7938" width="51.5703125" style="207" customWidth="1"/>
    <col min="7939" max="7939" width="7.42578125" style="207" customWidth="1"/>
    <col min="7940" max="7940" width="6.85546875" style="207" customWidth="1"/>
    <col min="7941" max="7941" width="8.140625" style="207" customWidth="1"/>
    <col min="7942" max="7942" width="9.7109375" style="207" customWidth="1"/>
    <col min="7943" max="7943" width="7.28515625" style="207" customWidth="1"/>
    <col min="7944" max="7944" width="7" style="207" customWidth="1"/>
    <col min="7945" max="7945" width="7.28515625" style="207" customWidth="1"/>
    <col min="7946" max="7946" width="6.85546875" style="207" customWidth="1"/>
    <col min="7947" max="7947" width="8.85546875" style="207" customWidth="1"/>
    <col min="7948" max="8193" width="9.140625" style="207"/>
    <col min="8194" max="8194" width="51.5703125" style="207" customWidth="1"/>
    <col min="8195" max="8195" width="7.42578125" style="207" customWidth="1"/>
    <col min="8196" max="8196" width="6.85546875" style="207" customWidth="1"/>
    <col min="8197" max="8197" width="8.140625" style="207" customWidth="1"/>
    <col min="8198" max="8198" width="9.7109375" style="207" customWidth="1"/>
    <col min="8199" max="8199" width="7.28515625" style="207" customWidth="1"/>
    <col min="8200" max="8200" width="7" style="207" customWidth="1"/>
    <col min="8201" max="8201" width="7.28515625" style="207" customWidth="1"/>
    <col min="8202" max="8202" width="6.85546875" style="207" customWidth="1"/>
    <col min="8203" max="8203" width="8.85546875" style="207" customWidth="1"/>
    <col min="8204" max="8449" width="9.140625" style="207"/>
    <col min="8450" max="8450" width="51.5703125" style="207" customWidth="1"/>
    <col min="8451" max="8451" width="7.42578125" style="207" customWidth="1"/>
    <col min="8452" max="8452" width="6.85546875" style="207" customWidth="1"/>
    <col min="8453" max="8453" width="8.140625" style="207" customWidth="1"/>
    <col min="8454" max="8454" width="9.7109375" style="207" customWidth="1"/>
    <col min="8455" max="8455" width="7.28515625" style="207" customWidth="1"/>
    <col min="8456" max="8456" width="7" style="207" customWidth="1"/>
    <col min="8457" max="8457" width="7.28515625" style="207" customWidth="1"/>
    <col min="8458" max="8458" width="6.85546875" style="207" customWidth="1"/>
    <col min="8459" max="8459" width="8.85546875" style="207" customWidth="1"/>
    <col min="8460" max="8705" width="9.140625" style="207"/>
    <col min="8706" max="8706" width="51.5703125" style="207" customWidth="1"/>
    <col min="8707" max="8707" width="7.42578125" style="207" customWidth="1"/>
    <col min="8708" max="8708" width="6.85546875" style="207" customWidth="1"/>
    <col min="8709" max="8709" width="8.140625" style="207" customWidth="1"/>
    <col min="8710" max="8710" width="9.7109375" style="207" customWidth="1"/>
    <col min="8711" max="8711" width="7.28515625" style="207" customWidth="1"/>
    <col min="8712" max="8712" width="7" style="207" customWidth="1"/>
    <col min="8713" max="8713" width="7.28515625" style="207" customWidth="1"/>
    <col min="8714" max="8714" width="6.85546875" style="207" customWidth="1"/>
    <col min="8715" max="8715" width="8.85546875" style="207" customWidth="1"/>
    <col min="8716" max="8961" width="9.140625" style="207"/>
    <col min="8962" max="8962" width="51.5703125" style="207" customWidth="1"/>
    <col min="8963" max="8963" width="7.42578125" style="207" customWidth="1"/>
    <col min="8964" max="8964" width="6.85546875" style="207" customWidth="1"/>
    <col min="8965" max="8965" width="8.140625" style="207" customWidth="1"/>
    <col min="8966" max="8966" width="9.7109375" style="207" customWidth="1"/>
    <col min="8967" max="8967" width="7.28515625" style="207" customWidth="1"/>
    <col min="8968" max="8968" width="7" style="207" customWidth="1"/>
    <col min="8969" max="8969" width="7.28515625" style="207" customWidth="1"/>
    <col min="8970" max="8970" width="6.85546875" style="207" customWidth="1"/>
    <col min="8971" max="8971" width="8.85546875" style="207" customWidth="1"/>
    <col min="8972" max="9217" width="9.140625" style="207"/>
    <col min="9218" max="9218" width="51.5703125" style="207" customWidth="1"/>
    <col min="9219" max="9219" width="7.42578125" style="207" customWidth="1"/>
    <col min="9220" max="9220" width="6.85546875" style="207" customWidth="1"/>
    <col min="9221" max="9221" width="8.140625" style="207" customWidth="1"/>
    <col min="9222" max="9222" width="9.7109375" style="207" customWidth="1"/>
    <col min="9223" max="9223" width="7.28515625" style="207" customWidth="1"/>
    <col min="9224" max="9224" width="7" style="207" customWidth="1"/>
    <col min="9225" max="9225" width="7.28515625" style="207" customWidth="1"/>
    <col min="9226" max="9226" width="6.85546875" style="207" customWidth="1"/>
    <col min="9227" max="9227" width="8.85546875" style="207" customWidth="1"/>
    <col min="9228" max="9473" width="9.140625" style="207"/>
    <col min="9474" max="9474" width="51.5703125" style="207" customWidth="1"/>
    <col min="9475" max="9475" width="7.42578125" style="207" customWidth="1"/>
    <col min="9476" max="9476" width="6.85546875" style="207" customWidth="1"/>
    <col min="9477" max="9477" width="8.140625" style="207" customWidth="1"/>
    <col min="9478" max="9478" width="9.7109375" style="207" customWidth="1"/>
    <col min="9479" max="9479" width="7.28515625" style="207" customWidth="1"/>
    <col min="9480" max="9480" width="7" style="207" customWidth="1"/>
    <col min="9481" max="9481" width="7.28515625" style="207" customWidth="1"/>
    <col min="9482" max="9482" width="6.85546875" style="207" customWidth="1"/>
    <col min="9483" max="9483" width="8.85546875" style="207" customWidth="1"/>
    <col min="9484" max="9729" width="9.140625" style="207"/>
    <col min="9730" max="9730" width="51.5703125" style="207" customWidth="1"/>
    <col min="9731" max="9731" width="7.42578125" style="207" customWidth="1"/>
    <col min="9732" max="9732" width="6.85546875" style="207" customWidth="1"/>
    <col min="9733" max="9733" width="8.140625" style="207" customWidth="1"/>
    <col min="9734" max="9734" width="9.7109375" style="207" customWidth="1"/>
    <col min="9735" max="9735" width="7.28515625" style="207" customWidth="1"/>
    <col min="9736" max="9736" width="7" style="207" customWidth="1"/>
    <col min="9737" max="9737" width="7.28515625" style="207" customWidth="1"/>
    <col min="9738" max="9738" width="6.85546875" style="207" customWidth="1"/>
    <col min="9739" max="9739" width="8.85546875" style="207" customWidth="1"/>
    <col min="9740" max="9985" width="9.140625" style="207"/>
    <col min="9986" max="9986" width="51.5703125" style="207" customWidth="1"/>
    <col min="9987" max="9987" width="7.42578125" style="207" customWidth="1"/>
    <col min="9988" max="9988" width="6.85546875" style="207" customWidth="1"/>
    <col min="9989" max="9989" width="8.140625" style="207" customWidth="1"/>
    <col min="9990" max="9990" width="9.7109375" style="207" customWidth="1"/>
    <col min="9991" max="9991" width="7.28515625" style="207" customWidth="1"/>
    <col min="9992" max="9992" width="7" style="207" customWidth="1"/>
    <col min="9993" max="9993" width="7.28515625" style="207" customWidth="1"/>
    <col min="9994" max="9994" width="6.85546875" style="207" customWidth="1"/>
    <col min="9995" max="9995" width="8.85546875" style="207" customWidth="1"/>
    <col min="9996" max="10241" width="9.140625" style="207"/>
    <col min="10242" max="10242" width="51.5703125" style="207" customWidth="1"/>
    <col min="10243" max="10243" width="7.42578125" style="207" customWidth="1"/>
    <col min="10244" max="10244" width="6.85546875" style="207" customWidth="1"/>
    <col min="10245" max="10245" width="8.140625" style="207" customWidth="1"/>
    <col min="10246" max="10246" width="9.7109375" style="207" customWidth="1"/>
    <col min="10247" max="10247" width="7.28515625" style="207" customWidth="1"/>
    <col min="10248" max="10248" width="7" style="207" customWidth="1"/>
    <col min="10249" max="10249" width="7.28515625" style="207" customWidth="1"/>
    <col min="10250" max="10250" width="6.85546875" style="207" customWidth="1"/>
    <col min="10251" max="10251" width="8.85546875" style="207" customWidth="1"/>
    <col min="10252" max="10497" width="9.140625" style="207"/>
    <col min="10498" max="10498" width="51.5703125" style="207" customWidth="1"/>
    <col min="10499" max="10499" width="7.42578125" style="207" customWidth="1"/>
    <col min="10500" max="10500" width="6.85546875" style="207" customWidth="1"/>
    <col min="10501" max="10501" width="8.140625" style="207" customWidth="1"/>
    <col min="10502" max="10502" width="9.7109375" style="207" customWidth="1"/>
    <col min="10503" max="10503" width="7.28515625" style="207" customWidth="1"/>
    <col min="10504" max="10504" width="7" style="207" customWidth="1"/>
    <col min="10505" max="10505" width="7.28515625" style="207" customWidth="1"/>
    <col min="10506" max="10506" width="6.85546875" style="207" customWidth="1"/>
    <col min="10507" max="10507" width="8.85546875" style="207" customWidth="1"/>
    <col min="10508" max="10753" width="9.140625" style="207"/>
    <col min="10754" max="10754" width="51.5703125" style="207" customWidth="1"/>
    <col min="10755" max="10755" width="7.42578125" style="207" customWidth="1"/>
    <col min="10756" max="10756" width="6.85546875" style="207" customWidth="1"/>
    <col min="10757" max="10757" width="8.140625" style="207" customWidth="1"/>
    <col min="10758" max="10758" width="9.7109375" style="207" customWidth="1"/>
    <col min="10759" max="10759" width="7.28515625" style="207" customWidth="1"/>
    <col min="10760" max="10760" width="7" style="207" customWidth="1"/>
    <col min="10761" max="10761" width="7.28515625" style="207" customWidth="1"/>
    <col min="10762" max="10762" width="6.85546875" style="207" customWidth="1"/>
    <col min="10763" max="10763" width="8.85546875" style="207" customWidth="1"/>
    <col min="10764" max="11009" width="9.140625" style="207"/>
    <col min="11010" max="11010" width="51.5703125" style="207" customWidth="1"/>
    <col min="11011" max="11011" width="7.42578125" style="207" customWidth="1"/>
    <col min="11012" max="11012" width="6.85546875" style="207" customWidth="1"/>
    <col min="11013" max="11013" width="8.140625" style="207" customWidth="1"/>
    <col min="11014" max="11014" width="9.7109375" style="207" customWidth="1"/>
    <col min="11015" max="11015" width="7.28515625" style="207" customWidth="1"/>
    <col min="11016" max="11016" width="7" style="207" customWidth="1"/>
    <col min="11017" max="11017" width="7.28515625" style="207" customWidth="1"/>
    <col min="11018" max="11018" width="6.85546875" style="207" customWidth="1"/>
    <col min="11019" max="11019" width="8.85546875" style="207" customWidth="1"/>
    <col min="11020" max="11265" width="9.140625" style="207"/>
    <col min="11266" max="11266" width="51.5703125" style="207" customWidth="1"/>
    <col min="11267" max="11267" width="7.42578125" style="207" customWidth="1"/>
    <col min="11268" max="11268" width="6.85546875" style="207" customWidth="1"/>
    <col min="11269" max="11269" width="8.140625" style="207" customWidth="1"/>
    <col min="11270" max="11270" width="9.7109375" style="207" customWidth="1"/>
    <col min="11271" max="11271" width="7.28515625" style="207" customWidth="1"/>
    <col min="11272" max="11272" width="7" style="207" customWidth="1"/>
    <col min="11273" max="11273" width="7.28515625" style="207" customWidth="1"/>
    <col min="11274" max="11274" width="6.85546875" style="207" customWidth="1"/>
    <col min="11275" max="11275" width="8.85546875" style="207" customWidth="1"/>
    <col min="11276" max="11521" width="9.140625" style="207"/>
    <col min="11522" max="11522" width="51.5703125" style="207" customWidth="1"/>
    <col min="11523" max="11523" width="7.42578125" style="207" customWidth="1"/>
    <col min="11524" max="11524" width="6.85546875" style="207" customWidth="1"/>
    <col min="11525" max="11525" width="8.140625" style="207" customWidth="1"/>
    <col min="11526" max="11526" width="9.7109375" style="207" customWidth="1"/>
    <col min="11527" max="11527" width="7.28515625" style="207" customWidth="1"/>
    <col min="11528" max="11528" width="7" style="207" customWidth="1"/>
    <col min="11529" max="11529" width="7.28515625" style="207" customWidth="1"/>
    <col min="11530" max="11530" width="6.85546875" style="207" customWidth="1"/>
    <col min="11531" max="11531" width="8.85546875" style="207" customWidth="1"/>
    <col min="11532" max="11777" width="9.140625" style="207"/>
    <col min="11778" max="11778" width="51.5703125" style="207" customWidth="1"/>
    <col min="11779" max="11779" width="7.42578125" style="207" customWidth="1"/>
    <col min="11780" max="11780" width="6.85546875" style="207" customWidth="1"/>
    <col min="11781" max="11781" width="8.140625" style="207" customWidth="1"/>
    <col min="11782" max="11782" width="9.7109375" style="207" customWidth="1"/>
    <col min="11783" max="11783" width="7.28515625" style="207" customWidth="1"/>
    <col min="11784" max="11784" width="7" style="207" customWidth="1"/>
    <col min="11785" max="11785" width="7.28515625" style="207" customWidth="1"/>
    <col min="11786" max="11786" width="6.85546875" style="207" customWidth="1"/>
    <col min="11787" max="11787" width="8.85546875" style="207" customWidth="1"/>
    <col min="11788" max="12033" width="9.140625" style="207"/>
    <col min="12034" max="12034" width="51.5703125" style="207" customWidth="1"/>
    <col min="12035" max="12035" width="7.42578125" style="207" customWidth="1"/>
    <col min="12036" max="12036" width="6.85546875" style="207" customWidth="1"/>
    <col min="12037" max="12037" width="8.140625" style="207" customWidth="1"/>
    <col min="12038" max="12038" width="9.7109375" style="207" customWidth="1"/>
    <col min="12039" max="12039" width="7.28515625" style="207" customWidth="1"/>
    <col min="12040" max="12040" width="7" style="207" customWidth="1"/>
    <col min="12041" max="12041" width="7.28515625" style="207" customWidth="1"/>
    <col min="12042" max="12042" width="6.85546875" style="207" customWidth="1"/>
    <col min="12043" max="12043" width="8.85546875" style="207" customWidth="1"/>
    <col min="12044" max="12289" width="9.140625" style="207"/>
    <col min="12290" max="12290" width="51.5703125" style="207" customWidth="1"/>
    <col min="12291" max="12291" width="7.42578125" style="207" customWidth="1"/>
    <col min="12292" max="12292" width="6.85546875" style="207" customWidth="1"/>
    <col min="12293" max="12293" width="8.140625" style="207" customWidth="1"/>
    <col min="12294" max="12294" width="9.7109375" style="207" customWidth="1"/>
    <col min="12295" max="12295" width="7.28515625" style="207" customWidth="1"/>
    <col min="12296" max="12296" width="7" style="207" customWidth="1"/>
    <col min="12297" max="12297" width="7.28515625" style="207" customWidth="1"/>
    <col min="12298" max="12298" width="6.85546875" style="207" customWidth="1"/>
    <col min="12299" max="12299" width="8.85546875" style="207" customWidth="1"/>
    <col min="12300" max="12545" width="9.140625" style="207"/>
    <col min="12546" max="12546" width="51.5703125" style="207" customWidth="1"/>
    <col min="12547" max="12547" width="7.42578125" style="207" customWidth="1"/>
    <col min="12548" max="12548" width="6.85546875" style="207" customWidth="1"/>
    <col min="12549" max="12549" width="8.140625" style="207" customWidth="1"/>
    <col min="12550" max="12550" width="9.7109375" style="207" customWidth="1"/>
    <col min="12551" max="12551" width="7.28515625" style="207" customWidth="1"/>
    <col min="12552" max="12552" width="7" style="207" customWidth="1"/>
    <col min="12553" max="12553" width="7.28515625" style="207" customWidth="1"/>
    <col min="12554" max="12554" width="6.85546875" style="207" customWidth="1"/>
    <col min="12555" max="12555" width="8.85546875" style="207" customWidth="1"/>
    <col min="12556" max="12801" width="9.140625" style="207"/>
    <col min="12802" max="12802" width="51.5703125" style="207" customWidth="1"/>
    <col min="12803" max="12803" width="7.42578125" style="207" customWidth="1"/>
    <col min="12804" max="12804" width="6.85546875" style="207" customWidth="1"/>
    <col min="12805" max="12805" width="8.140625" style="207" customWidth="1"/>
    <col min="12806" max="12806" width="9.7109375" style="207" customWidth="1"/>
    <col min="12807" max="12807" width="7.28515625" style="207" customWidth="1"/>
    <col min="12808" max="12808" width="7" style="207" customWidth="1"/>
    <col min="12809" max="12809" width="7.28515625" style="207" customWidth="1"/>
    <col min="12810" max="12810" width="6.85546875" style="207" customWidth="1"/>
    <col min="12811" max="12811" width="8.85546875" style="207" customWidth="1"/>
    <col min="12812" max="13057" width="9.140625" style="207"/>
    <col min="13058" max="13058" width="51.5703125" style="207" customWidth="1"/>
    <col min="13059" max="13059" width="7.42578125" style="207" customWidth="1"/>
    <col min="13060" max="13060" width="6.85546875" style="207" customWidth="1"/>
    <col min="13061" max="13061" width="8.140625" style="207" customWidth="1"/>
    <col min="13062" max="13062" width="9.7109375" style="207" customWidth="1"/>
    <col min="13063" max="13063" width="7.28515625" style="207" customWidth="1"/>
    <col min="13064" max="13064" width="7" style="207" customWidth="1"/>
    <col min="13065" max="13065" width="7.28515625" style="207" customWidth="1"/>
    <col min="13066" max="13066" width="6.85546875" style="207" customWidth="1"/>
    <col min="13067" max="13067" width="8.85546875" style="207" customWidth="1"/>
    <col min="13068" max="13313" width="9.140625" style="207"/>
    <col min="13314" max="13314" width="51.5703125" style="207" customWidth="1"/>
    <col min="13315" max="13315" width="7.42578125" style="207" customWidth="1"/>
    <col min="13316" max="13316" width="6.85546875" style="207" customWidth="1"/>
    <col min="13317" max="13317" width="8.140625" style="207" customWidth="1"/>
    <col min="13318" max="13318" width="9.7109375" style="207" customWidth="1"/>
    <col min="13319" max="13319" width="7.28515625" style="207" customWidth="1"/>
    <col min="13320" max="13320" width="7" style="207" customWidth="1"/>
    <col min="13321" max="13321" width="7.28515625" style="207" customWidth="1"/>
    <col min="13322" max="13322" width="6.85546875" style="207" customWidth="1"/>
    <col min="13323" max="13323" width="8.85546875" style="207" customWidth="1"/>
    <col min="13324" max="13569" width="9.140625" style="207"/>
    <col min="13570" max="13570" width="51.5703125" style="207" customWidth="1"/>
    <col min="13571" max="13571" width="7.42578125" style="207" customWidth="1"/>
    <col min="13572" max="13572" width="6.85546875" style="207" customWidth="1"/>
    <col min="13573" max="13573" width="8.140625" style="207" customWidth="1"/>
    <col min="13574" max="13574" width="9.7109375" style="207" customWidth="1"/>
    <col min="13575" max="13575" width="7.28515625" style="207" customWidth="1"/>
    <col min="13576" max="13576" width="7" style="207" customWidth="1"/>
    <col min="13577" max="13577" width="7.28515625" style="207" customWidth="1"/>
    <col min="13578" max="13578" width="6.85546875" style="207" customWidth="1"/>
    <col min="13579" max="13579" width="8.85546875" style="207" customWidth="1"/>
    <col min="13580" max="13825" width="9.140625" style="207"/>
    <col min="13826" max="13826" width="51.5703125" style="207" customWidth="1"/>
    <col min="13827" max="13827" width="7.42578125" style="207" customWidth="1"/>
    <col min="13828" max="13828" width="6.85546875" style="207" customWidth="1"/>
    <col min="13829" max="13829" width="8.140625" style="207" customWidth="1"/>
    <col min="13830" max="13830" width="9.7109375" style="207" customWidth="1"/>
    <col min="13831" max="13831" width="7.28515625" style="207" customWidth="1"/>
    <col min="13832" max="13832" width="7" style="207" customWidth="1"/>
    <col min="13833" max="13833" width="7.28515625" style="207" customWidth="1"/>
    <col min="13834" max="13834" width="6.85546875" style="207" customWidth="1"/>
    <col min="13835" max="13835" width="8.85546875" style="207" customWidth="1"/>
    <col min="13836" max="14081" width="9.140625" style="207"/>
    <col min="14082" max="14082" width="51.5703125" style="207" customWidth="1"/>
    <col min="14083" max="14083" width="7.42578125" style="207" customWidth="1"/>
    <col min="14084" max="14084" width="6.85546875" style="207" customWidth="1"/>
    <col min="14085" max="14085" width="8.140625" style="207" customWidth="1"/>
    <col min="14086" max="14086" width="9.7109375" style="207" customWidth="1"/>
    <col min="14087" max="14087" width="7.28515625" style="207" customWidth="1"/>
    <col min="14088" max="14088" width="7" style="207" customWidth="1"/>
    <col min="14089" max="14089" width="7.28515625" style="207" customWidth="1"/>
    <col min="14090" max="14090" width="6.85546875" style="207" customWidth="1"/>
    <col min="14091" max="14091" width="8.85546875" style="207" customWidth="1"/>
    <col min="14092" max="14337" width="9.140625" style="207"/>
    <col min="14338" max="14338" width="51.5703125" style="207" customWidth="1"/>
    <col min="14339" max="14339" width="7.42578125" style="207" customWidth="1"/>
    <col min="14340" max="14340" width="6.85546875" style="207" customWidth="1"/>
    <col min="14341" max="14341" width="8.140625" style="207" customWidth="1"/>
    <col min="14342" max="14342" width="9.7109375" style="207" customWidth="1"/>
    <col min="14343" max="14343" width="7.28515625" style="207" customWidth="1"/>
    <col min="14344" max="14344" width="7" style="207" customWidth="1"/>
    <col min="14345" max="14345" width="7.28515625" style="207" customWidth="1"/>
    <col min="14346" max="14346" width="6.85546875" style="207" customWidth="1"/>
    <col min="14347" max="14347" width="8.85546875" style="207" customWidth="1"/>
    <col min="14348" max="14593" width="9.140625" style="207"/>
    <col min="14594" max="14594" width="51.5703125" style="207" customWidth="1"/>
    <col min="14595" max="14595" width="7.42578125" style="207" customWidth="1"/>
    <col min="14596" max="14596" width="6.85546875" style="207" customWidth="1"/>
    <col min="14597" max="14597" width="8.140625" style="207" customWidth="1"/>
    <col min="14598" max="14598" width="9.7109375" style="207" customWidth="1"/>
    <col min="14599" max="14599" width="7.28515625" style="207" customWidth="1"/>
    <col min="14600" max="14600" width="7" style="207" customWidth="1"/>
    <col min="14601" max="14601" width="7.28515625" style="207" customWidth="1"/>
    <col min="14602" max="14602" width="6.85546875" style="207" customWidth="1"/>
    <col min="14603" max="14603" width="8.85546875" style="207" customWidth="1"/>
    <col min="14604" max="14849" width="9.140625" style="207"/>
    <col min="14850" max="14850" width="51.5703125" style="207" customWidth="1"/>
    <col min="14851" max="14851" width="7.42578125" style="207" customWidth="1"/>
    <col min="14852" max="14852" width="6.85546875" style="207" customWidth="1"/>
    <col min="14853" max="14853" width="8.140625" style="207" customWidth="1"/>
    <col min="14854" max="14854" width="9.7109375" style="207" customWidth="1"/>
    <col min="14855" max="14855" width="7.28515625" style="207" customWidth="1"/>
    <col min="14856" max="14856" width="7" style="207" customWidth="1"/>
    <col min="14857" max="14857" width="7.28515625" style="207" customWidth="1"/>
    <col min="14858" max="14858" width="6.85546875" style="207" customWidth="1"/>
    <col min="14859" max="14859" width="8.85546875" style="207" customWidth="1"/>
    <col min="14860" max="15105" width="9.140625" style="207"/>
    <col min="15106" max="15106" width="51.5703125" style="207" customWidth="1"/>
    <col min="15107" max="15107" width="7.42578125" style="207" customWidth="1"/>
    <col min="15108" max="15108" width="6.85546875" style="207" customWidth="1"/>
    <col min="15109" max="15109" width="8.140625" style="207" customWidth="1"/>
    <col min="15110" max="15110" width="9.7109375" style="207" customWidth="1"/>
    <col min="15111" max="15111" width="7.28515625" style="207" customWidth="1"/>
    <col min="15112" max="15112" width="7" style="207" customWidth="1"/>
    <col min="15113" max="15113" width="7.28515625" style="207" customWidth="1"/>
    <col min="15114" max="15114" width="6.85546875" style="207" customWidth="1"/>
    <col min="15115" max="15115" width="8.85546875" style="207" customWidth="1"/>
    <col min="15116" max="15361" width="9.140625" style="207"/>
    <col min="15362" max="15362" width="51.5703125" style="207" customWidth="1"/>
    <col min="15363" max="15363" width="7.42578125" style="207" customWidth="1"/>
    <col min="15364" max="15364" width="6.85546875" style="207" customWidth="1"/>
    <col min="15365" max="15365" width="8.140625" style="207" customWidth="1"/>
    <col min="15366" max="15366" width="9.7109375" style="207" customWidth="1"/>
    <col min="15367" max="15367" width="7.28515625" style="207" customWidth="1"/>
    <col min="15368" max="15368" width="7" style="207" customWidth="1"/>
    <col min="15369" max="15369" width="7.28515625" style="207" customWidth="1"/>
    <col min="15370" max="15370" width="6.85546875" style="207" customWidth="1"/>
    <col min="15371" max="15371" width="8.85546875" style="207" customWidth="1"/>
    <col min="15372" max="15617" width="9.140625" style="207"/>
    <col min="15618" max="15618" width="51.5703125" style="207" customWidth="1"/>
    <col min="15619" max="15619" width="7.42578125" style="207" customWidth="1"/>
    <col min="15620" max="15620" width="6.85546875" style="207" customWidth="1"/>
    <col min="15621" max="15621" width="8.140625" style="207" customWidth="1"/>
    <col min="15622" max="15622" width="9.7109375" style="207" customWidth="1"/>
    <col min="15623" max="15623" width="7.28515625" style="207" customWidth="1"/>
    <col min="15624" max="15624" width="7" style="207" customWidth="1"/>
    <col min="15625" max="15625" width="7.28515625" style="207" customWidth="1"/>
    <col min="15626" max="15626" width="6.85546875" style="207" customWidth="1"/>
    <col min="15627" max="15627" width="8.85546875" style="207" customWidth="1"/>
    <col min="15628" max="15873" width="9.140625" style="207"/>
    <col min="15874" max="15874" width="51.5703125" style="207" customWidth="1"/>
    <col min="15875" max="15875" width="7.42578125" style="207" customWidth="1"/>
    <col min="15876" max="15876" width="6.85546875" style="207" customWidth="1"/>
    <col min="15877" max="15877" width="8.140625" style="207" customWidth="1"/>
    <col min="15878" max="15878" width="9.7109375" style="207" customWidth="1"/>
    <col min="15879" max="15879" width="7.28515625" style="207" customWidth="1"/>
    <col min="15880" max="15880" width="7" style="207" customWidth="1"/>
    <col min="15881" max="15881" width="7.28515625" style="207" customWidth="1"/>
    <col min="15882" max="15882" width="6.85546875" style="207" customWidth="1"/>
    <col min="15883" max="15883" width="8.85546875" style="207" customWidth="1"/>
    <col min="15884" max="16129" width="9.140625" style="207"/>
    <col min="16130" max="16130" width="51.5703125" style="207" customWidth="1"/>
    <col min="16131" max="16131" width="7.42578125" style="207" customWidth="1"/>
    <col min="16132" max="16132" width="6.85546875" style="207" customWidth="1"/>
    <col min="16133" max="16133" width="8.140625" style="207" customWidth="1"/>
    <col min="16134" max="16134" width="9.7109375" style="207" customWidth="1"/>
    <col min="16135" max="16135" width="7.28515625" style="207" customWidth="1"/>
    <col min="16136" max="16136" width="7" style="207" customWidth="1"/>
    <col min="16137" max="16137" width="7.28515625" style="207" customWidth="1"/>
    <col min="16138" max="16138" width="6.85546875" style="207" customWidth="1"/>
    <col min="16139" max="16139" width="8.85546875" style="207" customWidth="1"/>
    <col min="16140" max="16384" width="9.140625" style="207"/>
  </cols>
  <sheetData>
    <row r="1" spans="1:11" ht="15.75" customHeight="1">
      <c r="B1" s="272" t="s">
        <v>788</v>
      </c>
      <c r="C1" s="272"/>
      <c r="D1" s="272"/>
      <c r="E1" s="272"/>
      <c r="F1" s="272"/>
      <c r="G1" s="272"/>
      <c r="H1" s="272"/>
      <c r="I1" s="272"/>
    </row>
    <row r="2" spans="1:11" ht="27.75" customHeight="1">
      <c r="B2" s="273"/>
      <c r="C2" s="273"/>
      <c r="D2" s="273"/>
      <c r="E2" s="273"/>
      <c r="F2" s="273"/>
      <c r="G2" s="273"/>
      <c r="H2" s="273"/>
      <c r="I2" s="273"/>
    </row>
    <row r="3" spans="1:11" ht="113.25" customHeight="1">
      <c r="A3" s="226" t="s">
        <v>0</v>
      </c>
      <c r="B3" s="226" t="s">
        <v>130</v>
      </c>
      <c r="C3" s="210" t="s">
        <v>664</v>
      </c>
      <c r="D3" s="211" t="s">
        <v>789</v>
      </c>
      <c r="E3" s="211" t="s">
        <v>790</v>
      </c>
      <c r="F3" s="211" t="s">
        <v>665</v>
      </c>
      <c r="G3" s="211" t="s">
        <v>607</v>
      </c>
      <c r="H3" s="211" t="s">
        <v>666</v>
      </c>
      <c r="I3" s="211" t="s">
        <v>131</v>
      </c>
      <c r="J3" s="211" t="s">
        <v>529</v>
      </c>
      <c r="K3" s="209" t="s">
        <v>234</v>
      </c>
    </row>
    <row r="4" spans="1:11" ht="15.75">
      <c r="A4" s="227" t="s">
        <v>248</v>
      </c>
      <c r="B4" s="228" t="s">
        <v>791</v>
      </c>
      <c r="C4" s="551"/>
      <c r="D4" s="552">
        <v>1.59</v>
      </c>
      <c r="E4" s="553"/>
      <c r="F4" s="553"/>
      <c r="G4" s="554">
        <v>0.16</v>
      </c>
      <c r="H4" s="554">
        <v>0.37</v>
      </c>
      <c r="I4" s="555"/>
      <c r="J4" s="554">
        <v>0.3</v>
      </c>
      <c r="K4" s="216"/>
    </row>
    <row r="5" spans="1:11">
      <c r="A5" s="216" t="s">
        <v>792</v>
      </c>
      <c r="B5" s="216" t="s">
        <v>669</v>
      </c>
      <c r="C5" s="216">
        <v>8</v>
      </c>
      <c r="D5" s="213">
        <f t="shared" ref="D5:D57" si="0">$D$4*C5</f>
        <v>12.72</v>
      </c>
      <c r="E5" s="213">
        <f>D5*22%</f>
        <v>2.7984</v>
      </c>
      <c r="F5" s="213">
        <v>6.08</v>
      </c>
      <c r="G5" s="213"/>
      <c r="H5" s="213">
        <f>$H$4*D5</f>
        <v>4.7064000000000004</v>
      </c>
      <c r="I5" s="213">
        <f>D5+F5+G5+H5+E5</f>
        <v>26.3048</v>
      </c>
      <c r="J5" s="213">
        <f>I5*30%</f>
        <v>7.8914399999999993</v>
      </c>
      <c r="K5" s="220">
        <f>I5+J5</f>
        <v>34.196240000000003</v>
      </c>
    </row>
    <row r="6" spans="1:11">
      <c r="A6" s="216" t="s">
        <v>793</v>
      </c>
      <c r="B6" s="216" t="s">
        <v>794</v>
      </c>
      <c r="C6" s="216">
        <v>8</v>
      </c>
      <c r="D6" s="213">
        <f t="shared" si="0"/>
        <v>12.72</v>
      </c>
      <c r="E6" s="213">
        <f t="shared" ref="E6:E56" si="1">D6*22%</f>
        <v>2.7984</v>
      </c>
      <c r="F6" s="213">
        <v>6.08</v>
      </c>
      <c r="G6" s="213"/>
      <c r="H6" s="213">
        <f t="shared" ref="H6:H56" si="2">$H$4*D6</f>
        <v>4.7064000000000004</v>
      </c>
      <c r="I6" s="213">
        <f>D6+F6+G6+H6+E6</f>
        <v>26.3048</v>
      </c>
      <c r="J6" s="213">
        <f t="shared" ref="J6:J57" si="3">I6*30%</f>
        <v>7.8914399999999993</v>
      </c>
      <c r="K6" s="220">
        <f t="shared" ref="K6:K56" si="4">I6+J6</f>
        <v>34.196240000000003</v>
      </c>
    </row>
    <row r="7" spans="1:11">
      <c r="A7" s="216" t="s">
        <v>795</v>
      </c>
      <c r="B7" s="216" t="s">
        <v>796</v>
      </c>
      <c r="C7" s="216">
        <v>8</v>
      </c>
      <c r="D7" s="213">
        <f t="shared" si="0"/>
        <v>12.72</v>
      </c>
      <c r="E7" s="213">
        <f t="shared" si="1"/>
        <v>2.7984</v>
      </c>
      <c r="F7" s="213">
        <v>6.08</v>
      </c>
      <c r="G7" s="213"/>
      <c r="H7" s="213">
        <f t="shared" si="2"/>
        <v>4.7064000000000004</v>
      </c>
      <c r="I7" s="213">
        <f t="shared" ref="I7:I57" si="5">D7+F7+G7+H7+E7</f>
        <v>26.3048</v>
      </c>
      <c r="J7" s="213">
        <f t="shared" si="3"/>
        <v>7.8914399999999993</v>
      </c>
      <c r="K7" s="220">
        <f t="shared" si="4"/>
        <v>34.196240000000003</v>
      </c>
    </row>
    <row r="8" spans="1:11" ht="30">
      <c r="A8" s="216" t="s">
        <v>797</v>
      </c>
      <c r="B8" s="216" t="s">
        <v>673</v>
      </c>
      <c r="C8" s="216">
        <v>8</v>
      </c>
      <c r="D8" s="213">
        <f t="shared" si="0"/>
        <v>12.72</v>
      </c>
      <c r="E8" s="213">
        <f t="shared" si="1"/>
        <v>2.7984</v>
      </c>
      <c r="F8" s="213">
        <v>6.08</v>
      </c>
      <c r="G8" s="213"/>
      <c r="H8" s="213">
        <f t="shared" si="2"/>
        <v>4.7064000000000004</v>
      </c>
      <c r="I8" s="213">
        <f t="shared" si="5"/>
        <v>26.3048</v>
      </c>
      <c r="J8" s="213">
        <f t="shared" si="3"/>
        <v>7.8914399999999993</v>
      </c>
      <c r="K8" s="220">
        <f t="shared" si="4"/>
        <v>34.196240000000003</v>
      </c>
    </row>
    <row r="9" spans="1:11">
      <c r="A9" s="229" t="s">
        <v>798</v>
      </c>
      <c r="B9" s="216" t="s">
        <v>683</v>
      </c>
      <c r="C9" s="216">
        <v>5</v>
      </c>
      <c r="D9" s="213">
        <f t="shared" si="0"/>
        <v>7.95</v>
      </c>
      <c r="E9" s="213">
        <f t="shared" si="1"/>
        <v>1.7490000000000001</v>
      </c>
      <c r="F9" s="213"/>
      <c r="G9" s="213"/>
      <c r="H9" s="213">
        <f t="shared" si="2"/>
        <v>2.9415</v>
      </c>
      <c r="I9" s="213">
        <f t="shared" si="5"/>
        <v>12.640500000000001</v>
      </c>
      <c r="J9" s="213">
        <f t="shared" si="3"/>
        <v>3.7921500000000004</v>
      </c>
      <c r="K9" s="220">
        <f t="shared" si="4"/>
        <v>16.432650000000002</v>
      </c>
    </row>
    <row r="10" spans="1:11">
      <c r="A10" s="216" t="s">
        <v>799</v>
      </c>
      <c r="B10" s="216" t="s">
        <v>800</v>
      </c>
      <c r="C10" s="216">
        <v>10</v>
      </c>
      <c r="D10" s="213">
        <f t="shared" si="0"/>
        <v>15.9</v>
      </c>
      <c r="E10" s="213">
        <f t="shared" si="1"/>
        <v>3.4980000000000002</v>
      </c>
      <c r="F10" s="213"/>
      <c r="G10" s="213"/>
      <c r="H10" s="213">
        <f t="shared" si="2"/>
        <v>5.883</v>
      </c>
      <c r="I10" s="213">
        <f t="shared" si="5"/>
        <v>25.281000000000002</v>
      </c>
      <c r="J10" s="213">
        <f t="shared" si="3"/>
        <v>7.5843000000000007</v>
      </c>
      <c r="K10" s="220">
        <f t="shared" si="4"/>
        <v>32.865300000000005</v>
      </c>
    </row>
    <row r="11" spans="1:11" ht="30">
      <c r="A11" s="216" t="s">
        <v>801</v>
      </c>
      <c r="B11" s="216" t="s">
        <v>802</v>
      </c>
      <c r="C11" s="216">
        <v>20</v>
      </c>
      <c r="D11" s="213">
        <f t="shared" si="0"/>
        <v>31.8</v>
      </c>
      <c r="E11" s="213">
        <f t="shared" si="1"/>
        <v>6.9960000000000004</v>
      </c>
      <c r="F11" s="213"/>
      <c r="G11" s="213"/>
      <c r="H11" s="213">
        <f t="shared" si="2"/>
        <v>11.766</v>
      </c>
      <c r="I11" s="213">
        <f t="shared" si="5"/>
        <v>50.562000000000005</v>
      </c>
      <c r="J11" s="213">
        <f t="shared" si="3"/>
        <v>15.168600000000001</v>
      </c>
      <c r="K11" s="220">
        <f t="shared" si="4"/>
        <v>65.73060000000001</v>
      </c>
    </row>
    <row r="12" spans="1:11">
      <c r="A12" s="216" t="s">
        <v>803</v>
      </c>
      <c r="B12" s="216" t="s">
        <v>804</v>
      </c>
      <c r="C12" s="216">
        <v>5</v>
      </c>
      <c r="D12" s="213">
        <f t="shared" si="0"/>
        <v>7.95</v>
      </c>
      <c r="E12" s="213">
        <f t="shared" si="1"/>
        <v>1.7490000000000001</v>
      </c>
      <c r="F12" s="213"/>
      <c r="G12" s="213"/>
      <c r="H12" s="213">
        <f t="shared" si="2"/>
        <v>2.9415</v>
      </c>
      <c r="I12" s="213">
        <f t="shared" si="5"/>
        <v>12.640500000000001</v>
      </c>
      <c r="J12" s="213">
        <f t="shared" si="3"/>
        <v>3.7921500000000004</v>
      </c>
      <c r="K12" s="220">
        <f t="shared" si="4"/>
        <v>16.432650000000002</v>
      </c>
    </row>
    <row r="13" spans="1:11">
      <c r="A13" s="229" t="s">
        <v>805</v>
      </c>
      <c r="B13" s="216" t="s">
        <v>806</v>
      </c>
      <c r="C13" s="216">
        <v>12</v>
      </c>
      <c r="D13" s="213">
        <f t="shared" si="0"/>
        <v>19.080000000000002</v>
      </c>
      <c r="E13" s="213">
        <f t="shared" si="1"/>
        <v>4.1976000000000004</v>
      </c>
      <c r="F13" s="213">
        <v>43.32</v>
      </c>
      <c r="G13" s="213">
        <f t="shared" ref="G13:G57" si="6">$G$4*C13</f>
        <v>1.92</v>
      </c>
      <c r="H13" s="213">
        <f t="shared" si="2"/>
        <v>7.0596000000000005</v>
      </c>
      <c r="I13" s="213">
        <f t="shared" si="5"/>
        <v>75.577200000000005</v>
      </c>
      <c r="J13" s="213">
        <f t="shared" si="3"/>
        <v>22.673159999999999</v>
      </c>
      <c r="K13" s="220">
        <f t="shared" si="4"/>
        <v>98.250360000000001</v>
      </c>
    </row>
    <row r="14" spans="1:11" ht="27.95" customHeight="1">
      <c r="A14" s="216" t="s">
        <v>807</v>
      </c>
      <c r="B14" s="230" t="s">
        <v>808</v>
      </c>
      <c r="C14" s="231">
        <v>64</v>
      </c>
      <c r="D14" s="213">
        <f t="shared" si="0"/>
        <v>101.76</v>
      </c>
      <c r="E14" s="213">
        <f t="shared" si="1"/>
        <v>22.3872</v>
      </c>
      <c r="F14" s="213">
        <v>49.97</v>
      </c>
      <c r="G14" s="213">
        <f t="shared" si="6"/>
        <v>10.24</v>
      </c>
      <c r="H14" s="213">
        <f t="shared" si="2"/>
        <v>37.651200000000003</v>
      </c>
      <c r="I14" s="213">
        <f t="shared" si="5"/>
        <v>222.00840000000005</v>
      </c>
      <c r="J14" s="213">
        <f t="shared" si="3"/>
        <v>66.602520000000013</v>
      </c>
      <c r="K14" s="220">
        <f t="shared" si="4"/>
        <v>288.61092000000008</v>
      </c>
    </row>
    <row r="15" spans="1:11" ht="15.75" customHeight="1">
      <c r="A15" s="216" t="s">
        <v>809</v>
      </c>
      <c r="B15" s="221" t="s">
        <v>810</v>
      </c>
      <c r="C15" s="232">
        <v>8</v>
      </c>
      <c r="D15" s="213">
        <f t="shared" si="0"/>
        <v>12.72</v>
      </c>
      <c r="E15" s="213">
        <f t="shared" si="1"/>
        <v>2.7984</v>
      </c>
      <c r="F15" s="213">
        <v>21.05</v>
      </c>
      <c r="G15" s="213">
        <f t="shared" si="6"/>
        <v>1.28</v>
      </c>
      <c r="H15" s="213">
        <f t="shared" si="2"/>
        <v>4.7064000000000004</v>
      </c>
      <c r="I15" s="213">
        <f t="shared" si="5"/>
        <v>42.554800000000007</v>
      </c>
      <c r="J15" s="213">
        <f t="shared" si="3"/>
        <v>12.766440000000001</v>
      </c>
      <c r="K15" s="220">
        <f t="shared" si="4"/>
        <v>55.32124000000001</v>
      </c>
    </row>
    <row r="16" spans="1:11" ht="15.75">
      <c r="A16" s="216" t="s">
        <v>811</v>
      </c>
      <c r="B16" s="233" t="s">
        <v>812</v>
      </c>
      <c r="C16" s="232">
        <v>12</v>
      </c>
      <c r="D16" s="213">
        <f t="shared" si="0"/>
        <v>19.080000000000002</v>
      </c>
      <c r="E16" s="213">
        <f t="shared" si="1"/>
        <v>4.1976000000000004</v>
      </c>
      <c r="F16" s="213">
        <v>10.220000000000001</v>
      </c>
      <c r="G16" s="213">
        <f t="shared" si="6"/>
        <v>1.92</v>
      </c>
      <c r="H16" s="213">
        <f t="shared" si="2"/>
        <v>7.0596000000000005</v>
      </c>
      <c r="I16" s="213">
        <f t="shared" si="5"/>
        <v>42.477200000000011</v>
      </c>
      <c r="J16" s="213">
        <f t="shared" si="3"/>
        <v>12.743160000000003</v>
      </c>
      <c r="K16" s="220">
        <f t="shared" si="4"/>
        <v>55.220360000000014</v>
      </c>
    </row>
    <row r="17" spans="1:11" ht="15.75">
      <c r="A17" s="216" t="s">
        <v>813</v>
      </c>
      <c r="B17" s="233" t="s">
        <v>814</v>
      </c>
      <c r="C17" s="232">
        <v>5</v>
      </c>
      <c r="D17" s="213">
        <f t="shared" si="0"/>
        <v>7.95</v>
      </c>
      <c r="E17" s="213">
        <f t="shared" si="1"/>
        <v>1.7490000000000001</v>
      </c>
      <c r="F17" s="213">
        <v>63.22</v>
      </c>
      <c r="G17" s="213">
        <f t="shared" si="6"/>
        <v>0.8</v>
      </c>
      <c r="H17" s="213">
        <f t="shared" si="2"/>
        <v>2.9415</v>
      </c>
      <c r="I17" s="213">
        <f t="shared" si="5"/>
        <v>76.660499999999999</v>
      </c>
      <c r="J17" s="213">
        <f t="shared" si="3"/>
        <v>22.998149999999999</v>
      </c>
      <c r="K17" s="220">
        <f t="shared" si="4"/>
        <v>99.658649999999994</v>
      </c>
    </row>
    <row r="18" spans="1:11" ht="17.25" customHeight="1">
      <c r="A18" s="216" t="s">
        <v>815</v>
      </c>
      <c r="B18" s="233" t="s">
        <v>816</v>
      </c>
      <c r="C18" s="232">
        <v>8</v>
      </c>
      <c r="D18" s="213">
        <f t="shared" si="0"/>
        <v>12.72</v>
      </c>
      <c r="E18" s="213">
        <f t="shared" si="1"/>
        <v>2.7984</v>
      </c>
      <c r="F18" s="213">
        <v>10.1</v>
      </c>
      <c r="G18" s="213">
        <f t="shared" si="6"/>
        <v>1.28</v>
      </c>
      <c r="H18" s="213">
        <f t="shared" si="2"/>
        <v>4.7064000000000004</v>
      </c>
      <c r="I18" s="213">
        <f t="shared" si="5"/>
        <v>31.604800000000004</v>
      </c>
      <c r="J18" s="213">
        <f t="shared" si="3"/>
        <v>9.481440000000001</v>
      </c>
      <c r="K18" s="220">
        <f t="shared" si="4"/>
        <v>41.086240000000004</v>
      </c>
    </row>
    <row r="19" spans="1:11" ht="14.25" customHeight="1">
      <c r="A19" s="216" t="s">
        <v>817</v>
      </c>
      <c r="B19" s="233" t="s">
        <v>818</v>
      </c>
      <c r="C19" s="232">
        <v>8</v>
      </c>
      <c r="D19" s="213">
        <f t="shared" si="0"/>
        <v>12.72</v>
      </c>
      <c r="E19" s="213">
        <f t="shared" si="1"/>
        <v>2.7984</v>
      </c>
      <c r="F19" s="213">
        <v>5.0999999999999996</v>
      </c>
      <c r="G19" s="213">
        <f t="shared" si="6"/>
        <v>1.28</v>
      </c>
      <c r="H19" s="213">
        <f t="shared" si="2"/>
        <v>4.7064000000000004</v>
      </c>
      <c r="I19" s="213">
        <f t="shared" si="5"/>
        <v>26.604800000000004</v>
      </c>
      <c r="J19" s="213">
        <f t="shared" si="3"/>
        <v>7.981440000000001</v>
      </c>
      <c r="K19" s="220">
        <f t="shared" si="4"/>
        <v>34.586240000000004</v>
      </c>
    </row>
    <row r="20" spans="1:11" ht="16.5" customHeight="1">
      <c r="A20" s="216" t="s">
        <v>819</v>
      </c>
      <c r="B20" s="233" t="s">
        <v>820</v>
      </c>
      <c r="C20" s="232">
        <v>4</v>
      </c>
      <c r="D20" s="213">
        <f t="shared" si="0"/>
        <v>6.36</v>
      </c>
      <c r="E20" s="213">
        <f t="shared" si="1"/>
        <v>1.3992</v>
      </c>
      <c r="F20" s="213">
        <v>1.19</v>
      </c>
      <c r="G20" s="213">
        <f t="shared" si="6"/>
        <v>0.64</v>
      </c>
      <c r="H20" s="213">
        <f t="shared" si="2"/>
        <v>2.3532000000000002</v>
      </c>
      <c r="I20" s="213">
        <f t="shared" si="5"/>
        <v>11.942400000000003</v>
      </c>
      <c r="J20" s="213">
        <f t="shared" si="3"/>
        <v>3.5827200000000006</v>
      </c>
      <c r="K20" s="220">
        <f t="shared" si="4"/>
        <v>15.525120000000003</v>
      </c>
    </row>
    <row r="21" spans="1:11" ht="16.5" customHeight="1">
      <c r="A21" s="216" t="s">
        <v>821</v>
      </c>
      <c r="B21" s="233" t="s">
        <v>822</v>
      </c>
      <c r="C21" s="232">
        <v>4</v>
      </c>
      <c r="D21" s="213">
        <f t="shared" si="0"/>
        <v>6.36</v>
      </c>
      <c r="E21" s="213">
        <f t="shared" si="1"/>
        <v>1.3992</v>
      </c>
      <c r="F21" s="213">
        <v>3.05</v>
      </c>
      <c r="G21" s="213">
        <f t="shared" si="6"/>
        <v>0.64</v>
      </c>
      <c r="H21" s="213">
        <f t="shared" si="2"/>
        <v>2.3532000000000002</v>
      </c>
      <c r="I21" s="213">
        <f t="shared" si="5"/>
        <v>13.802400000000002</v>
      </c>
      <c r="J21" s="213">
        <f t="shared" si="3"/>
        <v>4.1407200000000008</v>
      </c>
      <c r="K21" s="220">
        <f t="shared" si="4"/>
        <v>17.943120000000004</v>
      </c>
    </row>
    <row r="22" spans="1:11" ht="27.95" customHeight="1">
      <c r="A22" s="216" t="s">
        <v>823</v>
      </c>
      <c r="B22" s="233" t="s">
        <v>824</v>
      </c>
      <c r="C22" s="232">
        <v>4</v>
      </c>
      <c r="D22" s="213">
        <f t="shared" si="0"/>
        <v>6.36</v>
      </c>
      <c r="E22" s="213">
        <f t="shared" si="1"/>
        <v>1.3992</v>
      </c>
      <c r="F22" s="213">
        <v>3.04</v>
      </c>
      <c r="G22" s="213">
        <f t="shared" si="6"/>
        <v>0.64</v>
      </c>
      <c r="H22" s="213">
        <f t="shared" si="2"/>
        <v>2.3532000000000002</v>
      </c>
      <c r="I22" s="213">
        <f t="shared" si="5"/>
        <v>13.792400000000001</v>
      </c>
      <c r="J22" s="213">
        <f t="shared" si="3"/>
        <v>4.1377199999999998</v>
      </c>
      <c r="K22" s="220">
        <f t="shared" si="4"/>
        <v>17.930120000000002</v>
      </c>
    </row>
    <row r="23" spans="1:11" ht="18" customHeight="1">
      <c r="A23" s="216" t="s">
        <v>825</v>
      </c>
      <c r="B23" s="233" t="s">
        <v>826</v>
      </c>
      <c r="C23" s="232">
        <v>4</v>
      </c>
      <c r="D23" s="213">
        <f t="shared" si="0"/>
        <v>6.36</v>
      </c>
      <c r="E23" s="213">
        <f t="shared" si="1"/>
        <v>1.3992</v>
      </c>
      <c r="F23" s="213">
        <v>0.46</v>
      </c>
      <c r="G23" s="213">
        <f t="shared" si="6"/>
        <v>0.64</v>
      </c>
      <c r="H23" s="213">
        <f t="shared" si="2"/>
        <v>2.3532000000000002</v>
      </c>
      <c r="I23" s="213">
        <f t="shared" si="5"/>
        <v>11.212400000000001</v>
      </c>
      <c r="J23" s="213">
        <f t="shared" si="3"/>
        <v>3.3637200000000003</v>
      </c>
      <c r="K23" s="220">
        <f t="shared" si="4"/>
        <v>14.576120000000001</v>
      </c>
    </row>
    <row r="24" spans="1:11" ht="18" customHeight="1">
      <c r="A24" s="216" t="s">
        <v>827</v>
      </c>
      <c r="B24" s="233" t="s">
        <v>828</v>
      </c>
      <c r="C24" s="232">
        <v>4</v>
      </c>
      <c r="D24" s="213">
        <f t="shared" si="0"/>
        <v>6.36</v>
      </c>
      <c r="E24" s="213">
        <f t="shared" si="1"/>
        <v>1.3992</v>
      </c>
      <c r="F24" s="213">
        <v>10.1</v>
      </c>
      <c r="G24" s="213">
        <f t="shared" si="6"/>
        <v>0.64</v>
      </c>
      <c r="H24" s="213">
        <f>$H$4*D24</f>
        <v>2.3532000000000002</v>
      </c>
      <c r="I24" s="213">
        <f t="shared" si="5"/>
        <v>20.852400000000003</v>
      </c>
      <c r="J24" s="213">
        <f t="shared" si="3"/>
        <v>6.2557200000000011</v>
      </c>
      <c r="K24" s="220">
        <f>I24+J24</f>
        <v>27.108120000000003</v>
      </c>
    </row>
    <row r="25" spans="1:11" ht="16.5" customHeight="1">
      <c r="A25" s="216" t="s">
        <v>829</v>
      </c>
      <c r="B25" s="233" t="s">
        <v>830</v>
      </c>
      <c r="C25" s="232">
        <v>4</v>
      </c>
      <c r="D25" s="213">
        <f t="shared" si="0"/>
        <v>6.36</v>
      </c>
      <c r="E25" s="213">
        <f t="shared" si="1"/>
        <v>1.3992</v>
      </c>
      <c r="F25" s="213">
        <v>27.75</v>
      </c>
      <c r="G25" s="213">
        <f t="shared" si="6"/>
        <v>0.64</v>
      </c>
      <c r="H25" s="213">
        <f t="shared" si="2"/>
        <v>2.3532000000000002</v>
      </c>
      <c r="I25" s="213">
        <f t="shared" si="5"/>
        <v>38.502400000000002</v>
      </c>
      <c r="J25" s="213">
        <f t="shared" si="3"/>
        <v>11.55072</v>
      </c>
      <c r="K25" s="220">
        <f t="shared" si="4"/>
        <v>50.05312</v>
      </c>
    </row>
    <row r="26" spans="1:11" ht="27.95" customHeight="1">
      <c r="A26" s="216" t="s">
        <v>831</v>
      </c>
      <c r="B26" s="233" t="s">
        <v>832</v>
      </c>
      <c r="C26" s="232">
        <v>8</v>
      </c>
      <c r="D26" s="213">
        <f t="shared" si="0"/>
        <v>12.72</v>
      </c>
      <c r="E26" s="213">
        <f t="shared" si="1"/>
        <v>2.7984</v>
      </c>
      <c r="F26" s="213">
        <v>157.54</v>
      </c>
      <c r="G26" s="213">
        <f t="shared" si="6"/>
        <v>1.28</v>
      </c>
      <c r="H26" s="213">
        <f t="shared" si="2"/>
        <v>4.7064000000000004</v>
      </c>
      <c r="I26" s="213">
        <f t="shared" si="5"/>
        <v>179.04479999999998</v>
      </c>
      <c r="J26" s="213">
        <f t="shared" si="3"/>
        <v>53.713439999999991</v>
      </c>
      <c r="K26" s="220">
        <f t="shared" si="4"/>
        <v>232.75823999999997</v>
      </c>
    </row>
    <row r="27" spans="1:11" ht="30">
      <c r="A27" s="216" t="s">
        <v>833</v>
      </c>
      <c r="B27" s="221" t="s">
        <v>834</v>
      </c>
      <c r="C27" s="222">
        <v>7</v>
      </c>
      <c r="D27" s="213">
        <f t="shared" si="0"/>
        <v>11.13</v>
      </c>
      <c r="E27" s="213">
        <f t="shared" si="1"/>
        <v>2.4486000000000003</v>
      </c>
      <c r="F27" s="213">
        <v>19.55</v>
      </c>
      <c r="G27" s="213">
        <f t="shared" si="6"/>
        <v>1.1200000000000001</v>
      </c>
      <c r="H27" s="213">
        <f t="shared" si="2"/>
        <v>4.1181000000000001</v>
      </c>
      <c r="I27" s="213">
        <f t="shared" si="5"/>
        <v>38.366700000000002</v>
      </c>
      <c r="J27" s="213">
        <f t="shared" si="3"/>
        <v>11.510009999999999</v>
      </c>
      <c r="K27" s="220">
        <f t="shared" si="4"/>
        <v>49.876710000000003</v>
      </c>
    </row>
    <row r="28" spans="1:11" ht="26.25" customHeight="1">
      <c r="A28" s="221" t="s">
        <v>835</v>
      </c>
      <c r="B28" s="221" t="s">
        <v>836</v>
      </c>
      <c r="C28" s="222">
        <v>12</v>
      </c>
      <c r="D28" s="213">
        <f t="shared" si="0"/>
        <v>19.080000000000002</v>
      </c>
      <c r="E28" s="213">
        <f t="shared" si="1"/>
        <v>4.1976000000000004</v>
      </c>
      <c r="F28" s="213">
        <v>24.7</v>
      </c>
      <c r="G28" s="213">
        <f t="shared" si="6"/>
        <v>1.92</v>
      </c>
      <c r="H28" s="213">
        <f t="shared" si="2"/>
        <v>7.0596000000000005</v>
      </c>
      <c r="I28" s="213">
        <f t="shared" si="5"/>
        <v>56.957200000000007</v>
      </c>
      <c r="J28" s="213">
        <f t="shared" si="3"/>
        <v>17.087160000000001</v>
      </c>
      <c r="K28" s="220">
        <f t="shared" si="4"/>
        <v>74.044360000000012</v>
      </c>
    </row>
    <row r="29" spans="1:11" ht="26.25" customHeight="1">
      <c r="A29" s="221" t="s">
        <v>837</v>
      </c>
      <c r="B29" s="221" t="s">
        <v>836</v>
      </c>
      <c r="C29" s="222">
        <v>12</v>
      </c>
      <c r="D29" s="213">
        <f t="shared" si="0"/>
        <v>19.080000000000002</v>
      </c>
      <c r="E29" s="213">
        <f>D29*22%</f>
        <v>4.1976000000000004</v>
      </c>
      <c r="F29" s="213">
        <v>222.64</v>
      </c>
      <c r="G29" s="213">
        <f t="shared" si="6"/>
        <v>1.92</v>
      </c>
      <c r="H29" s="213">
        <f>$H$4*D29</f>
        <v>7.0596000000000005</v>
      </c>
      <c r="I29" s="213">
        <f t="shared" si="5"/>
        <v>254.89719999999997</v>
      </c>
      <c r="J29" s="213">
        <f t="shared" si="3"/>
        <v>76.469159999999988</v>
      </c>
      <c r="K29" s="220">
        <f>I29+J29</f>
        <v>331.36635999999999</v>
      </c>
    </row>
    <row r="30" spans="1:11">
      <c r="A30" s="221" t="s">
        <v>838</v>
      </c>
      <c r="B30" s="221" t="s">
        <v>839</v>
      </c>
      <c r="C30" s="222">
        <v>5</v>
      </c>
      <c r="D30" s="213">
        <f t="shared" si="0"/>
        <v>7.95</v>
      </c>
      <c r="E30" s="213">
        <f t="shared" si="1"/>
        <v>1.7490000000000001</v>
      </c>
      <c r="F30" s="213">
        <v>0.2</v>
      </c>
      <c r="G30" s="213">
        <f t="shared" si="6"/>
        <v>0.8</v>
      </c>
      <c r="H30" s="213">
        <f t="shared" si="2"/>
        <v>2.9415</v>
      </c>
      <c r="I30" s="213">
        <f t="shared" si="5"/>
        <v>13.640500000000001</v>
      </c>
      <c r="J30" s="213">
        <f t="shared" si="3"/>
        <v>4.0921500000000002</v>
      </c>
      <c r="K30" s="220">
        <f t="shared" si="4"/>
        <v>17.73265</v>
      </c>
    </row>
    <row r="31" spans="1:11" ht="27.95" customHeight="1">
      <c r="A31" s="221" t="s">
        <v>840</v>
      </c>
      <c r="B31" s="221" t="s">
        <v>841</v>
      </c>
      <c r="C31" s="222">
        <v>32</v>
      </c>
      <c r="D31" s="213">
        <f t="shared" si="0"/>
        <v>50.88</v>
      </c>
      <c r="E31" s="213">
        <f t="shared" si="1"/>
        <v>11.1936</v>
      </c>
      <c r="F31" s="213">
        <v>223.91</v>
      </c>
      <c r="G31" s="213">
        <f t="shared" si="6"/>
        <v>5.12</v>
      </c>
      <c r="H31" s="213">
        <f t="shared" si="2"/>
        <v>18.825600000000001</v>
      </c>
      <c r="I31" s="213">
        <f t="shared" si="5"/>
        <v>309.92920000000004</v>
      </c>
      <c r="J31" s="213">
        <f t="shared" si="3"/>
        <v>92.978760000000008</v>
      </c>
      <c r="K31" s="220">
        <f t="shared" si="4"/>
        <v>402.90796000000006</v>
      </c>
    </row>
    <row r="32" spans="1:11" ht="15.75">
      <c r="A32" s="221" t="s">
        <v>842</v>
      </c>
      <c r="B32" s="233" t="s">
        <v>843</v>
      </c>
      <c r="C32" s="232">
        <v>48</v>
      </c>
      <c r="D32" s="213">
        <f t="shared" si="0"/>
        <v>76.320000000000007</v>
      </c>
      <c r="E32" s="213">
        <f t="shared" si="1"/>
        <v>16.790400000000002</v>
      </c>
      <c r="F32" s="213">
        <v>112.28</v>
      </c>
      <c r="G32" s="213">
        <f t="shared" si="6"/>
        <v>7.68</v>
      </c>
      <c r="H32" s="213">
        <f t="shared" si="2"/>
        <v>28.238400000000002</v>
      </c>
      <c r="I32" s="213">
        <f t="shared" si="5"/>
        <v>241.30880000000005</v>
      </c>
      <c r="J32" s="213">
        <f t="shared" si="3"/>
        <v>72.392640000000014</v>
      </c>
      <c r="K32" s="220">
        <f t="shared" si="4"/>
        <v>313.70144000000005</v>
      </c>
    </row>
    <row r="33" spans="1:11" ht="31.5">
      <c r="A33" s="221" t="s">
        <v>844</v>
      </c>
      <c r="B33" s="233" t="s">
        <v>845</v>
      </c>
      <c r="C33" s="232">
        <v>16</v>
      </c>
      <c r="D33" s="213">
        <f t="shared" si="0"/>
        <v>25.44</v>
      </c>
      <c r="E33" s="213">
        <f t="shared" si="1"/>
        <v>5.5968</v>
      </c>
      <c r="F33" s="213">
        <v>29.55</v>
      </c>
      <c r="G33" s="213">
        <f t="shared" si="6"/>
        <v>2.56</v>
      </c>
      <c r="H33" s="213">
        <f t="shared" si="2"/>
        <v>9.4128000000000007</v>
      </c>
      <c r="I33" s="213">
        <f t="shared" si="5"/>
        <v>72.559600000000003</v>
      </c>
      <c r="J33" s="213">
        <f t="shared" si="3"/>
        <v>21.767880000000002</v>
      </c>
      <c r="K33" s="220">
        <f t="shared" si="4"/>
        <v>94.327480000000008</v>
      </c>
    </row>
    <row r="34" spans="1:11" ht="27.95" customHeight="1">
      <c r="A34" s="221" t="s">
        <v>846</v>
      </c>
      <c r="B34" s="233" t="s">
        <v>847</v>
      </c>
      <c r="C34" s="232">
        <v>16</v>
      </c>
      <c r="D34" s="213">
        <f t="shared" si="0"/>
        <v>25.44</v>
      </c>
      <c r="E34" s="213">
        <f t="shared" si="1"/>
        <v>5.5968</v>
      </c>
      <c r="F34" s="213">
        <v>44.65</v>
      </c>
      <c r="G34" s="213">
        <f t="shared" si="6"/>
        <v>2.56</v>
      </c>
      <c r="H34" s="213">
        <f t="shared" si="2"/>
        <v>9.4128000000000007</v>
      </c>
      <c r="I34" s="213">
        <f t="shared" si="5"/>
        <v>87.659600000000012</v>
      </c>
      <c r="J34" s="213">
        <f t="shared" si="3"/>
        <v>26.297880000000003</v>
      </c>
      <c r="K34" s="220">
        <f t="shared" si="4"/>
        <v>113.95748000000002</v>
      </c>
    </row>
    <row r="35" spans="1:11" ht="27.95" customHeight="1">
      <c r="A35" s="221" t="s">
        <v>848</v>
      </c>
      <c r="B35" s="233" t="s">
        <v>849</v>
      </c>
      <c r="C35" s="232">
        <v>16</v>
      </c>
      <c r="D35" s="213">
        <f t="shared" si="0"/>
        <v>25.44</v>
      </c>
      <c r="E35" s="213">
        <f t="shared" si="1"/>
        <v>5.5968</v>
      </c>
      <c r="F35" s="213">
        <v>80.73</v>
      </c>
      <c r="G35" s="213">
        <f t="shared" si="6"/>
        <v>2.56</v>
      </c>
      <c r="H35" s="213">
        <f t="shared" si="2"/>
        <v>9.4128000000000007</v>
      </c>
      <c r="I35" s="213">
        <f t="shared" si="5"/>
        <v>123.73960000000001</v>
      </c>
      <c r="J35" s="213">
        <f t="shared" si="3"/>
        <v>37.121880000000004</v>
      </c>
      <c r="K35" s="220">
        <f t="shared" si="4"/>
        <v>160.86148000000003</v>
      </c>
    </row>
    <row r="36" spans="1:11" ht="27.95" customHeight="1">
      <c r="A36" s="221" t="s">
        <v>850</v>
      </c>
      <c r="B36" s="233" t="s">
        <v>851</v>
      </c>
      <c r="C36" s="232">
        <v>16</v>
      </c>
      <c r="D36" s="213">
        <f t="shared" si="0"/>
        <v>25.44</v>
      </c>
      <c r="E36" s="213">
        <f t="shared" si="1"/>
        <v>5.5968</v>
      </c>
      <c r="F36" s="213">
        <v>80.73</v>
      </c>
      <c r="G36" s="213">
        <f t="shared" si="6"/>
        <v>2.56</v>
      </c>
      <c r="H36" s="213">
        <f t="shared" si="2"/>
        <v>9.4128000000000007</v>
      </c>
      <c r="I36" s="213">
        <f t="shared" si="5"/>
        <v>123.73960000000001</v>
      </c>
      <c r="J36" s="213">
        <f t="shared" si="3"/>
        <v>37.121880000000004</v>
      </c>
      <c r="K36" s="220">
        <f t="shared" si="4"/>
        <v>160.86148000000003</v>
      </c>
    </row>
    <row r="37" spans="1:11" ht="27.95" customHeight="1">
      <c r="A37" s="221" t="s">
        <v>852</v>
      </c>
      <c r="B37" s="233" t="s">
        <v>853</v>
      </c>
      <c r="C37" s="232">
        <v>12</v>
      </c>
      <c r="D37" s="213">
        <f t="shared" si="0"/>
        <v>19.080000000000002</v>
      </c>
      <c r="E37" s="213">
        <f t="shared" si="1"/>
        <v>4.1976000000000004</v>
      </c>
      <c r="F37" s="213">
        <v>16.7</v>
      </c>
      <c r="G37" s="213">
        <f t="shared" si="6"/>
        <v>1.92</v>
      </c>
      <c r="H37" s="213">
        <f t="shared" si="2"/>
        <v>7.0596000000000005</v>
      </c>
      <c r="I37" s="213">
        <f t="shared" si="5"/>
        <v>48.957200000000007</v>
      </c>
      <c r="J37" s="213">
        <f t="shared" si="3"/>
        <v>14.687160000000002</v>
      </c>
      <c r="K37" s="220">
        <f t="shared" si="4"/>
        <v>63.644360000000006</v>
      </c>
    </row>
    <row r="38" spans="1:11" ht="27.95" customHeight="1">
      <c r="A38" s="221" t="s">
        <v>854</v>
      </c>
      <c r="B38" s="233" t="s">
        <v>855</v>
      </c>
      <c r="C38" s="232">
        <v>12</v>
      </c>
      <c r="D38" s="213">
        <f t="shared" si="0"/>
        <v>19.080000000000002</v>
      </c>
      <c r="E38" s="213">
        <f t="shared" si="1"/>
        <v>4.1976000000000004</v>
      </c>
      <c r="F38" s="213">
        <v>17.2</v>
      </c>
      <c r="G38" s="213">
        <f t="shared" si="6"/>
        <v>1.92</v>
      </c>
      <c r="H38" s="213">
        <f t="shared" si="2"/>
        <v>7.0596000000000005</v>
      </c>
      <c r="I38" s="213">
        <f t="shared" si="5"/>
        <v>49.457200000000007</v>
      </c>
      <c r="J38" s="213">
        <f t="shared" si="3"/>
        <v>14.837160000000001</v>
      </c>
      <c r="K38" s="220">
        <f t="shared" si="4"/>
        <v>64.294360000000012</v>
      </c>
    </row>
    <row r="39" spans="1:11" ht="27.95" customHeight="1">
      <c r="A39" s="234" t="s">
        <v>856</v>
      </c>
      <c r="B39" s="233" t="s">
        <v>857</v>
      </c>
      <c r="C39" s="232">
        <v>12</v>
      </c>
      <c r="D39" s="213">
        <f t="shared" si="0"/>
        <v>19.080000000000002</v>
      </c>
      <c r="E39" s="213">
        <f t="shared" si="1"/>
        <v>4.1976000000000004</v>
      </c>
      <c r="F39" s="213">
        <v>23.2</v>
      </c>
      <c r="G39" s="213">
        <f t="shared" si="6"/>
        <v>1.92</v>
      </c>
      <c r="H39" s="213">
        <f t="shared" si="2"/>
        <v>7.0596000000000005</v>
      </c>
      <c r="I39" s="213">
        <f t="shared" si="5"/>
        <v>55.457200000000007</v>
      </c>
      <c r="J39" s="213">
        <f t="shared" si="3"/>
        <v>16.637160000000002</v>
      </c>
      <c r="K39" s="220">
        <f t="shared" si="4"/>
        <v>72.094360000000009</v>
      </c>
    </row>
    <row r="40" spans="1:11" ht="27.95" customHeight="1">
      <c r="A40" s="234" t="s">
        <v>858</v>
      </c>
      <c r="B40" s="233" t="s">
        <v>859</v>
      </c>
      <c r="C40" s="232">
        <v>12</v>
      </c>
      <c r="D40" s="213">
        <f t="shared" si="0"/>
        <v>19.080000000000002</v>
      </c>
      <c r="E40" s="213">
        <f t="shared" si="1"/>
        <v>4.1976000000000004</v>
      </c>
      <c r="F40" s="213">
        <v>23.2</v>
      </c>
      <c r="G40" s="213">
        <f t="shared" si="6"/>
        <v>1.92</v>
      </c>
      <c r="H40" s="213">
        <f t="shared" si="2"/>
        <v>7.0596000000000005</v>
      </c>
      <c r="I40" s="213">
        <f t="shared" si="5"/>
        <v>55.457200000000007</v>
      </c>
      <c r="J40" s="213">
        <f t="shared" si="3"/>
        <v>16.637160000000002</v>
      </c>
      <c r="K40" s="220">
        <f t="shared" si="4"/>
        <v>72.094360000000009</v>
      </c>
    </row>
    <row r="41" spans="1:11" ht="31.5">
      <c r="A41" s="234" t="s">
        <v>860</v>
      </c>
      <c r="B41" s="233" t="s">
        <v>861</v>
      </c>
      <c r="C41" s="232">
        <v>24</v>
      </c>
      <c r="D41" s="213">
        <f t="shared" si="0"/>
        <v>38.160000000000004</v>
      </c>
      <c r="E41" s="213">
        <f t="shared" si="1"/>
        <v>8.3952000000000009</v>
      </c>
      <c r="F41" s="213">
        <v>69.150000000000006</v>
      </c>
      <c r="G41" s="213">
        <f t="shared" si="6"/>
        <v>3.84</v>
      </c>
      <c r="H41" s="213">
        <f t="shared" si="2"/>
        <v>14.119200000000001</v>
      </c>
      <c r="I41" s="213">
        <f t="shared" si="5"/>
        <v>133.6644</v>
      </c>
      <c r="J41" s="213">
        <f t="shared" si="3"/>
        <v>40.099319999999999</v>
      </c>
      <c r="K41" s="220">
        <f t="shared" si="4"/>
        <v>173.76372000000001</v>
      </c>
    </row>
    <row r="42" spans="1:11" ht="27.95" customHeight="1">
      <c r="A42" s="234" t="s">
        <v>862</v>
      </c>
      <c r="B42" s="233" t="s">
        <v>863</v>
      </c>
      <c r="C42" s="232">
        <v>24</v>
      </c>
      <c r="D42" s="213">
        <f t="shared" si="0"/>
        <v>38.160000000000004</v>
      </c>
      <c r="E42" s="213">
        <f t="shared" si="1"/>
        <v>8.3952000000000009</v>
      </c>
      <c r="F42" s="213">
        <v>53.9</v>
      </c>
      <c r="G42" s="213">
        <f t="shared" si="6"/>
        <v>3.84</v>
      </c>
      <c r="H42" s="213">
        <f t="shared" si="2"/>
        <v>14.119200000000001</v>
      </c>
      <c r="I42" s="213">
        <f t="shared" si="5"/>
        <v>118.41440000000001</v>
      </c>
      <c r="J42" s="213">
        <f t="shared" si="3"/>
        <v>35.524320000000003</v>
      </c>
      <c r="K42" s="220">
        <f t="shared" si="4"/>
        <v>153.93872000000002</v>
      </c>
    </row>
    <row r="43" spans="1:11" ht="27.95" customHeight="1">
      <c r="A43" s="234" t="s">
        <v>864</v>
      </c>
      <c r="B43" s="233" t="s">
        <v>865</v>
      </c>
      <c r="C43" s="232">
        <v>24</v>
      </c>
      <c r="D43" s="213">
        <f t="shared" si="0"/>
        <v>38.160000000000004</v>
      </c>
      <c r="E43" s="213">
        <f t="shared" si="1"/>
        <v>8.3952000000000009</v>
      </c>
      <c r="F43" s="213">
        <v>103.25</v>
      </c>
      <c r="G43" s="213">
        <f t="shared" si="6"/>
        <v>3.84</v>
      </c>
      <c r="H43" s="213">
        <f t="shared" si="2"/>
        <v>14.119200000000001</v>
      </c>
      <c r="I43" s="213">
        <f t="shared" si="5"/>
        <v>167.76439999999999</v>
      </c>
      <c r="J43" s="213">
        <f t="shared" si="3"/>
        <v>50.329319999999996</v>
      </c>
      <c r="K43" s="220">
        <f t="shared" si="4"/>
        <v>218.09371999999999</v>
      </c>
    </row>
    <row r="44" spans="1:11" ht="27.95" customHeight="1">
      <c r="A44" s="234" t="s">
        <v>866</v>
      </c>
      <c r="B44" s="233" t="s">
        <v>867</v>
      </c>
      <c r="C44" s="232">
        <v>24</v>
      </c>
      <c r="D44" s="213">
        <f t="shared" si="0"/>
        <v>38.160000000000004</v>
      </c>
      <c r="E44" s="213">
        <f t="shared" si="1"/>
        <v>8.3952000000000009</v>
      </c>
      <c r="F44" s="213">
        <v>103.25</v>
      </c>
      <c r="G44" s="213">
        <f t="shared" si="6"/>
        <v>3.84</v>
      </c>
      <c r="H44" s="213">
        <f t="shared" si="2"/>
        <v>14.119200000000001</v>
      </c>
      <c r="I44" s="213">
        <f t="shared" si="5"/>
        <v>167.76439999999999</v>
      </c>
      <c r="J44" s="213">
        <f t="shared" si="3"/>
        <v>50.329319999999996</v>
      </c>
      <c r="K44" s="220">
        <f t="shared" si="4"/>
        <v>218.09371999999999</v>
      </c>
    </row>
    <row r="45" spans="1:11" ht="27.95" customHeight="1">
      <c r="A45" s="234" t="s">
        <v>868</v>
      </c>
      <c r="B45" s="233" t="s">
        <v>869</v>
      </c>
      <c r="C45" s="232">
        <v>48</v>
      </c>
      <c r="D45" s="213">
        <f t="shared" si="0"/>
        <v>76.320000000000007</v>
      </c>
      <c r="E45" s="213">
        <f t="shared" si="1"/>
        <v>16.790400000000002</v>
      </c>
      <c r="F45" s="213">
        <v>34.25</v>
      </c>
      <c r="G45" s="213">
        <f t="shared" si="6"/>
        <v>7.68</v>
      </c>
      <c r="H45" s="213">
        <f t="shared" si="2"/>
        <v>28.238400000000002</v>
      </c>
      <c r="I45" s="213">
        <f t="shared" si="5"/>
        <v>163.27880000000002</v>
      </c>
      <c r="J45" s="213">
        <f t="shared" si="3"/>
        <v>48.983640000000001</v>
      </c>
      <c r="K45" s="220">
        <f t="shared" si="4"/>
        <v>212.26244000000003</v>
      </c>
    </row>
    <row r="46" spans="1:11" ht="33" customHeight="1">
      <c r="A46" s="234" t="s">
        <v>870</v>
      </c>
      <c r="B46" s="233" t="s">
        <v>871</v>
      </c>
      <c r="C46" s="232">
        <v>48</v>
      </c>
      <c r="D46" s="213">
        <f t="shared" si="0"/>
        <v>76.320000000000007</v>
      </c>
      <c r="E46" s="213">
        <f t="shared" si="1"/>
        <v>16.790400000000002</v>
      </c>
      <c r="F46" s="213">
        <v>173.15</v>
      </c>
      <c r="G46" s="213">
        <f t="shared" si="6"/>
        <v>7.68</v>
      </c>
      <c r="H46" s="213">
        <f t="shared" si="2"/>
        <v>28.238400000000002</v>
      </c>
      <c r="I46" s="213">
        <f t="shared" si="5"/>
        <v>302.17880000000002</v>
      </c>
      <c r="J46" s="213">
        <f t="shared" si="3"/>
        <v>90.65364000000001</v>
      </c>
      <c r="K46" s="220">
        <f t="shared" si="4"/>
        <v>392.83244000000002</v>
      </c>
    </row>
    <row r="47" spans="1:11" ht="15.75">
      <c r="A47" s="234" t="s">
        <v>872</v>
      </c>
      <c r="B47" s="233" t="s">
        <v>873</v>
      </c>
      <c r="C47" s="232">
        <v>30</v>
      </c>
      <c r="D47" s="213">
        <f t="shared" si="0"/>
        <v>47.7</v>
      </c>
      <c r="E47" s="213">
        <f t="shared" si="1"/>
        <v>10.494000000000002</v>
      </c>
      <c r="F47" s="213">
        <v>94.02</v>
      </c>
      <c r="G47" s="213">
        <f t="shared" si="6"/>
        <v>4.8</v>
      </c>
      <c r="H47" s="213">
        <f t="shared" si="2"/>
        <v>17.649000000000001</v>
      </c>
      <c r="I47" s="213">
        <f t="shared" si="5"/>
        <v>174.66300000000001</v>
      </c>
      <c r="J47" s="213">
        <f t="shared" si="3"/>
        <v>52.398900000000005</v>
      </c>
      <c r="K47" s="220">
        <f t="shared" si="4"/>
        <v>227.06190000000001</v>
      </c>
    </row>
    <row r="48" spans="1:11" ht="15.75">
      <c r="A48" s="234" t="s">
        <v>874</v>
      </c>
      <c r="B48" s="233" t="s">
        <v>875</v>
      </c>
      <c r="C48" s="232">
        <v>30</v>
      </c>
      <c r="D48" s="213">
        <f t="shared" si="0"/>
        <v>47.7</v>
      </c>
      <c r="E48" s="213">
        <f t="shared" si="1"/>
        <v>10.494000000000002</v>
      </c>
      <c r="F48" s="213">
        <v>40.270000000000003</v>
      </c>
      <c r="G48" s="213">
        <f t="shared" si="6"/>
        <v>4.8</v>
      </c>
      <c r="H48" s="213">
        <f t="shared" si="2"/>
        <v>17.649000000000001</v>
      </c>
      <c r="I48" s="213">
        <f t="shared" si="5"/>
        <v>120.913</v>
      </c>
      <c r="J48" s="213">
        <f t="shared" si="3"/>
        <v>36.273899999999998</v>
      </c>
      <c r="K48" s="220">
        <f t="shared" si="4"/>
        <v>157.18689999999998</v>
      </c>
    </row>
    <row r="49" spans="1:11" ht="15.75">
      <c r="A49" s="234" t="s">
        <v>876</v>
      </c>
      <c r="B49" s="233" t="s">
        <v>877</v>
      </c>
      <c r="C49" s="232">
        <v>10</v>
      </c>
      <c r="D49" s="213">
        <f t="shared" si="0"/>
        <v>15.9</v>
      </c>
      <c r="E49" s="213">
        <f t="shared" si="1"/>
        <v>3.4980000000000002</v>
      </c>
      <c r="F49" s="213">
        <v>25.93</v>
      </c>
      <c r="G49" s="213">
        <f t="shared" si="6"/>
        <v>1.6</v>
      </c>
      <c r="H49" s="213">
        <f t="shared" si="2"/>
        <v>5.883</v>
      </c>
      <c r="I49" s="213">
        <f t="shared" si="5"/>
        <v>52.811</v>
      </c>
      <c r="J49" s="213">
        <f t="shared" si="3"/>
        <v>15.843299999999999</v>
      </c>
      <c r="K49" s="220">
        <f t="shared" si="4"/>
        <v>68.654300000000006</v>
      </c>
    </row>
    <row r="50" spans="1:11" ht="31.5">
      <c r="A50" s="234" t="s">
        <v>878</v>
      </c>
      <c r="B50" s="233" t="s">
        <v>879</v>
      </c>
      <c r="C50" s="232">
        <v>68</v>
      </c>
      <c r="D50" s="213">
        <f t="shared" si="0"/>
        <v>108.12</v>
      </c>
      <c r="E50" s="213">
        <f t="shared" si="1"/>
        <v>23.7864</v>
      </c>
      <c r="F50" s="213">
        <v>345.24</v>
      </c>
      <c r="G50" s="213">
        <f t="shared" si="6"/>
        <v>10.88</v>
      </c>
      <c r="H50" s="213">
        <f t="shared" si="2"/>
        <v>40.004400000000004</v>
      </c>
      <c r="I50" s="213">
        <f t="shared" si="5"/>
        <v>528.0308</v>
      </c>
      <c r="J50" s="213">
        <f t="shared" si="3"/>
        <v>158.40923999999998</v>
      </c>
      <c r="K50" s="220">
        <f t="shared" si="4"/>
        <v>686.44003999999995</v>
      </c>
    </row>
    <row r="51" spans="1:11" ht="15.75">
      <c r="A51" s="234" t="s">
        <v>880</v>
      </c>
      <c r="B51" s="233" t="s">
        <v>881</v>
      </c>
      <c r="C51" s="232">
        <v>8</v>
      </c>
      <c r="D51" s="213">
        <f t="shared" si="0"/>
        <v>12.72</v>
      </c>
      <c r="E51" s="213">
        <f t="shared" si="1"/>
        <v>2.7984</v>
      </c>
      <c r="F51" s="213">
        <v>2.42</v>
      </c>
      <c r="G51" s="213">
        <f t="shared" si="6"/>
        <v>1.28</v>
      </c>
      <c r="H51" s="213">
        <f t="shared" si="2"/>
        <v>4.7064000000000004</v>
      </c>
      <c r="I51" s="213">
        <f t="shared" si="5"/>
        <v>23.924800000000005</v>
      </c>
      <c r="J51" s="213">
        <f t="shared" si="3"/>
        <v>7.1774400000000016</v>
      </c>
      <c r="K51" s="220">
        <f t="shared" si="4"/>
        <v>31.102240000000005</v>
      </c>
    </row>
    <row r="52" spans="1:11" ht="15.75">
      <c r="A52" s="234" t="s">
        <v>882</v>
      </c>
      <c r="B52" s="233" t="s">
        <v>883</v>
      </c>
      <c r="C52" s="216">
        <v>8</v>
      </c>
      <c r="D52" s="213">
        <f t="shared" si="0"/>
        <v>12.72</v>
      </c>
      <c r="E52" s="213">
        <f t="shared" si="1"/>
        <v>2.7984</v>
      </c>
      <c r="F52" s="213">
        <v>1.1499999999999999</v>
      </c>
      <c r="G52" s="213">
        <f t="shared" si="6"/>
        <v>1.28</v>
      </c>
      <c r="H52" s="213">
        <f t="shared" si="2"/>
        <v>4.7064000000000004</v>
      </c>
      <c r="I52" s="213">
        <f t="shared" si="5"/>
        <v>22.654800000000002</v>
      </c>
      <c r="J52" s="213">
        <f t="shared" si="3"/>
        <v>6.7964400000000005</v>
      </c>
      <c r="K52" s="220">
        <f t="shared" si="4"/>
        <v>29.451240000000002</v>
      </c>
    </row>
    <row r="53" spans="1:11" ht="31.5">
      <c r="A53" s="234" t="s">
        <v>884</v>
      </c>
      <c r="B53" s="233" t="s">
        <v>885</v>
      </c>
      <c r="C53" s="216">
        <v>4</v>
      </c>
      <c r="D53" s="213">
        <f t="shared" si="0"/>
        <v>6.36</v>
      </c>
      <c r="E53" s="213">
        <f t="shared" si="1"/>
        <v>1.3992</v>
      </c>
      <c r="F53" s="213">
        <v>5.95</v>
      </c>
      <c r="G53" s="213">
        <f t="shared" si="6"/>
        <v>0.64</v>
      </c>
      <c r="H53" s="213">
        <f t="shared" si="2"/>
        <v>2.3532000000000002</v>
      </c>
      <c r="I53" s="213">
        <f t="shared" si="5"/>
        <v>16.702400000000001</v>
      </c>
      <c r="J53" s="213">
        <f t="shared" si="3"/>
        <v>5.0107200000000001</v>
      </c>
      <c r="K53" s="220">
        <f t="shared" si="4"/>
        <v>21.71312</v>
      </c>
    </row>
    <row r="54" spans="1:11" ht="31.5">
      <c r="A54" s="234" t="s">
        <v>886</v>
      </c>
      <c r="B54" s="233" t="s">
        <v>887</v>
      </c>
      <c r="C54" s="216">
        <v>8</v>
      </c>
      <c r="D54" s="213">
        <f t="shared" si="0"/>
        <v>12.72</v>
      </c>
      <c r="E54" s="213">
        <f t="shared" si="1"/>
        <v>2.7984</v>
      </c>
      <c r="F54" s="213"/>
      <c r="G54" s="213">
        <f t="shared" si="6"/>
        <v>1.28</v>
      </c>
      <c r="H54" s="213">
        <f t="shared" si="2"/>
        <v>4.7064000000000004</v>
      </c>
      <c r="I54" s="213">
        <f t="shared" si="5"/>
        <v>21.504800000000003</v>
      </c>
      <c r="J54" s="213">
        <f t="shared" si="3"/>
        <v>6.4514400000000007</v>
      </c>
      <c r="K54" s="220">
        <f t="shared" si="4"/>
        <v>27.956240000000005</v>
      </c>
    </row>
    <row r="55" spans="1:11" ht="31.5">
      <c r="A55" s="234" t="s">
        <v>888</v>
      </c>
      <c r="B55" s="233" t="s">
        <v>889</v>
      </c>
      <c r="C55" s="216">
        <v>8</v>
      </c>
      <c r="D55" s="213">
        <f t="shared" si="0"/>
        <v>12.72</v>
      </c>
      <c r="E55" s="213">
        <f t="shared" si="1"/>
        <v>2.7984</v>
      </c>
      <c r="F55" s="213"/>
      <c r="G55" s="213">
        <f t="shared" si="6"/>
        <v>1.28</v>
      </c>
      <c r="H55" s="213">
        <f t="shared" si="2"/>
        <v>4.7064000000000004</v>
      </c>
      <c r="I55" s="213">
        <f t="shared" si="5"/>
        <v>21.504800000000003</v>
      </c>
      <c r="J55" s="213">
        <f t="shared" si="3"/>
        <v>6.4514400000000007</v>
      </c>
      <c r="K55" s="220">
        <f t="shared" si="4"/>
        <v>27.956240000000005</v>
      </c>
    </row>
    <row r="56" spans="1:11" ht="15.75">
      <c r="A56" s="234" t="s">
        <v>890</v>
      </c>
      <c r="B56" s="233" t="s">
        <v>891</v>
      </c>
      <c r="C56" s="216">
        <v>12</v>
      </c>
      <c r="D56" s="213">
        <f t="shared" si="0"/>
        <v>19.080000000000002</v>
      </c>
      <c r="E56" s="213">
        <f t="shared" si="1"/>
        <v>4.1976000000000004</v>
      </c>
      <c r="F56" s="213">
        <v>3.15</v>
      </c>
      <c r="G56" s="213">
        <f t="shared" si="6"/>
        <v>1.92</v>
      </c>
      <c r="H56" s="213">
        <f t="shared" si="2"/>
        <v>7.0596000000000005</v>
      </c>
      <c r="I56" s="213">
        <f t="shared" si="5"/>
        <v>35.407199999999996</v>
      </c>
      <c r="J56" s="213">
        <f t="shared" si="3"/>
        <v>10.622159999999999</v>
      </c>
      <c r="K56" s="220">
        <f t="shared" si="4"/>
        <v>46.029359999999997</v>
      </c>
    </row>
    <row r="57" spans="1:11" ht="31.5">
      <c r="A57" s="234" t="s">
        <v>892</v>
      </c>
      <c r="B57" s="233" t="s">
        <v>893</v>
      </c>
      <c r="C57" s="216">
        <v>5</v>
      </c>
      <c r="D57" s="213">
        <f t="shared" si="0"/>
        <v>7.95</v>
      </c>
      <c r="E57" s="213">
        <f>D57*22%</f>
        <v>1.7490000000000001</v>
      </c>
      <c r="F57" s="213">
        <v>0.01</v>
      </c>
      <c r="G57" s="213">
        <f t="shared" si="6"/>
        <v>0.8</v>
      </c>
      <c r="H57" s="213">
        <f>$H$4*D57</f>
        <v>2.9415</v>
      </c>
      <c r="I57" s="213">
        <f t="shared" si="5"/>
        <v>13.4505</v>
      </c>
      <c r="J57" s="213">
        <f t="shared" si="3"/>
        <v>4.0351499999999998</v>
      </c>
      <c r="K57" s="220">
        <f>I57+J57</f>
        <v>17.48565</v>
      </c>
    </row>
    <row r="58" spans="1:11" ht="15.75">
      <c r="A58" s="208" t="s">
        <v>251</v>
      </c>
      <c r="B58" s="212" t="s">
        <v>667</v>
      </c>
      <c r="C58" s="556"/>
      <c r="D58" s="552">
        <v>2.0499999999999998</v>
      </c>
      <c r="E58" s="553"/>
      <c r="F58" s="553"/>
      <c r="G58" s="554">
        <v>0.06</v>
      </c>
      <c r="H58" s="554">
        <v>0.37</v>
      </c>
      <c r="I58" s="555"/>
      <c r="J58" s="554">
        <v>0.3</v>
      </c>
      <c r="K58" s="557"/>
    </row>
    <row r="59" spans="1:11">
      <c r="A59" s="218" t="s">
        <v>668</v>
      </c>
      <c r="B59" s="216" t="s">
        <v>669</v>
      </c>
      <c r="C59" s="219">
        <v>20</v>
      </c>
      <c r="D59" s="214">
        <f>C59*$D$58</f>
        <v>41</v>
      </c>
      <c r="E59" s="214">
        <f>D59*22%</f>
        <v>9.02</v>
      </c>
      <c r="F59" s="213">
        <v>6.76</v>
      </c>
      <c r="G59" s="213"/>
      <c r="H59" s="214">
        <f>$H$58*D59</f>
        <v>15.17</v>
      </c>
      <c r="I59" s="214">
        <f>D59+F59+G59+H59+E59</f>
        <v>71.95</v>
      </c>
      <c r="J59" s="214">
        <f>I59*0.3</f>
        <v>21.585000000000001</v>
      </c>
      <c r="K59" s="220">
        <f t="shared" ref="K59:K118" si="7">I59+J59</f>
        <v>93.534999999999997</v>
      </c>
    </row>
    <row r="60" spans="1:11">
      <c r="A60" s="218" t="s">
        <v>670</v>
      </c>
      <c r="B60" s="216" t="s">
        <v>671</v>
      </c>
      <c r="C60" s="216">
        <v>10</v>
      </c>
      <c r="D60" s="214">
        <f t="shared" ref="D60:D118" si="8">C60*$D$58</f>
        <v>20.5</v>
      </c>
      <c r="E60" s="214">
        <f t="shared" ref="E60:E118" si="9">D60*22%</f>
        <v>4.51</v>
      </c>
      <c r="F60" s="213"/>
      <c r="G60" s="213"/>
      <c r="H60" s="214">
        <f t="shared" ref="H60:H118" si="10">$H$58*D60</f>
        <v>7.585</v>
      </c>
      <c r="I60" s="214">
        <f>D60+F60+G60+H60+E60</f>
        <v>32.594999999999999</v>
      </c>
      <c r="J60" s="214">
        <f t="shared" ref="J60:J118" si="11">I60*0.3</f>
        <v>9.7784999999999993</v>
      </c>
      <c r="K60" s="220">
        <f t="shared" si="7"/>
        <v>42.3735</v>
      </c>
    </row>
    <row r="61" spans="1:11" ht="30">
      <c r="A61" s="218" t="s">
        <v>672</v>
      </c>
      <c r="B61" s="216" t="s">
        <v>673</v>
      </c>
      <c r="C61" s="216">
        <v>10</v>
      </c>
      <c r="D61" s="214">
        <f t="shared" si="8"/>
        <v>20.5</v>
      </c>
      <c r="E61" s="214">
        <f t="shared" si="9"/>
        <v>4.51</v>
      </c>
      <c r="F61" s="213"/>
      <c r="G61" s="213"/>
      <c r="H61" s="214">
        <f t="shared" si="10"/>
        <v>7.585</v>
      </c>
      <c r="I61" s="214">
        <f>D61+F61+G61+H61+E61</f>
        <v>32.594999999999999</v>
      </c>
      <c r="J61" s="214">
        <f t="shared" si="11"/>
        <v>9.7784999999999993</v>
      </c>
      <c r="K61" s="220">
        <f t="shared" si="7"/>
        <v>42.3735</v>
      </c>
    </row>
    <row r="62" spans="1:11">
      <c r="A62" s="218" t="s">
        <v>674</v>
      </c>
      <c r="B62" s="216" t="s">
        <v>675</v>
      </c>
      <c r="C62" s="219">
        <v>20</v>
      </c>
      <c r="D62" s="214">
        <f t="shared" si="8"/>
        <v>41</v>
      </c>
      <c r="E62" s="214">
        <f t="shared" si="9"/>
        <v>9.02</v>
      </c>
      <c r="F62" s="213">
        <v>6.76</v>
      </c>
      <c r="G62" s="213"/>
      <c r="H62" s="214">
        <f t="shared" si="10"/>
        <v>15.17</v>
      </c>
      <c r="I62" s="214">
        <f t="shared" ref="I62:I118" si="12">D62+F62+G62+H62+E62</f>
        <v>71.95</v>
      </c>
      <c r="J62" s="214">
        <f t="shared" si="11"/>
        <v>21.585000000000001</v>
      </c>
      <c r="K62" s="220">
        <f t="shared" si="7"/>
        <v>93.534999999999997</v>
      </c>
    </row>
    <row r="63" spans="1:11">
      <c r="A63" s="218" t="s">
        <v>676</v>
      </c>
      <c r="B63" s="216" t="s">
        <v>677</v>
      </c>
      <c r="C63" s="216">
        <v>10</v>
      </c>
      <c r="D63" s="214">
        <f t="shared" si="8"/>
        <v>20.5</v>
      </c>
      <c r="E63" s="214">
        <f t="shared" si="9"/>
        <v>4.51</v>
      </c>
      <c r="F63" s="213">
        <v>6.76</v>
      </c>
      <c r="G63" s="213"/>
      <c r="H63" s="214">
        <f t="shared" si="10"/>
        <v>7.585</v>
      </c>
      <c r="I63" s="214">
        <f>D63+F63+G63+H63+E63</f>
        <v>39.354999999999997</v>
      </c>
      <c r="J63" s="214">
        <f t="shared" si="11"/>
        <v>11.806499999999998</v>
      </c>
      <c r="K63" s="220">
        <f t="shared" si="7"/>
        <v>51.161499999999997</v>
      </c>
    </row>
    <row r="64" spans="1:11">
      <c r="A64" s="218" t="s">
        <v>678</v>
      </c>
      <c r="B64" s="221" t="s">
        <v>679</v>
      </c>
      <c r="C64" s="216">
        <v>20</v>
      </c>
      <c r="D64" s="214">
        <f t="shared" si="8"/>
        <v>41</v>
      </c>
      <c r="E64" s="214">
        <f t="shared" si="9"/>
        <v>9.02</v>
      </c>
      <c r="F64" s="213"/>
      <c r="G64" s="213"/>
      <c r="H64" s="214">
        <f t="shared" si="10"/>
        <v>15.17</v>
      </c>
      <c r="I64" s="214">
        <f t="shared" si="12"/>
        <v>65.19</v>
      </c>
      <c r="J64" s="214">
        <f t="shared" si="11"/>
        <v>19.556999999999999</v>
      </c>
      <c r="K64" s="220">
        <f t="shared" si="7"/>
        <v>84.747</v>
      </c>
    </row>
    <row r="65" spans="1:11">
      <c r="A65" s="218" t="s">
        <v>680</v>
      </c>
      <c r="B65" s="221" t="s">
        <v>681</v>
      </c>
      <c r="C65" s="216">
        <v>10</v>
      </c>
      <c r="D65" s="214">
        <f t="shared" si="8"/>
        <v>20.5</v>
      </c>
      <c r="E65" s="214">
        <f t="shared" si="9"/>
        <v>4.51</v>
      </c>
      <c r="F65" s="213"/>
      <c r="G65" s="213"/>
      <c r="H65" s="214">
        <f t="shared" si="10"/>
        <v>7.585</v>
      </c>
      <c r="I65" s="214">
        <f t="shared" si="12"/>
        <v>32.594999999999999</v>
      </c>
      <c r="J65" s="214">
        <f t="shared" si="11"/>
        <v>9.7784999999999993</v>
      </c>
      <c r="K65" s="220">
        <f t="shared" si="7"/>
        <v>42.3735</v>
      </c>
    </row>
    <row r="66" spans="1:11">
      <c r="A66" s="218" t="s">
        <v>682</v>
      </c>
      <c r="B66" s="216" t="s">
        <v>683</v>
      </c>
      <c r="C66" s="216">
        <v>5</v>
      </c>
      <c r="D66" s="214">
        <f t="shared" si="8"/>
        <v>10.25</v>
      </c>
      <c r="E66" s="214">
        <f t="shared" si="9"/>
        <v>2.2549999999999999</v>
      </c>
      <c r="F66" s="213"/>
      <c r="G66" s="213"/>
      <c r="H66" s="214">
        <f t="shared" si="10"/>
        <v>3.7925</v>
      </c>
      <c r="I66" s="214">
        <f t="shared" si="12"/>
        <v>16.297499999999999</v>
      </c>
      <c r="J66" s="214">
        <f t="shared" si="11"/>
        <v>4.8892499999999997</v>
      </c>
      <c r="K66" s="220">
        <f t="shared" si="7"/>
        <v>21.18675</v>
      </c>
    </row>
    <row r="67" spans="1:11" ht="30">
      <c r="A67" s="218" t="s">
        <v>684</v>
      </c>
      <c r="B67" s="221" t="s">
        <v>685</v>
      </c>
      <c r="C67" s="216">
        <v>20</v>
      </c>
      <c r="D67" s="214">
        <f t="shared" si="8"/>
        <v>41</v>
      </c>
      <c r="E67" s="214">
        <f t="shared" si="9"/>
        <v>9.02</v>
      </c>
      <c r="F67" s="213"/>
      <c r="G67" s="213"/>
      <c r="H67" s="214">
        <f t="shared" si="10"/>
        <v>15.17</v>
      </c>
      <c r="I67" s="214">
        <f>D67+F67+G67+H67+E67</f>
        <v>65.19</v>
      </c>
      <c r="J67" s="214">
        <f t="shared" si="11"/>
        <v>19.556999999999999</v>
      </c>
      <c r="K67" s="220">
        <f t="shared" si="7"/>
        <v>84.747</v>
      </c>
    </row>
    <row r="68" spans="1:11">
      <c r="A68" s="218" t="s">
        <v>686</v>
      </c>
      <c r="B68" s="221" t="s">
        <v>687</v>
      </c>
      <c r="C68" s="222">
        <v>20</v>
      </c>
      <c r="D68" s="214">
        <f t="shared" si="8"/>
        <v>41</v>
      </c>
      <c r="E68" s="214">
        <f t="shared" si="9"/>
        <v>9.02</v>
      </c>
      <c r="F68" s="213">
        <v>7.77</v>
      </c>
      <c r="G68" s="213">
        <f>$G$58*C68</f>
        <v>1.2</v>
      </c>
      <c r="H68" s="214">
        <f t="shared" si="10"/>
        <v>15.17</v>
      </c>
      <c r="I68" s="214">
        <f t="shared" si="12"/>
        <v>74.16</v>
      </c>
      <c r="J68" s="214">
        <f t="shared" si="11"/>
        <v>22.247999999999998</v>
      </c>
      <c r="K68" s="220">
        <f t="shared" si="7"/>
        <v>96.407999999999987</v>
      </c>
    </row>
    <row r="69" spans="1:11">
      <c r="A69" s="218" t="s">
        <v>688</v>
      </c>
      <c r="B69" s="221" t="s">
        <v>689</v>
      </c>
      <c r="C69" s="222">
        <v>10</v>
      </c>
      <c r="D69" s="214">
        <f t="shared" si="8"/>
        <v>20.5</v>
      </c>
      <c r="E69" s="214">
        <f t="shared" si="9"/>
        <v>4.51</v>
      </c>
      <c r="F69" s="213">
        <v>1.68</v>
      </c>
      <c r="G69" s="213">
        <f t="shared" ref="G69:G114" si="13">$G$58*C69</f>
        <v>0.6</v>
      </c>
      <c r="H69" s="214">
        <f t="shared" si="10"/>
        <v>7.585</v>
      </c>
      <c r="I69" s="214">
        <f t="shared" si="12"/>
        <v>34.875</v>
      </c>
      <c r="J69" s="214">
        <f t="shared" si="11"/>
        <v>10.4625</v>
      </c>
      <c r="K69" s="220">
        <f t="shared" si="7"/>
        <v>45.337499999999999</v>
      </c>
    </row>
    <row r="70" spans="1:11">
      <c r="A70" s="218" t="s">
        <v>690</v>
      </c>
      <c r="B70" s="221" t="s">
        <v>691</v>
      </c>
      <c r="C70" s="216">
        <v>10</v>
      </c>
      <c r="D70" s="214">
        <f t="shared" si="8"/>
        <v>20.5</v>
      </c>
      <c r="E70" s="214">
        <f t="shared" si="9"/>
        <v>4.51</v>
      </c>
      <c r="F70" s="213">
        <v>6.23</v>
      </c>
      <c r="G70" s="213">
        <f t="shared" si="13"/>
        <v>0.6</v>
      </c>
      <c r="H70" s="214">
        <f t="shared" si="10"/>
        <v>7.585</v>
      </c>
      <c r="I70" s="214">
        <f t="shared" si="12"/>
        <v>39.424999999999997</v>
      </c>
      <c r="J70" s="214">
        <f t="shared" si="11"/>
        <v>11.827499999999999</v>
      </c>
      <c r="K70" s="220">
        <f t="shared" si="7"/>
        <v>51.252499999999998</v>
      </c>
    </row>
    <row r="71" spans="1:11">
      <c r="A71" s="218" t="s">
        <v>692</v>
      </c>
      <c r="B71" s="221" t="s">
        <v>693</v>
      </c>
      <c r="C71" s="216">
        <v>20</v>
      </c>
      <c r="D71" s="214">
        <f t="shared" si="8"/>
        <v>41</v>
      </c>
      <c r="E71" s="214">
        <f t="shared" si="9"/>
        <v>9.02</v>
      </c>
      <c r="F71" s="213">
        <v>1.68</v>
      </c>
      <c r="G71" s="213">
        <f t="shared" si="13"/>
        <v>1.2</v>
      </c>
      <c r="H71" s="214">
        <f t="shared" si="10"/>
        <v>15.17</v>
      </c>
      <c r="I71" s="214">
        <f t="shared" si="12"/>
        <v>68.070000000000007</v>
      </c>
      <c r="J71" s="214">
        <f t="shared" si="11"/>
        <v>20.421000000000003</v>
      </c>
      <c r="K71" s="220">
        <f t="shared" si="7"/>
        <v>88.491000000000014</v>
      </c>
    </row>
    <row r="72" spans="1:11">
      <c r="A72" s="218" t="s">
        <v>694</v>
      </c>
      <c r="B72" s="221" t="s">
        <v>695</v>
      </c>
      <c r="C72" s="216">
        <v>20</v>
      </c>
      <c r="D72" s="214">
        <f t="shared" si="8"/>
        <v>41</v>
      </c>
      <c r="E72" s="214">
        <f t="shared" si="9"/>
        <v>9.02</v>
      </c>
      <c r="F72" s="213">
        <v>6.23</v>
      </c>
      <c r="G72" s="213">
        <f t="shared" si="13"/>
        <v>1.2</v>
      </c>
      <c r="H72" s="214">
        <f t="shared" si="10"/>
        <v>15.17</v>
      </c>
      <c r="I72" s="214">
        <f t="shared" si="12"/>
        <v>72.62</v>
      </c>
      <c r="J72" s="214">
        <f t="shared" si="11"/>
        <v>21.786000000000001</v>
      </c>
      <c r="K72" s="220">
        <f t="shared" si="7"/>
        <v>94.406000000000006</v>
      </c>
    </row>
    <row r="73" spans="1:11">
      <c r="A73" s="218" t="s">
        <v>696</v>
      </c>
      <c r="B73" s="221" t="s">
        <v>697</v>
      </c>
      <c r="C73" s="216">
        <v>20</v>
      </c>
      <c r="D73" s="214">
        <f t="shared" si="8"/>
        <v>41</v>
      </c>
      <c r="E73" s="214">
        <f t="shared" si="9"/>
        <v>9.02</v>
      </c>
      <c r="F73" s="213"/>
      <c r="G73" s="213">
        <f t="shared" si="13"/>
        <v>1.2</v>
      </c>
      <c r="H73" s="214">
        <f t="shared" si="10"/>
        <v>15.17</v>
      </c>
      <c r="I73" s="214">
        <f t="shared" si="12"/>
        <v>66.39</v>
      </c>
      <c r="J73" s="214">
        <f t="shared" si="11"/>
        <v>19.916999999999998</v>
      </c>
      <c r="K73" s="220">
        <f t="shared" si="7"/>
        <v>86.307000000000002</v>
      </c>
    </row>
    <row r="74" spans="1:11">
      <c r="A74" s="218" t="s">
        <v>698</v>
      </c>
      <c r="B74" s="221" t="s">
        <v>699</v>
      </c>
      <c r="C74" s="216">
        <v>25</v>
      </c>
      <c r="D74" s="214">
        <f t="shared" si="8"/>
        <v>51.249999999999993</v>
      </c>
      <c r="E74" s="214">
        <f t="shared" si="9"/>
        <v>11.274999999999999</v>
      </c>
      <c r="F74" s="213">
        <v>120.06</v>
      </c>
      <c r="G74" s="213">
        <f t="shared" si="13"/>
        <v>1.5</v>
      </c>
      <c r="H74" s="214">
        <f t="shared" si="10"/>
        <v>18.962499999999999</v>
      </c>
      <c r="I74" s="214">
        <f t="shared" si="12"/>
        <v>203.04750000000001</v>
      </c>
      <c r="J74" s="214">
        <f t="shared" si="11"/>
        <v>60.914250000000003</v>
      </c>
      <c r="K74" s="220">
        <f t="shared" si="7"/>
        <v>263.96174999999999</v>
      </c>
    </row>
    <row r="75" spans="1:11" ht="30">
      <c r="A75" s="218" t="s">
        <v>700</v>
      </c>
      <c r="B75" s="221" t="s">
        <v>701</v>
      </c>
      <c r="C75" s="216">
        <v>25</v>
      </c>
      <c r="D75" s="214">
        <f t="shared" si="8"/>
        <v>51.249999999999993</v>
      </c>
      <c r="E75" s="214">
        <f t="shared" si="9"/>
        <v>11.274999999999999</v>
      </c>
      <c r="F75" s="213">
        <v>206.06</v>
      </c>
      <c r="G75" s="213">
        <f t="shared" si="13"/>
        <v>1.5</v>
      </c>
      <c r="H75" s="214">
        <f t="shared" si="10"/>
        <v>18.962499999999999</v>
      </c>
      <c r="I75" s="214">
        <f t="shared" si="12"/>
        <v>289.04749999999996</v>
      </c>
      <c r="J75" s="214">
        <f t="shared" si="11"/>
        <v>86.714249999999979</v>
      </c>
      <c r="K75" s="220">
        <f t="shared" si="7"/>
        <v>375.76174999999995</v>
      </c>
    </row>
    <row r="76" spans="1:11" ht="30">
      <c r="A76" s="218" t="s">
        <v>702</v>
      </c>
      <c r="B76" s="221" t="s">
        <v>703</v>
      </c>
      <c r="C76" s="216">
        <v>25</v>
      </c>
      <c r="D76" s="214">
        <f t="shared" si="8"/>
        <v>51.249999999999993</v>
      </c>
      <c r="E76" s="214">
        <f t="shared" si="9"/>
        <v>11.274999999999999</v>
      </c>
      <c r="F76" s="213">
        <v>292.06</v>
      </c>
      <c r="G76" s="213">
        <f t="shared" si="13"/>
        <v>1.5</v>
      </c>
      <c r="H76" s="214">
        <f t="shared" si="10"/>
        <v>18.962499999999999</v>
      </c>
      <c r="I76" s="214">
        <f t="shared" si="12"/>
        <v>375.04749999999996</v>
      </c>
      <c r="J76" s="214">
        <f t="shared" si="11"/>
        <v>112.51424999999999</v>
      </c>
      <c r="K76" s="220">
        <f t="shared" si="7"/>
        <v>487.56174999999996</v>
      </c>
    </row>
    <row r="77" spans="1:11" ht="30">
      <c r="A77" s="218" t="s">
        <v>704</v>
      </c>
      <c r="B77" s="221" t="s">
        <v>705</v>
      </c>
      <c r="C77" s="216">
        <v>25</v>
      </c>
      <c r="D77" s="214">
        <f t="shared" si="8"/>
        <v>51.249999999999993</v>
      </c>
      <c r="E77" s="214">
        <f t="shared" si="9"/>
        <v>11.274999999999999</v>
      </c>
      <c r="F77" s="213">
        <v>270.06</v>
      </c>
      <c r="G77" s="213">
        <f t="shared" si="13"/>
        <v>1.5</v>
      </c>
      <c r="H77" s="214">
        <f t="shared" si="10"/>
        <v>18.962499999999999</v>
      </c>
      <c r="I77" s="214">
        <f t="shared" si="12"/>
        <v>353.04749999999996</v>
      </c>
      <c r="J77" s="214">
        <f t="shared" si="11"/>
        <v>105.91424999999998</v>
      </c>
      <c r="K77" s="220">
        <f t="shared" si="7"/>
        <v>458.96174999999994</v>
      </c>
    </row>
    <row r="78" spans="1:11" ht="30">
      <c r="A78" s="218" t="s">
        <v>706</v>
      </c>
      <c r="B78" s="221" t="s">
        <v>707</v>
      </c>
      <c r="C78" s="216">
        <v>25</v>
      </c>
      <c r="D78" s="214">
        <f t="shared" si="8"/>
        <v>51.249999999999993</v>
      </c>
      <c r="E78" s="214">
        <f t="shared" si="9"/>
        <v>11.274999999999999</v>
      </c>
      <c r="F78" s="213">
        <v>250.06</v>
      </c>
      <c r="G78" s="213">
        <f t="shared" si="13"/>
        <v>1.5</v>
      </c>
      <c r="H78" s="214">
        <f t="shared" si="10"/>
        <v>18.962499999999999</v>
      </c>
      <c r="I78" s="214">
        <f>D78+F78+G78+H78+E78</f>
        <v>333.04749999999996</v>
      </c>
      <c r="J78" s="214">
        <f t="shared" si="11"/>
        <v>99.914249999999981</v>
      </c>
      <c r="K78" s="220">
        <f>I78+J78</f>
        <v>432.96174999999994</v>
      </c>
    </row>
    <row r="79" spans="1:11">
      <c r="A79" s="218" t="s">
        <v>708</v>
      </c>
      <c r="B79" s="221" t="s">
        <v>709</v>
      </c>
      <c r="C79" s="223">
        <v>20</v>
      </c>
      <c r="D79" s="214">
        <f t="shared" si="8"/>
        <v>41</v>
      </c>
      <c r="E79" s="214">
        <f t="shared" si="9"/>
        <v>9.02</v>
      </c>
      <c r="F79" s="223">
        <v>5.47</v>
      </c>
      <c r="G79" s="213">
        <f t="shared" si="13"/>
        <v>1.2</v>
      </c>
      <c r="H79" s="214">
        <f t="shared" si="10"/>
        <v>15.17</v>
      </c>
      <c r="I79" s="214">
        <f t="shared" si="12"/>
        <v>71.86</v>
      </c>
      <c r="J79" s="214">
        <f t="shared" si="11"/>
        <v>21.558</v>
      </c>
      <c r="K79" s="220">
        <f t="shared" si="7"/>
        <v>93.418000000000006</v>
      </c>
    </row>
    <row r="80" spans="1:11" ht="30">
      <c r="A80" s="218" t="s">
        <v>710</v>
      </c>
      <c r="B80" s="221" t="s">
        <v>711</v>
      </c>
      <c r="C80" s="223">
        <v>20</v>
      </c>
      <c r="D80" s="214">
        <f t="shared" si="8"/>
        <v>41</v>
      </c>
      <c r="E80" s="214">
        <f t="shared" si="9"/>
        <v>9.02</v>
      </c>
      <c r="F80" s="223">
        <v>5.47</v>
      </c>
      <c r="G80" s="213">
        <f t="shared" si="13"/>
        <v>1.2</v>
      </c>
      <c r="H80" s="214">
        <f t="shared" si="10"/>
        <v>15.17</v>
      </c>
      <c r="I80" s="214">
        <f t="shared" si="12"/>
        <v>71.86</v>
      </c>
      <c r="J80" s="214">
        <f t="shared" si="11"/>
        <v>21.558</v>
      </c>
      <c r="K80" s="220">
        <f t="shared" si="7"/>
        <v>93.418000000000006</v>
      </c>
    </row>
    <row r="81" spans="1:11">
      <c r="A81" s="218" t="s">
        <v>712</v>
      </c>
      <c r="B81" s="221" t="s">
        <v>713</v>
      </c>
      <c r="C81" s="223">
        <v>30</v>
      </c>
      <c r="D81" s="214">
        <f t="shared" si="8"/>
        <v>61.499999999999993</v>
      </c>
      <c r="E81" s="214">
        <f t="shared" si="9"/>
        <v>13.53</v>
      </c>
      <c r="F81" s="223">
        <v>5.47</v>
      </c>
      <c r="G81" s="213">
        <f t="shared" si="13"/>
        <v>1.7999999999999998</v>
      </c>
      <c r="H81" s="214">
        <f t="shared" si="10"/>
        <v>22.754999999999995</v>
      </c>
      <c r="I81" s="214">
        <f t="shared" si="12"/>
        <v>105.05499999999999</v>
      </c>
      <c r="J81" s="214">
        <f t="shared" si="11"/>
        <v>31.516499999999997</v>
      </c>
      <c r="K81" s="220">
        <f t="shared" si="7"/>
        <v>136.57149999999999</v>
      </c>
    </row>
    <row r="82" spans="1:11" ht="30">
      <c r="A82" s="218" t="s">
        <v>714</v>
      </c>
      <c r="B82" s="221" t="s">
        <v>715</v>
      </c>
      <c r="C82" s="223">
        <v>20</v>
      </c>
      <c r="D82" s="214">
        <f t="shared" si="8"/>
        <v>41</v>
      </c>
      <c r="E82" s="214">
        <f t="shared" si="9"/>
        <v>9.02</v>
      </c>
      <c r="F82" s="223">
        <v>5.47</v>
      </c>
      <c r="G82" s="213">
        <f t="shared" si="13"/>
        <v>1.2</v>
      </c>
      <c r="H82" s="214">
        <f t="shared" si="10"/>
        <v>15.17</v>
      </c>
      <c r="I82" s="214">
        <f t="shared" si="12"/>
        <v>71.86</v>
      </c>
      <c r="J82" s="214">
        <f t="shared" si="11"/>
        <v>21.558</v>
      </c>
      <c r="K82" s="220">
        <f t="shared" si="7"/>
        <v>93.418000000000006</v>
      </c>
    </row>
    <row r="83" spans="1:11">
      <c r="A83" s="218" t="s">
        <v>716</v>
      </c>
      <c r="B83" s="221" t="s">
        <v>717</v>
      </c>
      <c r="C83" s="223">
        <v>20</v>
      </c>
      <c r="D83" s="214">
        <f t="shared" si="8"/>
        <v>41</v>
      </c>
      <c r="E83" s="214">
        <f t="shared" si="9"/>
        <v>9.02</v>
      </c>
      <c r="F83" s="223">
        <v>5.47</v>
      </c>
      <c r="G83" s="213">
        <f t="shared" si="13"/>
        <v>1.2</v>
      </c>
      <c r="H83" s="214">
        <f t="shared" si="10"/>
        <v>15.17</v>
      </c>
      <c r="I83" s="214">
        <f t="shared" si="12"/>
        <v>71.86</v>
      </c>
      <c r="J83" s="214">
        <f t="shared" si="11"/>
        <v>21.558</v>
      </c>
      <c r="K83" s="220">
        <f t="shared" si="7"/>
        <v>93.418000000000006</v>
      </c>
    </row>
    <row r="84" spans="1:11">
      <c r="A84" s="218" t="s">
        <v>718</v>
      </c>
      <c r="B84" s="221" t="s">
        <v>719</v>
      </c>
      <c r="C84" s="223">
        <v>20</v>
      </c>
      <c r="D84" s="214">
        <f t="shared" si="8"/>
        <v>41</v>
      </c>
      <c r="E84" s="214">
        <f t="shared" si="9"/>
        <v>9.02</v>
      </c>
      <c r="F84" s="223">
        <v>62.13</v>
      </c>
      <c r="G84" s="213">
        <f t="shared" si="13"/>
        <v>1.2</v>
      </c>
      <c r="H84" s="214">
        <f t="shared" si="10"/>
        <v>15.17</v>
      </c>
      <c r="I84" s="214">
        <f t="shared" si="12"/>
        <v>128.52000000000001</v>
      </c>
      <c r="J84" s="214">
        <f t="shared" si="11"/>
        <v>38.556000000000004</v>
      </c>
      <c r="K84" s="220">
        <f t="shared" si="7"/>
        <v>167.07600000000002</v>
      </c>
    </row>
    <row r="85" spans="1:11">
      <c r="A85" s="218" t="s">
        <v>720</v>
      </c>
      <c r="B85" s="221" t="s">
        <v>721</v>
      </c>
      <c r="C85" s="223">
        <v>20</v>
      </c>
      <c r="D85" s="214">
        <f t="shared" si="8"/>
        <v>41</v>
      </c>
      <c r="E85" s="214">
        <f t="shared" si="9"/>
        <v>9.02</v>
      </c>
      <c r="F85" s="223">
        <v>5.47</v>
      </c>
      <c r="G85" s="213">
        <f t="shared" si="13"/>
        <v>1.2</v>
      </c>
      <c r="H85" s="214">
        <f t="shared" si="10"/>
        <v>15.17</v>
      </c>
      <c r="I85" s="214">
        <f t="shared" si="12"/>
        <v>71.86</v>
      </c>
      <c r="J85" s="214">
        <f t="shared" si="11"/>
        <v>21.558</v>
      </c>
      <c r="K85" s="220">
        <f t="shared" si="7"/>
        <v>93.418000000000006</v>
      </c>
    </row>
    <row r="86" spans="1:11" ht="30">
      <c r="A86" s="218" t="s">
        <v>722</v>
      </c>
      <c r="B86" s="221" t="s">
        <v>723</v>
      </c>
      <c r="C86" s="223">
        <v>30</v>
      </c>
      <c r="D86" s="214">
        <f t="shared" si="8"/>
        <v>61.499999999999993</v>
      </c>
      <c r="E86" s="214">
        <f t="shared" si="9"/>
        <v>13.53</v>
      </c>
      <c r="F86" s="223"/>
      <c r="G86" s="213"/>
      <c r="H86" s="214">
        <f t="shared" si="10"/>
        <v>22.754999999999995</v>
      </c>
      <c r="I86" s="214">
        <f t="shared" si="12"/>
        <v>97.784999999999997</v>
      </c>
      <c r="J86" s="214">
        <f t="shared" si="11"/>
        <v>29.335499999999996</v>
      </c>
      <c r="K86" s="220">
        <f t="shared" si="7"/>
        <v>127.12049999999999</v>
      </c>
    </row>
    <row r="87" spans="1:11" ht="30">
      <c r="A87" s="218" t="s">
        <v>724</v>
      </c>
      <c r="B87" s="221" t="s">
        <v>725</v>
      </c>
      <c r="C87" s="223">
        <v>120</v>
      </c>
      <c r="D87" s="214">
        <f t="shared" si="8"/>
        <v>245.99999999999997</v>
      </c>
      <c r="E87" s="214">
        <f t="shared" si="9"/>
        <v>54.12</v>
      </c>
      <c r="F87" s="223">
        <v>1469.66</v>
      </c>
      <c r="G87" s="213">
        <f t="shared" si="13"/>
        <v>7.1999999999999993</v>
      </c>
      <c r="H87" s="214">
        <f t="shared" si="10"/>
        <v>91.019999999999982</v>
      </c>
      <c r="I87" s="214">
        <f t="shared" si="12"/>
        <v>1868</v>
      </c>
      <c r="J87" s="214">
        <f t="shared" si="11"/>
        <v>560.4</v>
      </c>
      <c r="K87" s="220">
        <f t="shared" si="7"/>
        <v>2428.4</v>
      </c>
    </row>
    <row r="88" spans="1:11" ht="30">
      <c r="A88" s="218" t="s">
        <v>726</v>
      </c>
      <c r="B88" s="221" t="s">
        <v>727</v>
      </c>
      <c r="C88" s="223">
        <v>120</v>
      </c>
      <c r="D88" s="214">
        <f t="shared" si="8"/>
        <v>245.99999999999997</v>
      </c>
      <c r="E88" s="214">
        <f t="shared" si="9"/>
        <v>54.12</v>
      </c>
      <c r="F88" s="223">
        <v>1496.4</v>
      </c>
      <c r="G88" s="213">
        <f t="shared" si="13"/>
        <v>7.1999999999999993</v>
      </c>
      <c r="H88" s="214">
        <f t="shared" si="10"/>
        <v>91.019999999999982</v>
      </c>
      <c r="I88" s="214">
        <f t="shared" si="12"/>
        <v>1894.74</v>
      </c>
      <c r="J88" s="214">
        <f t="shared" si="11"/>
        <v>568.42200000000003</v>
      </c>
      <c r="K88" s="220">
        <f t="shared" si="7"/>
        <v>2463.1620000000003</v>
      </c>
    </row>
    <row r="89" spans="1:11" ht="30">
      <c r="A89" s="218" t="s">
        <v>728</v>
      </c>
      <c r="B89" s="221" t="s">
        <v>729</v>
      </c>
      <c r="C89" s="223">
        <v>40</v>
      </c>
      <c r="D89" s="214">
        <f t="shared" si="8"/>
        <v>82</v>
      </c>
      <c r="E89" s="214">
        <f t="shared" si="9"/>
        <v>18.04</v>
      </c>
      <c r="F89" s="223">
        <v>429.92</v>
      </c>
      <c r="G89" s="213">
        <f t="shared" si="13"/>
        <v>2.4</v>
      </c>
      <c r="H89" s="214">
        <f t="shared" si="10"/>
        <v>30.34</v>
      </c>
      <c r="I89" s="214">
        <f t="shared" si="12"/>
        <v>562.70000000000005</v>
      </c>
      <c r="J89" s="214">
        <f t="shared" si="11"/>
        <v>168.81</v>
      </c>
      <c r="K89" s="220">
        <f t="shared" si="7"/>
        <v>731.51</v>
      </c>
    </row>
    <row r="90" spans="1:11" ht="30">
      <c r="A90" s="218" t="s">
        <v>730</v>
      </c>
      <c r="B90" s="221" t="s">
        <v>731</v>
      </c>
      <c r="C90" s="223">
        <v>40</v>
      </c>
      <c r="D90" s="214">
        <f t="shared" si="8"/>
        <v>82</v>
      </c>
      <c r="E90" s="214">
        <f t="shared" si="9"/>
        <v>18.04</v>
      </c>
      <c r="F90" s="223">
        <v>431.09</v>
      </c>
      <c r="G90" s="213">
        <f t="shared" si="13"/>
        <v>2.4</v>
      </c>
      <c r="H90" s="214">
        <f t="shared" si="10"/>
        <v>30.34</v>
      </c>
      <c r="I90" s="214">
        <f t="shared" si="12"/>
        <v>563.86999999999989</v>
      </c>
      <c r="J90" s="214">
        <f t="shared" si="11"/>
        <v>169.16099999999997</v>
      </c>
      <c r="K90" s="220">
        <f t="shared" si="7"/>
        <v>733.03099999999984</v>
      </c>
    </row>
    <row r="91" spans="1:11">
      <c r="A91" s="218" t="s">
        <v>732</v>
      </c>
      <c r="B91" s="221" t="s">
        <v>733</v>
      </c>
      <c r="C91" s="223">
        <v>20</v>
      </c>
      <c r="D91" s="214">
        <f t="shared" si="8"/>
        <v>41</v>
      </c>
      <c r="E91" s="214">
        <f t="shared" si="9"/>
        <v>9.02</v>
      </c>
      <c r="F91" s="195">
        <v>33.200000000000003</v>
      </c>
      <c r="G91" s="213">
        <f t="shared" si="13"/>
        <v>1.2</v>
      </c>
      <c r="H91" s="214">
        <f t="shared" si="10"/>
        <v>15.17</v>
      </c>
      <c r="I91" s="214">
        <f t="shared" si="12"/>
        <v>99.59</v>
      </c>
      <c r="J91" s="214">
        <f t="shared" si="11"/>
        <v>29.876999999999999</v>
      </c>
      <c r="K91" s="220">
        <f t="shared" si="7"/>
        <v>129.46700000000001</v>
      </c>
    </row>
    <row r="92" spans="1:11">
      <c r="A92" s="218" t="s">
        <v>734</v>
      </c>
      <c r="B92" s="221" t="s">
        <v>735</v>
      </c>
      <c r="C92" s="223">
        <v>10</v>
      </c>
      <c r="D92" s="214">
        <f t="shared" si="8"/>
        <v>20.5</v>
      </c>
      <c r="E92" s="214">
        <f t="shared" si="9"/>
        <v>4.51</v>
      </c>
      <c r="F92" s="195">
        <v>130</v>
      </c>
      <c r="G92" s="213">
        <f t="shared" si="13"/>
        <v>0.6</v>
      </c>
      <c r="H92" s="214">
        <f t="shared" si="10"/>
        <v>7.585</v>
      </c>
      <c r="I92" s="214">
        <f t="shared" si="12"/>
        <v>163.19499999999999</v>
      </c>
      <c r="J92" s="214">
        <f t="shared" si="11"/>
        <v>48.958499999999994</v>
      </c>
      <c r="K92" s="220">
        <f t="shared" si="7"/>
        <v>212.15349999999998</v>
      </c>
    </row>
    <row r="93" spans="1:11">
      <c r="A93" s="218" t="s">
        <v>736</v>
      </c>
      <c r="B93" s="221" t="s">
        <v>737</v>
      </c>
      <c r="C93" s="223">
        <v>10</v>
      </c>
      <c r="D93" s="214">
        <f t="shared" si="8"/>
        <v>20.5</v>
      </c>
      <c r="E93" s="214">
        <f t="shared" si="9"/>
        <v>4.51</v>
      </c>
      <c r="F93" s="195">
        <v>190</v>
      </c>
      <c r="G93" s="213">
        <f t="shared" si="13"/>
        <v>0.6</v>
      </c>
      <c r="H93" s="214">
        <f t="shared" si="10"/>
        <v>7.585</v>
      </c>
      <c r="I93" s="214">
        <f t="shared" si="12"/>
        <v>223.19499999999999</v>
      </c>
      <c r="J93" s="214">
        <f t="shared" si="11"/>
        <v>66.958500000000001</v>
      </c>
      <c r="K93" s="220">
        <f t="shared" si="7"/>
        <v>290.15350000000001</v>
      </c>
    </row>
    <row r="94" spans="1:11">
      <c r="A94" s="218" t="s">
        <v>738</v>
      </c>
      <c r="B94" s="221" t="s">
        <v>739</v>
      </c>
      <c r="C94" s="223">
        <v>10</v>
      </c>
      <c r="D94" s="214">
        <f t="shared" si="8"/>
        <v>20.5</v>
      </c>
      <c r="E94" s="214">
        <f t="shared" si="9"/>
        <v>4.51</v>
      </c>
      <c r="F94" s="195">
        <v>225</v>
      </c>
      <c r="G94" s="213">
        <f t="shared" si="13"/>
        <v>0.6</v>
      </c>
      <c r="H94" s="214">
        <f t="shared" si="10"/>
        <v>7.585</v>
      </c>
      <c r="I94" s="214">
        <f t="shared" si="12"/>
        <v>258.19499999999999</v>
      </c>
      <c r="J94" s="214">
        <f t="shared" si="11"/>
        <v>77.458500000000001</v>
      </c>
      <c r="K94" s="220">
        <f t="shared" si="7"/>
        <v>335.65350000000001</v>
      </c>
    </row>
    <row r="95" spans="1:11">
      <c r="A95" s="218" t="s">
        <v>740</v>
      </c>
      <c r="B95" s="221" t="s">
        <v>741</v>
      </c>
      <c r="C95" s="223">
        <v>10</v>
      </c>
      <c r="D95" s="214">
        <f t="shared" si="8"/>
        <v>20.5</v>
      </c>
      <c r="E95" s="214">
        <f>D95*22%</f>
        <v>4.51</v>
      </c>
      <c r="F95" s="195">
        <v>120</v>
      </c>
      <c r="G95" s="213">
        <f t="shared" si="13"/>
        <v>0.6</v>
      </c>
      <c r="H95" s="214">
        <f t="shared" si="10"/>
        <v>7.585</v>
      </c>
      <c r="I95" s="214">
        <f>D95+F95+G95+H95+E95</f>
        <v>153.19499999999999</v>
      </c>
      <c r="J95" s="214">
        <f t="shared" si="11"/>
        <v>45.958499999999994</v>
      </c>
      <c r="K95" s="220">
        <f>I95+J95</f>
        <v>199.15349999999998</v>
      </c>
    </row>
    <row r="96" spans="1:11">
      <c r="A96" s="218" t="s">
        <v>742</v>
      </c>
      <c r="B96" s="221" t="s">
        <v>743</v>
      </c>
      <c r="C96" s="223">
        <v>10</v>
      </c>
      <c r="D96" s="214">
        <f t="shared" si="8"/>
        <v>20.5</v>
      </c>
      <c r="E96" s="214">
        <f>D96*22%</f>
        <v>4.51</v>
      </c>
      <c r="F96" s="195">
        <v>60</v>
      </c>
      <c r="G96" s="213">
        <f t="shared" si="13"/>
        <v>0.6</v>
      </c>
      <c r="H96" s="214">
        <f t="shared" si="10"/>
        <v>7.585</v>
      </c>
      <c r="I96" s="214">
        <f>D96+F96+G96+H96+E96</f>
        <v>93.194999999999993</v>
      </c>
      <c r="J96" s="214">
        <f t="shared" si="11"/>
        <v>27.958499999999997</v>
      </c>
      <c r="K96" s="220">
        <f>I96+J96</f>
        <v>121.15349999999999</v>
      </c>
    </row>
    <row r="97" spans="1:11">
      <c r="A97" s="218" t="s">
        <v>744</v>
      </c>
      <c r="B97" s="221" t="s">
        <v>745</v>
      </c>
      <c r="C97" s="223">
        <v>10</v>
      </c>
      <c r="D97" s="214">
        <f t="shared" si="8"/>
        <v>20.5</v>
      </c>
      <c r="E97" s="214">
        <f t="shared" si="9"/>
        <v>4.51</v>
      </c>
      <c r="F97" s="195">
        <v>229</v>
      </c>
      <c r="G97" s="213">
        <f t="shared" si="13"/>
        <v>0.6</v>
      </c>
      <c r="H97" s="214">
        <f t="shared" si="10"/>
        <v>7.585</v>
      </c>
      <c r="I97" s="214">
        <f t="shared" si="12"/>
        <v>262.19499999999999</v>
      </c>
      <c r="J97" s="214">
        <f t="shared" si="11"/>
        <v>78.658499999999989</v>
      </c>
      <c r="K97" s="220">
        <f t="shared" si="7"/>
        <v>340.8535</v>
      </c>
    </row>
    <row r="98" spans="1:11">
      <c r="A98" s="218" t="s">
        <v>746</v>
      </c>
      <c r="B98" s="221" t="s">
        <v>747</v>
      </c>
      <c r="C98" s="223">
        <v>10</v>
      </c>
      <c r="D98" s="214">
        <f t="shared" si="8"/>
        <v>20.5</v>
      </c>
      <c r="E98" s="214">
        <f t="shared" si="9"/>
        <v>4.51</v>
      </c>
      <c r="F98" s="195">
        <v>160</v>
      </c>
      <c r="G98" s="213">
        <f t="shared" si="13"/>
        <v>0.6</v>
      </c>
      <c r="H98" s="214">
        <f t="shared" si="10"/>
        <v>7.585</v>
      </c>
      <c r="I98" s="214">
        <f t="shared" si="12"/>
        <v>193.19499999999999</v>
      </c>
      <c r="J98" s="214">
        <f t="shared" si="11"/>
        <v>57.958499999999994</v>
      </c>
      <c r="K98" s="220">
        <f t="shared" si="7"/>
        <v>251.15349999999998</v>
      </c>
    </row>
    <row r="99" spans="1:11">
      <c r="A99" s="218" t="s">
        <v>748</v>
      </c>
      <c r="B99" s="221" t="s">
        <v>749</v>
      </c>
      <c r="C99" s="223">
        <v>10</v>
      </c>
      <c r="D99" s="214">
        <f t="shared" si="8"/>
        <v>20.5</v>
      </c>
      <c r="E99" s="214">
        <f t="shared" si="9"/>
        <v>4.51</v>
      </c>
      <c r="F99" s="195">
        <v>37.5</v>
      </c>
      <c r="G99" s="213">
        <f t="shared" si="13"/>
        <v>0.6</v>
      </c>
      <c r="H99" s="214">
        <f t="shared" si="10"/>
        <v>7.585</v>
      </c>
      <c r="I99" s="214">
        <f t="shared" si="12"/>
        <v>70.695000000000007</v>
      </c>
      <c r="J99" s="214">
        <f t="shared" si="11"/>
        <v>21.208500000000001</v>
      </c>
      <c r="K99" s="220">
        <f t="shared" si="7"/>
        <v>91.903500000000008</v>
      </c>
    </row>
    <row r="100" spans="1:11">
      <c r="A100" s="218" t="s">
        <v>750</v>
      </c>
      <c r="B100" s="221" t="s">
        <v>751</v>
      </c>
      <c r="C100" s="223">
        <v>10</v>
      </c>
      <c r="D100" s="214">
        <f t="shared" si="8"/>
        <v>20.5</v>
      </c>
      <c r="E100" s="214">
        <f>D100*22%</f>
        <v>4.51</v>
      </c>
      <c r="F100" s="195">
        <v>33.799999999999997</v>
      </c>
      <c r="G100" s="213">
        <f t="shared" si="13"/>
        <v>0.6</v>
      </c>
      <c r="H100" s="214">
        <f t="shared" si="10"/>
        <v>7.585</v>
      </c>
      <c r="I100" s="214">
        <f>D100+F100+G100+H100+E100</f>
        <v>66.995000000000005</v>
      </c>
      <c r="J100" s="214">
        <f t="shared" si="11"/>
        <v>20.098500000000001</v>
      </c>
      <c r="K100" s="220">
        <f>I100+J100</f>
        <v>87.093500000000006</v>
      </c>
    </row>
    <row r="101" spans="1:11">
      <c r="A101" s="218" t="s">
        <v>752</v>
      </c>
      <c r="B101" s="221" t="s">
        <v>753</v>
      </c>
      <c r="C101" s="223">
        <v>10</v>
      </c>
      <c r="D101" s="214">
        <f t="shared" si="8"/>
        <v>20.5</v>
      </c>
      <c r="E101" s="214">
        <f>D101*22%</f>
        <v>4.51</v>
      </c>
      <c r="F101" s="195">
        <v>21.08</v>
      </c>
      <c r="G101" s="213">
        <f t="shared" si="13"/>
        <v>0.6</v>
      </c>
      <c r="H101" s="214">
        <f t="shared" si="10"/>
        <v>7.585</v>
      </c>
      <c r="I101" s="214">
        <f>D101+F101+G101+H101+E101</f>
        <v>54.274999999999999</v>
      </c>
      <c r="J101" s="214">
        <f t="shared" si="11"/>
        <v>16.282499999999999</v>
      </c>
      <c r="K101" s="220">
        <f>I101+J101</f>
        <v>70.557500000000005</v>
      </c>
    </row>
    <row r="102" spans="1:11">
      <c r="A102" s="218" t="s">
        <v>754</v>
      </c>
      <c r="B102" s="221" t="s">
        <v>755</v>
      </c>
      <c r="C102" s="223">
        <v>5</v>
      </c>
      <c r="D102" s="214">
        <f t="shared" si="8"/>
        <v>10.25</v>
      </c>
      <c r="E102" s="214">
        <f t="shared" si="9"/>
        <v>2.2549999999999999</v>
      </c>
      <c r="F102" s="195">
        <v>20.3</v>
      </c>
      <c r="G102" s="213">
        <f t="shared" si="13"/>
        <v>0.3</v>
      </c>
      <c r="H102" s="214">
        <f t="shared" si="10"/>
        <v>3.7925</v>
      </c>
      <c r="I102" s="214">
        <f t="shared" si="12"/>
        <v>36.897500000000001</v>
      </c>
      <c r="J102" s="214">
        <f t="shared" si="11"/>
        <v>11.06925</v>
      </c>
      <c r="K102" s="220">
        <f t="shared" si="7"/>
        <v>47.966750000000005</v>
      </c>
    </row>
    <row r="103" spans="1:11">
      <c r="A103" s="218" t="s">
        <v>756</v>
      </c>
      <c r="B103" s="221" t="s">
        <v>757</v>
      </c>
      <c r="C103" s="223">
        <v>10</v>
      </c>
      <c r="D103" s="214">
        <f t="shared" si="8"/>
        <v>20.5</v>
      </c>
      <c r="E103" s="214">
        <f t="shared" si="9"/>
        <v>4.51</v>
      </c>
      <c r="F103" s="195">
        <v>20</v>
      </c>
      <c r="G103" s="213">
        <f t="shared" si="13"/>
        <v>0.6</v>
      </c>
      <c r="H103" s="214">
        <f t="shared" si="10"/>
        <v>7.585</v>
      </c>
      <c r="I103" s="214">
        <f t="shared" si="12"/>
        <v>53.195</v>
      </c>
      <c r="J103" s="214">
        <f t="shared" si="11"/>
        <v>15.958499999999999</v>
      </c>
      <c r="K103" s="220">
        <f t="shared" si="7"/>
        <v>69.153499999999994</v>
      </c>
    </row>
    <row r="104" spans="1:11">
      <c r="A104" s="218" t="s">
        <v>758</v>
      </c>
      <c r="B104" s="221" t="s">
        <v>759</v>
      </c>
      <c r="C104" s="223">
        <v>10</v>
      </c>
      <c r="D104" s="214">
        <f t="shared" si="8"/>
        <v>20.5</v>
      </c>
      <c r="E104" s="214">
        <f>D104*22%</f>
        <v>4.51</v>
      </c>
      <c r="F104" s="195">
        <v>20</v>
      </c>
      <c r="G104" s="213">
        <f t="shared" si="13"/>
        <v>0.6</v>
      </c>
      <c r="H104" s="214">
        <f t="shared" si="10"/>
        <v>7.585</v>
      </c>
      <c r="I104" s="214">
        <f>D104+F104+G104+H104+E104</f>
        <v>53.195</v>
      </c>
      <c r="J104" s="214">
        <f t="shared" si="11"/>
        <v>15.958499999999999</v>
      </c>
      <c r="K104" s="220">
        <f>I104+J104</f>
        <v>69.153499999999994</v>
      </c>
    </row>
    <row r="105" spans="1:11" ht="30">
      <c r="A105" s="218" t="s">
        <v>760</v>
      </c>
      <c r="B105" s="221" t="s">
        <v>761</v>
      </c>
      <c r="C105" s="223">
        <v>20</v>
      </c>
      <c r="D105" s="214">
        <f t="shared" si="8"/>
        <v>41</v>
      </c>
      <c r="E105" s="214">
        <f t="shared" si="9"/>
        <v>9.02</v>
      </c>
      <c r="F105" s="195">
        <v>147.13999999999999</v>
      </c>
      <c r="G105" s="213">
        <f t="shared" si="13"/>
        <v>1.2</v>
      </c>
      <c r="H105" s="214">
        <f t="shared" si="10"/>
        <v>15.17</v>
      </c>
      <c r="I105" s="214">
        <f t="shared" si="12"/>
        <v>213.52999999999997</v>
      </c>
      <c r="J105" s="214">
        <f t="shared" si="11"/>
        <v>64.058999999999983</v>
      </c>
      <c r="K105" s="220">
        <f t="shared" si="7"/>
        <v>277.58899999999994</v>
      </c>
    </row>
    <row r="106" spans="1:11" ht="30">
      <c r="A106" s="218" t="s">
        <v>762</v>
      </c>
      <c r="B106" s="221" t="s">
        <v>763</v>
      </c>
      <c r="C106" s="223">
        <v>20</v>
      </c>
      <c r="D106" s="214">
        <f t="shared" si="8"/>
        <v>41</v>
      </c>
      <c r="E106" s="214">
        <f>D106*22%</f>
        <v>9.02</v>
      </c>
      <c r="F106" s="195">
        <v>149.56</v>
      </c>
      <c r="G106" s="213">
        <f t="shared" si="13"/>
        <v>1.2</v>
      </c>
      <c r="H106" s="214">
        <f t="shared" si="10"/>
        <v>15.17</v>
      </c>
      <c r="I106" s="214">
        <f>D106+F106+G106+H106+E106</f>
        <v>215.95</v>
      </c>
      <c r="J106" s="214">
        <f t="shared" si="11"/>
        <v>64.784999999999997</v>
      </c>
      <c r="K106" s="220">
        <f>I106+J106</f>
        <v>280.73500000000001</v>
      </c>
    </row>
    <row r="107" spans="1:11">
      <c r="A107" s="218" t="s">
        <v>764</v>
      </c>
      <c r="B107" s="221" t="s">
        <v>765</v>
      </c>
      <c r="C107" s="223">
        <v>20</v>
      </c>
      <c r="D107" s="214">
        <f t="shared" si="8"/>
        <v>41</v>
      </c>
      <c r="E107" s="214">
        <f t="shared" si="9"/>
        <v>9.02</v>
      </c>
      <c r="F107" s="195">
        <v>34.56</v>
      </c>
      <c r="G107" s="213">
        <f t="shared" si="13"/>
        <v>1.2</v>
      </c>
      <c r="H107" s="214">
        <f t="shared" si="10"/>
        <v>15.17</v>
      </c>
      <c r="I107" s="214">
        <f t="shared" si="12"/>
        <v>100.95</v>
      </c>
      <c r="J107" s="214">
        <f t="shared" si="11"/>
        <v>30.285</v>
      </c>
      <c r="K107" s="220">
        <f t="shared" si="7"/>
        <v>131.23500000000001</v>
      </c>
    </row>
    <row r="108" spans="1:11">
      <c r="A108" s="218" t="s">
        <v>766</v>
      </c>
      <c r="B108" s="221" t="s">
        <v>767</v>
      </c>
      <c r="C108" s="216">
        <v>5</v>
      </c>
      <c r="D108" s="214">
        <f t="shared" si="8"/>
        <v>10.25</v>
      </c>
      <c r="E108" s="214">
        <f t="shared" si="9"/>
        <v>2.2549999999999999</v>
      </c>
      <c r="F108" s="213">
        <v>22.09</v>
      </c>
      <c r="G108" s="213">
        <f t="shared" si="13"/>
        <v>0.3</v>
      </c>
      <c r="H108" s="214">
        <f t="shared" si="10"/>
        <v>3.7925</v>
      </c>
      <c r="I108" s="214">
        <f t="shared" si="12"/>
        <v>38.6875</v>
      </c>
      <c r="J108" s="214">
        <f t="shared" si="11"/>
        <v>11.606249999999999</v>
      </c>
      <c r="K108" s="220">
        <f t="shared" si="7"/>
        <v>50.293750000000003</v>
      </c>
    </row>
    <row r="109" spans="1:11">
      <c r="A109" s="218" t="s">
        <v>768</v>
      </c>
      <c r="B109" s="221" t="s">
        <v>769</v>
      </c>
      <c r="C109" s="223">
        <v>40</v>
      </c>
      <c r="D109" s="214">
        <f t="shared" si="8"/>
        <v>82</v>
      </c>
      <c r="E109" s="214">
        <f t="shared" si="9"/>
        <v>18.04</v>
      </c>
      <c r="F109" s="223">
        <v>33.11</v>
      </c>
      <c r="G109" s="213">
        <f t="shared" si="13"/>
        <v>2.4</v>
      </c>
      <c r="H109" s="214">
        <f t="shared" si="10"/>
        <v>30.34</v>
      </c>
      <c r="I109" s="214">
        <f t="shared" si="12"/>
        <v>165.89</v>
      </c>
      <c r="J109" s="214">
        <f t="shared" si="11"/>
        <v>49.766999999999996</v>
      </c>
      <c r="K109" s="220">
        <f t="shared" si="7"/>
        <v>215.65699999999998</v>
      </c>
    </row>
    <row r="110" spans="1:11" ht="30">
      <c r="A110" s="218" t="s">
        <v>770</v>
      </c>
      <c r="B110" s="221" t="s">
        <v>771</v>
      </c>
      <c r="C110" s="223">
        <v>10</v>
      </c>
      <c r="D110" s="214">
        <f t="shared" si="8"/>
        <v>20.5</v>
      </c>
      <c r="E110" s="214">
        <f t="shared" si="9"/>
        <v>4.51</v>
      </c>
      <c r="F110" s="223">
        <v>8.9</v>
      </c>
      <c r="G110" s="213">
        <f t="shared" si="13"/>
        <v>0.6</v>
      </c>
      <c r="H110" s="214">
        <f t="shared" si="10"/>
        <v>7.585</v>
      </c>
      <c r="I110" s="214">
        <f t="shared" si="12"/>
        <v>42.094999999999999</v>
      </c>
      <c r="J110" s="214">
        <f t="shared" si="11"/>
        <v>12.628499999999999</v>
      </c>
      <c r="K110" s="220">
        <f t="shared" si="7"/>
        <v>54.723500000000001</v>
      </c>
    </row>
    <row r="111" spans="1:11">
      <c r="A111" s="218" t="s">
        <v>772</v>
      </c>
      <c r="B111" s="221" t="s">
        <v>773</v>
      </c>
      <c r="C111" s="223">
        <v>10</v>
      </c>
      <c r="D111" s="214">
        <f t="shared" si="8"/>
        <v>20.5</v>
      </c>
      <c r="E111" s="214">
        <f t="shared" si="9"/>
        <v>4.51</v>
      </c>
      <c r="F111" s="223">
        <v>43.8</v>
      </c>
      <c r="G111" s="213">
        <f t="shared" si="13"/>
        <v>0.6</v>
      </c>
      <c r="H111" s="214">
        <f t="shared" si="10"/>
        <v>7.585</v>
      </c>
      <c r="I111" s="214">
        <f t="shared" si="12"/>
        <v>76.99499999999999</v>
      </c>
      <c r="J111" s="214">
        <f t="shared" si="11"/>
        <v>23.098499999999998</v>
      </c>
      <c r="K111" s="220">
        <f t="shared" si="7"/>
        <v>100.09349999999999</v>
      </c>
    </row>
    <row r="112" spans="1:11">
      <c r="A112" s="218" t="s">
        <v>774</v>
      </c>
      <c r="B112" s="221" t="s">
        <v>775</v>
      </c>
      <c r="C112" s="223">
        <v>10</v>
      </c>
      <c r="D112" s="214">
        <f t="shared" si="8"/>
        <v>20.5</v>
      </c>
      <c r="E112" s="214">
        <f t="shared" si="9"/>
        <v>4.51</v>
      </c>
      <c r="F112" s="223">
        <v>5.91</v>
      </c>
      <c r="G112" s="213">
        <f t="shared" si="13"/>
        <v>0.6</v>
      </c>
      <c r="H112" s="214">
        <f t="shared" si="10"/>
        <v>7.585</v>
      </c>
      <c r="I112" s="214">
        <f t="shared" si="12"/>
        <v>39.104999999999997</v>
      </c>
      <c r="J112" s="214">
        <f t="shared" si="11"/>
        <v>11.731499999999999</v>
      </c>
      <c r="K112" s="220">
        <f t="shared" si="7"/>
        <v>50.836499999999994</v>
      </c>
    </row>
    <row r="113" spans="1:11">
      <c r="A113" s="218" t="s">
        <v>776</v>
      </c>
      <c r="B113" s="221" t="s">
        <v>777</v>
      </c>
      <c r="C113" s="223">
        <v>40</v>
      </c>
      <c r="D113" s="214">
        <f t="shared" si="8"/>
        <v>82</v>
      </c>
      <c r="E113" s="214">
        <f t="shared" si="9"/>
        <v>18.04</v>
      </c>
      <c r="F113" s="223">
        <v>54.22</v>
      </c>
      <c r="G113" s="213">
        <f t="shared" si="13"/>
        <v>2.4</v>
      </c>
      <c r="H113" s="214">
        <f t="shared" si="10"/>
        <v>30.34</v>
      </c>
      <c r="I113" s="214">
        <f t="shared" si="12"/>
        <v>187</v>
      </c>
      <c r="J113" s="214">
        <f t="shared" si="11"/>
        <v>56.1</v>
      </c>
      <c r="K113" s="220">
        <f t="shared" si="7"/>
        <v>243.1</v>
      </c>
    </row>
    <row r="114" spans="1:11" ht="30">
      <c r="A114" s="218" t="s">
        <v>778</v>
      </c>
      <c r="B114" s="221" t="s">
        <v>779</v>
      </c>
      <c r="C114" s="223">
        <v>30</v>
      </c>
      <c r="D114" s="214">
        <f t="shared" si="8"/>
        <v>61.499999999999993</v>
      </c>
      <c r="E114" s="214">
        <f t="shared" si="9"/>
        <v>13.53</v>
      </c>
      <c r="F114" s="223">
        <v>2</v>
      </c>
      <c r="G114" s="213">
        <f t="shared" si="13"/>
        <v>1.7999999999999998</v>
      </c>
      <c r="H114" s="214">
        <f t="shared" si="10"/>
        <v>22.754999999999995</v>
      </c>
      <c r="I114" s="214">
        <f t="shared" si="12"/>
        <v>101.58499999999999</v>
      </c>
      <c r="J114" s="214">
        <f t="shared" si="11"/>
        <v>30.475499999999997</v>
      </c>
      <c r="K114" s="220">
        <f t="shared" si="7"/>
        <v>132.06049999999999</v>
      </c>
    </row>
    <row r="115" spans="1:11" ht="45">
      <c r="A115" s="218" t="s">
        <v>780</v>
      </c>
      <c r="B115" s="221" t="s">
        <v>781</v>
      </c>
      <c r="C115" s="223">
        <v>30</v>
      </c>
      <c r="D115" s="214">
        <f t="shared" si="8"/>
        <v>61.499999999999993</v>
      </c>
      <c r="E115" s="214">
        <f t="shared" si="9"/>
        <v>13.53</v>
      </c>
      <c r="F115" s="223">
        <v>200</v>
      </c>
      <c r="G115" s="213"/>
      <c r="H115" s="214">
        <f t="shared" si="10"/>
        <v>22.754999999999995</v>
      </c>
      <c r="I115" s="214">
        <f t="shared" si="12"/>
        <v>297.78499999999997</v>
      </c>
      <c r="J115" s="214">
        <f t="shared" si="11"/>
        <v>89.335499999999982</v>
      </c>
      <c r="K115" s="220">
        <f t="shared" si="7"/>
        <v>387.12049999999994</v>
      </c>
    </row>
    <row r="116" spans="1:11">
      <c r="A116" s="218" t="s">
        <v>782</v>
      </c>
      <c r="B116" s="221" t="s">
        <v>783</v>
      </c>
      <c r="C116" s="223">
        <v>20</v>
      </c>
      <c r="D116" s="214">
        <f t="shared" si="8"/>
        <v>41</v>
      </c>
      <c r="E116" s="214">
        <f t="shared" si="9"/>
        <v>9.02</v>
      </c>
      <c r="F116" s="223"/>
      <c r="G116" s="213"/>
      <c r="H116" s="214">
        <f t="shared" si="10"/>
        <v>15.17</v>
      </c>
      <c r="I116" s="214">
        <f t="shared" si="12"/>
        <v>65.19</v>
      </c>
      <c r="J116" s="214">
        <f t="shared" si="11"/>
        <v>19.556999999999999</v>
      </c>
      <c r="K116" s="220">
        <f t="shared" si="7"/>
        <v>84.747</v>
      </c>
    </row>
    <row r="117" spans="1:11" ht="30">
      <c r="A117" s="218" t="s">
        <v>784</v>
      </c>
      <c r="B117" s="221" t="s">
        <v>785</v>
      </c>
      <c r="C117" s="223">
        <v>20</v>
      </c>
      <c r="D117" s="214">
        <f t="shared" si="8"/>
        <v>41</v>
      </c>
      <c r="E117" s="214">
        <f t="shared" si="9"/>
        <v>9.02</v>
      </c>
      <c r="F117" s="223"/>
      <c r="G117" s="213"/>
      <c r="H117" s="214">
        <f t="shared" si="10"/>
        <v>15.17</v>
      </c>
      <c r="I117" s="214">
        <f t="shared" si="12"/>
        <v>65.19</v>
      </c>
      <c r="J117" s="214">
        <f t="shared" si="11"/>
        <v>19.556999999999999</v>
      </c>
      <c r="K117" s="220">
        <f t="shared" si="7"/>
        <v>84.747</v>
      </c>
    </row>
    <row r="118" spans="1:11" ht="30">
      <c r="A118" s="218" t="s">
        <v>786</v>
      </c>
      <c r="B118" s="221" t="s">
        <v>787</v>
      </c>
      <c r="C118" s="223">
        <v>20</v>
      </c>
      <c r="D118" s="214">
        <f t="shared" si="8"/>
        <v>41</v>
      </c>
      <c r="E118" s="214">
        <f t="shared" si="9"/>
        <v>9.02</v>
      </c>
      <c r="F118" s="223"/>
      <c r="G118" s="213"/>
      <c r="H118" s="214">
        <f t="shared" si="10"/>
        <v>15.17</v>
      </c>
      <c r="I118" s="214">
        <f t="shared" si="12"/>
        <v>65.19</v>
      </c>
      <c r="J118" s="214">
        <f t="shared" si="11"/>
        <v>19.556999999999999</v>
      </c>
      <c r="K118" s="220">
        <f t="shared" si="7"/>
        <v>84.747</v>
      </c>
    </row>
    <row r="119" spans="1:11" ht="15.75">
      <c r="A119" s="235" t="s">
        <v>262</v>
      </c>
      <c r="B119" s="208" t="s">
        <v>894</v>
      </c>
      <c r="C119" s="556"/>
      <c r="D119" s="552">
        <v>2.21</v>
      </c>
      <c r="E119" s="553"/>
      <c r="F119" s="553"/>
      <c r="G119" s="554">
        <v>7.0000000000000007E-2</v>
      </c>
      <c r="H119" s="554">
        <v>0.37</v>
      </c>
      <c r="I119" s="555"/>
      <c r="J119" s="554">
        <v>0.3</v>
      </c>
      <c r="K119" s="557"/>
    </row>
    <row r="120" spans="1:11">
      <c r="A120" s="236" t="s">
        <v>895</v>
      </c>
      <c r="B120" s="216" t="s">
        <v>896</v>
      </c>
      <c r="C120" s="223">
        <v>8</v>
      </c>
      <c r="D120" s="237">
        <f>$D$119*C120</f>
        <v>17.68</v>
      </c>
      <c r="E120" s="237">
        <f>D120*22%</f>
        <v>3.8896000000000002</v>
      </c>
      <c r="F120" s="195">
        <v>6.78</v>
      </c>
      <c r="G120" s="223"/>
      <c r="H120" s="195">
        <f>$H$4*D120</f>
        <v>6.5415999999999999</v>
      </c>
      <c r="I120" s="237">
        <f>D120+F120+G120+H120+E120</f>
        <v>34.891199999999998</v>
      </c>
      <c r="J120" s="195">
        <f>I120*0.3</f>
        <v>10.467359999999999</v>
      </c>
      <c r="K120" s="196">
        <f>I120+J120</f>
        <v>45.358559999999997</v>
      </c>
    </row>
    <row r="121" spans="1:11">
      <c r="A121" s="236" t="s">
        <v>897</v>
      </c>
      <c r="B121" s="216" t="s">
        <v>898</v>
      </c>
      <c r="C121" s="223">
        <v>8</v>
      </c>
      <c r="D121" s="237">
        <f t="shared" ref="D121:D149" si="14">$D$119*C121</f>
        <v>17.68</v>
      </c>
      <c r="E121" s="237">
        <f t="shared" ref="E121:E149" si="15">D121*22%</f>
        <v>3.8896000000000002</v>
      </c>
      <c r="F121" s="195">
        <v>6.78</v>
      </c>
      <c r="G121" s="223"/>
      <c r="H121" s="195">
        <f t="shared" ref="H121:H149" si="16">$H$4*D121</f>
        <v>6.5415999999999999</v>
      </c>
      <c r="I121" s="237">
        <f>D121+F121+G121+H121+E121</f>
        <v>34.891199999999998</v>
      </c>
      <c r="J121" s="195">
        <f t="shared" ref="J121:J149" si="17">I121*0.3</f>
        <v>10.467359999999999</v>
      </c>
      <c r="K121" s="196">
        <f t="shared" ref="K121:K149" si="18">I121+J121</f>
        <v>45.358559999999997</v>
      </c>
    </row>
    <row r="122" spans="1:11" ht="30">
      <c r="A122" s="236" t="s">
        <v>899</v>
      </c>
      <c r="B122" s="216" t="s">
        <v>673</v>
      </c>
      <c r="C122" s="223">
        <v>8</v>
      </c>
      <c r="D122" s="237">
        <f t="shared" si="14"/>
        <v>17.68</v>
      </c>
      <c r="E122" s="237">
        <f t="shared" si="15"/>
        <v>3.8896000000000002</v>
      </c>
      <c r="F122" s="195">
        <v>6.78</v>
      </c>
      <c r="G122" s="223"/>
      <c r="H122" s="195">
        <f t="shared" si="16"/>
        <v>6.5415999999999999</v>
      </c>
      <c r="I122" s="237">
        <f t="shared" ref="I122:I149" si="19">D122+F122+G122+H122+E122</f>
        <v>34.891199999999998</v>
      </c>
      <c r="J122" s="195">
        <f t="shared" si="17"/>
        <v>10.467359999999999</v>
      </c>
      <c r="K122" s="196">
        <f t="shared" si="18"/>
        <v>45.358559999999997</v>
      </c>
    </row>
    <row r="123" spans="1:11" ht="30">
      <c r="A123" s="236" t="s">
        <v>900</v>
      </c>
      <c r="B123" s="219" t="s">
        <v>901</v>
      </c>
      <c r="C123" s="223">
        <v>8</v>
      </c>
      <c r="D123" s="237">
        <f t="shared" si="14"/>
        <v>17.68</v>
      </c>
      <c r="E123" s="237">
        <f t="shared" si="15"/>
        <v>3.8896000000000002</v>
      </c>
      <c r="F123" s="195">
        <v>4.4000000000000004</v>
      </c>
      <c r="G123" s="223">
        <f>$G$119*C123</f>
        <v>0.56000000000000005</v>
      </c>
      <c r="H123" s="195">
        <f t="shared" si="16"/>
        <v>6.5415999999999999</v>
      </c>
      <c r="I123" s="237">
        <f>D123+F123+G123+H123+E123</f>
        <v>33.071199999999997</v>
      </c>
      <c r="J123" s="195">
        <f t="shared" si="17"/>
        <v>9.9213599999999982</v>
      </c>
      <c r="K123" s="196">
        <f t="shared" si="18"/>
        <v>42.992559999999997</v>
      </c>
    </row>
    <row r="124" spans="1:11" ht="30">
      <c r="A124" s="236" t="s">
        <v>902</v>
      </c>
      <c r="B124" s="219" t="s">
        <v>903</v>
      </c>
      <c r="C124" s="223">
        <v>8</v>
      </c>
      <c r="D124" s="237">
        <f t="shared" si="14"/>
        <v>17.68</v>
      </c>
      <c r="E124" s="237">
        <f t="shared" si="15"/>
        <v>3.8896000000000002</v>
      </c>
      <c r="F124" s="195">
        <v>13.9</v>
      </c>
      <c r="G124" s="223">
        <f t="shared" ref="G124:G149" si="20">$G$119*C124</f>
        <v>0.56000000000000005</v>
      </c>
      <c r="H124" s="195">
        <f t="shared" si="16"/>
        <v>6.5415999999999999</v>
      </c>
      <c r="I124" s="237">
        <f t="shared" si="19"/>
        <v>42.571200000000005</v>
      </c>
      <c r="J124" s="195">
        <f t="shared" si="17"/>
        <v>12.771360000000001</v>
      </c>
      <c r="K124" s="196">
        <f t="shared" si="18"/>
        <v>55.342560000000006</v>
      </c>
    </row>
    <row r="125" spans="1:11">
      <c r="A125" s="236" t="s">
        <v>904</v>
      </c>
      <c r="B125" s="219" t="s">
        <v>905</v>
      </c>
      <c r="C125" s="223">
        <v>8</v>
      </c>
      <c r="D125" s="237">
        <f t="shared" si="14"/>
        <v>17.68</v>
      </c>
      <c r="E125" s="237">
        <f t="shared" si="15"/>
        <v>3.8896000000000002</v>
      </c>
      <c r="F125" s="195">
        <v>19.7</v>
      </c>
      <c r="G125" s="223">
        <f t="shared" si="20"/>
        <v>0.56000000000000005</v>
      </c>
      <c r="H125" s="195">
        <f t="shared" si="16"/>
        <v>6.5415999999999999</v>
      </c>
      <c r="I125" s="237">
        <f t="shared" si="19"/>
        <v>48.371200000000002</v>
      </c>
      <c r="J125" s="195">
        <f t="shared" si="17"/>
        <v>14.51136</v>
      </c>
      <c r="K125" s="196">
        <f t="shared" si="18"/>
        <v>62.882559999999998</v>
      </c>
    </row>
    <row r="126" spans="1:11" ht="30">
      <c r="A126" s="236" t="s">
        <v>906</v>
      </c>
      <c r="B126" s="219" t="s">
        <v>907</v>
      </c>
      <c r="C126" s="223">
        <v>8</v>
      </c>
      <c r="D126" s="237">
        <f t="shared" si="14"/>
        <v>17.68</v>
      </c>
      <c r="E126" s="237">
        <f t="shared" si="15"/>
        <v>3.8896000000000002</v>
      </c>
      <c r="F126" s="195">
        <v>34.5</v>
      </c>
      <c r="G126" s="223">
        <f t="shared" si="20"/>
        <v>0.56000000000000005</v>
      </c>
      <c r="H126" s="195">
        <f t="shared" si="16"/>
        <v>6.5415999999999999</v>
      </c>
      <c r="I126" s="237">
        <f t="shared" si="19"/>
        <v>63.171200000000006</v>
      </c>
      <c r="J126" s="195">
        <f t="shared" si="17"/>
        <v>18.951360000000001</v>
      </c>
      <c r="K126" s="196">
        <f t="shared" si="18"/>
        <v>82.122560000000007</v>
      </c>
    </row>
    <row r="127" spans="1:11" ht="30">
      <c r="A127" s="236" t="s">
        <v>908</v>
      </c>
      <c r="B127" s="219" t="s">
        <v>909</v>
      </c>
      <c r="C127" s="223">
        <v>8</v>
      </c>
      <c r="D127" s="237">
        <f t="shared" si="14"/>
        <v>17.68</v>
      </c>
      <c r="E127" s="237">
        <f t="shared" si="15"/>
        <v>3.8896000000000002</v>
      </c>
      <c r="F127" s="195">
        <v>17.100000000000001</v>
      </c>
      <c r="G127" s="223">
        <f t="shared" si="20"/>
        <v>0.56000000000000005</v>
      </c>
      <c r="H127" s="195">
        <f t="shared" si="16"/>
        <v>6.5415999999999999</v>
      </c>
      <c r="I127" s="237">
        <f t="shared" si="19"/>
        <v>45.771200000000007</v>
      </c>
      <c r="J127" s="195">
        <f t="shared" si="17"/>
        <v>13.731360000000002</v>
      </c>
      <c r="K127" s="196">
        <f t="shared" si="18"/>
        <v>59.50256000000001</v>
      </c>
    </row>
    <row r="128" spans="1:11" ht="30">
      <c r="A128" s="236" t="s">
        <v>910</v>
      </c>
      <c r="B128" s="219" t="s">
        <v>911</v>
      </c>
      <c r="C128" s="223">
        <v>8</v>
      </c>
      <c r="D128" s="237">
        <f t="shared" si="14"/>
        <v>17.68</v>
      </c>
      <c r="E128" s="237">
        <f t="shared" si="15"/>
        <v>3.8896000000000002</v>
      </c>
      <c r="F128" s="195">
        <v>13.5</v>
      </c>
      <c r="G128" s="223">
        <f t="shared" si="20"/>
        <v>0.56000000000000005</v>
      </c>
      <c r="H128" s="195">
        <f t="shared" si="16"/>
        <v>6.5415999999999999</v>
      </c>
      <c r="I128" s="237">
        <f t="shared" si="19"/>
        <v>42.171199999999999</v>
      </c>
      <c r="J128" s="195">
        <f t="shared" si="17"/>
        <v>12.651359999999999</v>
      </c>
      <c r="K128" s="196">
        <f t="shared" si="18"/>
        <v>54.822559999999996</v>
      </c>
    </row>
    <row r="129" spans="1:11">
      <c r="A129" s="236" t="s">
        <v>912</v>
      </c>
      <c r="B129" s="219" t="s">
        <v>913</v>
      </c>
      <c r="C129" s="223">
        <v>4</v>
      </c>
      <c r="D129" s="237">
        <f t="shared" si="14"/>
        <v>8.84</v>
      </c>
      <c r="E129" s="237">
        <f t="shared" si="15"/>
        <v>1.9448000000000001</v>
      </c>
      <c r="F129" s="195">
        <v>6.03</v>
      </c>
      <c r="G129" s="223">
        <f t="shared" si="20"/>
        <v>0.28000000000000003</v>
      </c>
      <c r="H129" s="195">
        <f t="shared" si="16"/>
        <v>3.2707999999999999</v>
      </c>
      <c r="I129" s="237">
        <f t="shared" si="19"/>
        <v>20.365600000000001</v>
      </c>
      <c r="J129" s="195">
        <f t="shared" si="17"/>
        <v>6.10968</v>
      </c>
      <c r="K129" s="196">
        <f t="shared" si="18"/>
        <v>26.475280000000001</v>
      </c>
    </row>
    <row r="130" spans="1:11">
      <c r="A130" s="236" t="s">
        <v>914</v>
      </c>
      <c r="B130" s="219" t="s">
        <v>683</v>
      </c>
      <c r="C130" s="223">
        <v>4</v>
      </c>
      <c r="D130" s="237">
        <f t="shared" si="14"/>
        <v>8.84</v>
      </c>
      <c r="E130" s="237">
        <f t="shared" si="15"/>
        <v>1.9448000000000001</v>
      </c>
      <c r="F130" s="195"/>
      <c r="G130" s="223">
        <f t="shared" si="20"/>
        <v>0.28000000000000003</v>
      </c>
      <c r="H130" s="195">
        <f t="shared" si="16"/>
        <v>3.2707999999999999</v>
      </c>
      <c r="I130" s="237">
        <f t="shared" si="19"/>
        <v>14.335599999999999</v>
      </c>
      <c r="J130" s="195">
        <f t="shared" si="17"/>
        <v>4.3006799999999998</v>
      </c>
      <c r="K130" s="196">
        <f t="shared" si="18"/>
        <v>18.636279999999999</v>
      </c>
    </row>
    <row r="131" spans="1:11">
      <c r="A131" s="236" t="s">
        <v>915</v>
      </c>
      <c r="B131" s="219" t="s">
        <v>800</v>
      </c>
      <c r="C131" s="223">
        <v>8</v>
      </c>
      <c r="D131" s="237">
        <f t="shared" si="14"/>
        <v>17.68</v>
      </c>
      <c r="E131" s="237">
        <f t="shared" si="15"/>
        <v>3.8896000000000002</v>
      </c>
      <c r="F131" s="195"/>
      <c r="G131" s="223">
        <f t="shared" si="20"/>
        <v>0.56000000000000005</v>
      </c>
      <c r="H131" s="195">
        <f t="shared" si="16"/>
        <v>6.5415999999999999</v>
      </c>
      <c r="I131" s="237">
        <f t="shared" si="19"/>
        <v>28.671199999999999</v>
      </c>
      <c r="J131" s="195">
        <f t="shared" si="17"/>
        <v>8.6013599999999997</v>
      </c>
      <c r="K131" s="196">
        <f t="shared" si="18"/>
        <v>37.272559999999999</v>
      </c>
    </row>
    <row r="132" spans="1:11">
      <c r="A132" s="236" t="s">
        <v>916</v>
      </c>
      <c r="B132" s="219" t="s">
        <v>917</v>
      </c>
      <c r="C132" s="223">
        <v>16</v>
      </c>
      <c r="D132" s="237">
        <f t="shared" si="14"/>
        <v>35.36</v>
      </c>
      <c r="E132" s="237">
        <f t="shared" si="15"/>
        <v>7.7792000000000003</v>
      </c>
      <c r="F132" s="195">
        <v>4.38</v>
      </c>
      <c r="G132" s="223">
        <f t="shared" si="20"/>
        <v>1.1200000000000001</v>
      </c>
      <c r="H132" s="195">
        <f t="shared" si="16"/>
        <v>13.0832</v>
      </c>
      <c r="I132" s="237">
        <f t="shared" si="19"/>
        <v>61.7224</v>
      </c>
      <c r="J132" s="195">
        <f t="shared" si="17"/>
        <v>18.516719999999999</v>
      </c>
      <c r="K132" s="196">
        <f t="shared" si="18"/>
        <v>80.23912</v>
      </c>
    </row>
    <row r="133" spans="1:11" ht="30">
      <c r="A133" s="236" t="s">
        <v>918</v>
      </c>
      <c r="B133" s="221" t="s">
        <v>919</v>
      </c>
      <c r="C133" s="223">
        <v>16</v>
      </c>
      <c r="D133" s="237">
        <f t="shared" si="14"/>
        <v>35.36</v>
      </c>
      <c r="E133" s="237">
        <f t="shared" si="15"/>
        <v>7.7792000000000003</v>
      </c>
      <c r="F133" s="195">
        <v>14.95</v>
      </c>
      <c r="G133" s="223">
        <f t="shared" si="20"/>
        <v>1.1200000000000001</v>
      </c>
      <c r="H133" s="195">
        <f t="shared" si="16"/>
        <v>13.0832</v>
      </c>
      <c r="I133" s="237">
        <f t="shared" si="19"/>
        <v>72.292400000000001</v>
      </c>
      <c r="J133" s="195">
        <f t="shared" si="17"/>
        <v>21.687719999999999</v>
      </c>
      <c r="K133" s="196">
        <f t="shared" si="18"/>
        <v>93.980119999999999</v>
      </c>
    </row>
    <row r="134" spans="1:11">
      <c r="A134" s="236" t="s">
        <v>920</v>
      </c>
      <c r="B134" s="219" t="s">
        <v>921</v>
      </c>
      <c r="C134" s="223">
        <v>12</v>
      </c>
      <c r="D134" s="237">
        <f t="shared" si="14"/>
        <v>26.52</v>
      </c>
      <c r="E134" s="237">
        <f t="shared" si="15"/>
        <v>5.8343999999999996</v>
      </c>
      <c r="F134" s="195">
        <v>12.02</v>
      </c>
      <c r="G134" s="223">
        <f t="shared" si="20"/>
        <v>0.84000000000000008</v>
      </c>
      <c r="H134" s="195">
        <f t="shared" si="16"/>
        <v>9.8124000000000002</v>
      </c>
      <c r="I134" s="237">
        <f t="shared" si="19"/>
        <v>55.026800000000009</v>
      </c>
      <c r="J134" s="195">
        <f t="shared" si="17"/>
        <v>16.508040000000001</v>
      </c>
      <c r="K134" s="196">
        <f t="shared" si="18"/>
        <v>71.534840000000003</v>
      </c>
    </row>
    <row r="135" spans="1:11">
      <c r="A135" s="236" t="s">
        <v>922</v>
      </c>
      <c r="B135" s="219" t="s">
        <v>923</v>
      </c>
      <c r="C135" s="223">
        <v>24</v>
      </c>
      <c r="D135" s="237">
        <f t="shared" si="14"/>
        <v>53.04</v>
      </c>
      <c r="E135" s="237">
        <f t="shared" si="15"/>
        <v>11.668799999999999</v>
      </c>
      <c r="F135" s="195">
        <v>17.62</v>
      </c>
      <c r="G135" s="223">
        <f t="shared" si="20"/>
        <v>1.6800000000000002</v>
      </c>
      <c r="H135" s="195">
        <f t="shared" si="16"/>
        <v>19.6248</v>
      </c>
      <c r="I135" s="237">
        <f t="shared" si="19"/>
        <v>103.6336</v>
      </c>
      <c r="J135" s="195">
        <f t="shared" si="17"/>
        <v>31.09008</v>
      </c>
      <c r="K135" s="196">
        <f t="shared" si="18"/>
        <v>134.72368</v>
      </c>
    </row>
    <row r="136" spans="1:11">
      <c r="A136" s="236" t="s">
        <v>924</v>
      </c>
      <c r="B136" s="219" t="s">
        <v>925</v>
      </c>
      <c r="C136" s="223">
        <v>8</v>
      </c>
      <c r="D136" s="237">
        <f t="shared" si="14"/>
        <v>17.68</v>
      </c>
      <c r="E136" s="237">
        <f t="shared" si="15"/>
        <v>3.8896000000000002</v>
      </c>
      <c r="F136" s="195">
        <v>65.180000000000007</v>
      </c>
      <c r="G136" s="223">
        <f t="shared" si="20"/>
        <v>0.56000000000000005</v>
      </c>
      <c r="H136" s="195">
        <f t="shared" si="16"/>
        <v>6.5415999999999999</v>
      </c>
      <c r="I136" s="237">
        <f t="shared" si="19"/>
        <v>93.85120000000002</v>
      </c>
      <c r="J136" s="195">
        <f t="shared" si="17"/>
        <v>28.155360000000005</v>
      </c>
      <c r="K136" s="196">
        <f t="shared" si="18"/>
        <v>122.00656000000002</v>
      </c>
    </row>
    <row r="137" spans="1:11">
      <c r="A137" s="236" t="s">
        <v>926</v>
      </c>
      <c r="B137" s="219" t="s">
        <v>927</v>
      </c>
      <c r="C137" s="223">
        <v>16</v>
      </c>
      <c r="D137" s="237">
        <f t="shared" si="14"/>
        <v>35.36</v>
      </c>
      <c r="E137" s="237">
        <f t="shared" si="15"/>
        <v>7.7792000000000003</v>
      </c>
      <c r="F137" s="195">
        <v>15.6</v>
      </c>
      <c r="G137" s="223">
        <f t="shared" si="20"/>
        <v>1.1200000000000001</v>
      </c>
      <c r="H137" s="195">
        <f t="shared" si="16"/>
        <v>13.0832</v>
      </c>
      <c r="I137" s="237">
        <f t="shared" si="19"/>
        <v>72.942400000000006</v>
      </c>
      <c r="J137" s="195">
        <f t="shared" si="17"/>
        <v>21.882720000000003</v>
      </c>
      <c r="K137" s="196">
        <f t="shared" si="18"/>
        <v>94.825120000000013</v>
      </c>
    </row>
    <row r="138" spans="1:11">
      <c r="A138" s="236" t="s">
        <v>928</v>
      </c>
      <c r="B138" s="238" t="s">
        <v>929</v>
      </c>
      <c r="C138" s="223">
        <v>20</v>
      </c>
      <c r="D138" s="237">
        <f t="shared" si="14"/>
        <v>44.2</v>
      </c>
      <c r="E138" s="237">
        <f t="shared" si="15"/>
        <v>9.7240000000000002</v>
      </c>
      <c r="F138" s="195">
        <v>3.2</v>
      </c>
      <c r="G138" s="223">
        <f t="shared" si="20"/>
        <v>1.4000000000000001</v>
      </c>
      <c r="H138" s="195">
        <f t="shared" si="16"/>
        <v>16.353999999999999</v>
      </c>
      <c r="I138" s="237">
        <f t="shared" si="19"/>
        <v>74.878</v>
      </c>
      <c r="J138" s="195">
        <f t="shared" si="17"/>
        <v>22.4634</v>
      </c>
      <c r="K138" s="196">
        <f t="shared" si="18"/>
        <v>97.341399999999993</v>
      </c>
    </row>
    <row r="139" spans="1:11" ht="30">
      <c r="A139" s="239" t="s">
        <v>930</v>
      </c>
      <c r="B139" s="238" t="s">
        <v>931</v>
      </c>
      <c r="C139" s="223">
        <v>40</v>
      </c>
      <c r="D139" s="237">
        <f t="shared" si="14"/>
        <v>88.4</v>
      </c>
      <c r="E139" s="237">
        <f t="shared" si="15"/>
        <v>19.448</v>
      </c>
      <c r="F139" s="195">
        <v>62.55</v>
      </c>
      <c r="G139" s="223">
        <f t="shared" si="20"/>
        <v>2.8000000000000003</v>
      </c>
      <c r="H139" s="195">
        <f t="shared" si="16"/>
        <v>32.707999999999998</v>
      </c>
      <c r="I139" s="237">
        <f t="shared" si="19"/>
        <v>205.90600000000001</v>
      </c>
      <c r="J139" s="195">
        <f t="shared" si="17"/>
        <v>61.771799999999999</v>
      </c>
      <c r="K139" s="196">
        <f t="shared" si="18"/>
        <v>267.67779999999999</v>
      </c>
    </row>
    <row r="140" spans="1:11" ht="30">
      <c r="A140" s="236" t="s">
        <v>932</v>
      </c>
      <c r="B140" s="238" t="s">
        <v>933</v>
      </c>
      <c r="C140" s="223">
        <v>24</v>
      </c>
      <c r="D140" s="237">
        <f t="shared" si="14"/>
        <v>53.04</v>
      </c>
      <c r="E140" s="237">
        <f t="shared" si="15"/>
        <v>11.668799999999999</v>
      </c>
      <c r="F140" s="195">
        <v>12.12</v>
      </c>
      <c r="G140" s="223">
        <f t="shared" si="20"/>
        <v>1.6800000000000002</v>
      </c>
      <c r="H140" s="195">
        <f t="shared" si="16"/>
        <v>19.6248</v>
      </c>
      <c r="I140" s="237">
        <f t="shared" si="19"/>
        <v>98.133600000000001</v>
      </c>
      <c r="J140" s="195">
        <f t="shared" si="17"/>
        <v>29.440079999999998</v>
      </c>
      <c r="K140" s="196">
        <f t="shared" si="18"/>
        <v>127.57368</v>
      </c>
    </row>
    <row r="141" spans="1:11">
      <c r="A141" s="240" t="s">
        <v>934</v>
      </c>
      <c r="B141" s="219" t="s">
        <v>935</v>
      </c>
      <c r="C141" s="223">
        <v>48</v>
      </c>
      <c r="D141" s="237">
        <f t="shared" si="14"/>
        <v>106.08</v>
      </c>
      <c r="E141" s="237">
        <f t="shared" si="15"/>
        <v>23.337599999999998</v>
      </c>
      <c r="F141" s="195">
        <v>146.07</v>
      </c>
      <c r="G141" s="223">
        <f t="shared" si="20"/>
        <v>3.3600000000000003</v>
      </c>
      <c r="H141" s="195">
        <f t="shared" si="16"/>
        <v>39.249600000000001</v>
      </c>
      <c r="I141" s="237">
        <f t="shared" si="19"/>
        <v>318.09719999999999</v>
      </c>
      <c r="J141" s="195">
        <f t="shared" si="17"/>
        <v>95.429159999999996</v>
      </c>
      <c r="K141" s="196">
        <f t="shared" si="18"/>
        <v>413.52635999999995</v>
      </c>
    </row>
    <row r="142" spans="1:11" ht="30">
      <c r="A142" s="240" t="s">
        <v>936</v>
      </c>
      <c r="B142" s="219" t="s">
        <v>937</v>
      </c>
      <c r="C142" s="223">
        <v>24</v>
      </c>
      <c r="D142" s="237">
        <f t="shared" si="14"/>
        <v>53.04</v>
      </c>
      <c r="E142" s="237">
        <f t="shared" si="15"/>
        <v>11.668799999999999</v>
      </c>
      <c r="F142" s="195">
        <v>63.7</v>
      </c>
      <c r="G142" s="223">
        <f t="shared" si="20"/>
        <v>1.6800000000000002</v>
      </c>
      <c r="H142" s="195">
        <f t="shared" si="16"/>
        <v>19.6248</v>
      </c>
      <c r="I142" s="237">
        <f t="shared" si="19"/>
        <v>149.71360000000001</v>
      </c>
      <c r="J142" s="195">
        <f t="shared" si="17"/>
        <v>44.914080000000006</v>
      </c>
      <c r="K142" s="196">
        <f t="shared" si="18"/>
        <v>194.62768000000003</v>
      </c>
    </row>
    <row r="143" spans="1:11" ht="30">
      <c r="A143" s="240" t="s">
        <v>938</v>
      </c>
      <c r="B143" s="219" t="s">
        <v>939</v>
      </c>
      <c r="C143" s="223">
        <v>16</v>
      </c>
      <c r="D143" s="237">
        <f t="shared" si="14"/>
        <v>35.36</v>
      </c>
      <c r="E143" s="237">
        <f t="shared" si="15"/>
        <v>7.7792000000000003</v>
      </c>
      <c r="F143" s="195">
        <v>15.6</v>
      </c>
      <c r="G143" s="223">
        <f t="shared" si="20"/>
        <v>1.1200000000000001</v>
      </c>
      <c r="H143" s="195">
        <f t="shared" si="16"/>
        <v>13.0832</v>
      </c>
      <c r="I143" s="237">
        <f t="shared" si="19"/>
        <v>72.942400000000006</v>
      </c>
      <c r="J143" s="195">
        <f t="shared" si="17"/>
        <v>21.882720000000003</v>
      </c>
      <c r="K143" s="196">
        <f t="shared" si="18"/>
        <v>94.825120000000013</v>
      </c>
    </row>
    <row r="144" spans="1:11" ht="45">
      <c r="A144" s="240" t="s">
        <v>940</v>
      </c>
      <c r="B144" s="238" t="s">
        <v>941</v>
      </c>
      <c r="C144" s="223">
        <v>32</v>
      </c>
      <c r="D144" s="237">
        <f t="shared" si="14"/>
        <v>70.72</v>
      </c>
      <c r="E144" s="237">
        <f t="shared" si="15"/>
        <v>15.558400000000001</v>
      </c>
      <c r="F144" s="195">
        <v>62.55</v>
      </c>
      <c r="G144" s="223">
        <f t="shared" si="20"/>
        <v>2.2400000000000002</v>
      </c>
      <c r="H144" s="195">
        <f t="shared" si="16"/>
        <v>26.166399999999999</v>
      </c>
      <c r="I144" s="237">
        <f t="shared" si="19"/>
        <v>177.23480000000001</v>
      </c>
      <c r="J144" s="195">
        <f t="shared" si="17"/>
        <v>53.170439999999999</v>
      </c>
      <c r="K144" s="196">
        <f t="shared" si="18"/>
        <v>230.40523999999999</v>
      </c>
    </row>
    <row r="145" spans="1:11">
      <c r="A145" s="240" t="s">
        <v>942</v>
      </c>
      <c r="B145" s="221" t="s">
        <v>943</v>
      </c>
      <c r="C145" s="223">
        <v>24</v>
      </c>
      <c r="D145" s="237">
        <f t="shared" si="14"/>
        <v>53.04</v>
      </c>
      <c r="E145" s="237">
        <f t="shared" si="15"/>
        <v>11.668799999999999</v>
      </c>
      <c r="F145" s="195">
        <v>68.5</v>
      </c>
      <c r="G145" s="223">
        <f t="shared" si="20"/>
        <v>1.6800000000000002</v>
      </c>
      <c r="H145" s="195">
        <f t="shared" si="16"/>
        <v>19.6248</v>
      </c>
      <c r="I145" s="237">
        <f t="shared" si="19"/>
        <v>154.5136</v>
      </c>
      <c r="J145" s="195">
        <f t="shared" si="17"/>
        <v>46.354079999999996</v>
      </c>
      <c r="K145" s="196">
        <f t="shared" si="18"/>
        <v>200.86768000000001</v>
      </c>
    </row>
    <row r="146" spans="1:11">
      <c r="A146" s="240" t="s">
        <v>944</v>
      </c>
      <c r="B146" s="221" t="s">
        <v>945</v>
      </c>
      <c r="C146" s="223">
        <v>24</v>
      </c>
      <c r="D146" s="237">
        <f t="shared" si="14"/>
        <v>53.04</v>
      </c>
      <c r="E146" s="237">
        <f t="shared" si="15"/>
        <v>11.668799999999999</v>
      </c>
      <c r="F146" s="195">
        <v>65.48</v>
      </c>
      <c r="G146" s="223">
        <f t="shared" si="20"/>
        <v>1.6800000000000002</v>
      </c>
      <c r="H146" s="195">
        <f t="shared" si="16"/>
        <v>19.6248</v>
      </c>
      <c r="I146" s="237">
        <f>D146+F146+G146+H146+E146</f>
        <v>151.49360000000001</v>
      </c>
      <c r="J146" s="195">
        <f t="shared" si="17"/>
        <v>45.448080000000004</v>
      </c>
      <c r="K146" s="196">
        <f t="shared" si="18"/>
        <v>196.94168000000002</v>
      </c>
    </row>
    <row r="147" spans="1:11" ht="15.75">
      <c r="A147" s="223" t="s">
        <v>946</v>
      </c>
      <c r="B147" s="233" t="s">
        <v>657</v>
      </c>
      <c r="C147" s="223">
        <v>8</v>
      </c>
      <c r="D147" s="237">
        <f t="shared" si="14"/>
        <v>17.68</v>
      </c>
      <c r="E147" s="237">
        <f t="shared" si="15"/>
        <v>3.8896000000000002</v>
      </c>
      <c r="F147" s="195">
        <v>84.09</v>
      </c>
      <c r="G147" s="223">
        <f t="shared" si="20"/>
        <v>0.56000000000000005</v>
      </c>
      <c r="H147" s="195">
        <f t="shared" si="16"/>
        <v>6.5415999999999999</v>
      </c>
      <c r="I147" s="237">
        <f t="shared" si="19"/>
        <v>112.76120000000002</v>
      </c>
      <c r="J147" s="195">
        <f t="shared" si="17"/>
        <v>33.828360000000004</v>
      </c>
      <c r="K147" s="196">
        <f t="shared" si="18"/>
        <v>146.58956000000001</v>
      </c>
    </row>
    <row r="148" spans="1:11" ht="15.75">
      <c r="A148" s="223" t="s">
        <v>947</v>
      </c>
      <c r="B148" s="233" t="s">
        <v>948</v>
      </c>
      <c r="C148" s="223">
        <v>32</v>
      </c>
      <c r="D148" s="237">
        <f t="shared" si="14"/>
        <v>70.72</v>
      </c>
      <c r="E148" s="237">
        <f t="shared" si="15"/>
        <v>15.558400000000001</v>
      </c>
      <c r="F148" s="195">
        <v>2.54</v>
      </c>
      <c r="G148" s="223">
        <f t="shared" si="20"/>
        <v>2.2400000000000002</v>
      </c>
      <c r="H148" s="195">
        <f t="shared" si="16"/>
        <v>26.166399999999999</v>
      </c>
      <c r="I148" s="237">
        <f t="shared" si="19"/>
        <v>117.2248</v>
      </c>
      <c r="J148" s="195">
        <f t="shared" si="17"/>
        <v>35.167439999999999</v>
      </c>
      <c r="K148" s="196">
        <f t="shared" si="18"/>
        <v>152.39224000000002</v>
      </c>
    </row>
    <row r="149" spans="1:11" ht="15.75">
      <c r="A149" s="240" t="s">
        <v>949</v>
      </c>
      <c r="B149" s="241" t="s">
        <v>950</v>
      </c>
      <c r="C149" s="223">
        <v>8</v>
      </c>
      <c r="D149" s="237">
        <f t="shared" si="14"/>
        <v>17.68</v>
      </c>
      <c r="E149" s="237">
        <f t="shared" si="15"/>
        <v>3.8896000000000002</v>
      </c>
      <c r="F149" s="223">
        <v>6.65</v>
      </c>
      <c r="G149" s="223">
        <f t="shared" si="20"/>
        <v>0.56000000000000005</v>
      </c>
      <c r="H149" s="195">
        <f t="shared" si="16"/>
        <v>6.5415999999999999</v>
      </c>
      <c r="I149" s="237">
        <f t="shared" si="19"/>
        <v>35.321199999999997</v>
      </c>
      <c r="J149" s="195">
        <f t="shared" si="17"/>
        <v>10.596359999999999</v>
      </c>
      <c r="K149" s="196">
        <f t="shared" si="18"/>
        <v>45.917559999999995</v>
      </c>
    </row>
    <row r="150" spans="1:11" ht="15.75">
      <c r="A150" s="235" t="s">
        <v>272</v>
      </c>
      <c r="B150" s="212" t="s">
        <v>951</v>
      </c>
      <c r="C150" s="605"/>
      <c r="D150" s="552">
        <v>0.78</v>
      </c>
      <c r="E150" s="553"/>
      <c r="F150" s="553"/>
      <c r="G150" s="555"/>
      <c r="H150" s="554">
        <v>0.37</v>
      </c>
      <c r="I150" s="555"/>
      <c r="J150" s="554">
        <v>0.3</v>
      </c>
      <c r="K150" s="557"/>
    </row>
    <row r="151" spans="1:11" ht="15.75">
      <c r="A151" s="240" t="s">
        <v>952</v>
      </c>
      <c r="B151" s="242" t="s">
        <v>953</v>
      </c>
      <c r="C151" s="223">
        <v>20</v>
      </c>
      <c r="D151" s="237">
        <f>$D$150*C151</f>
        <v>15.600000000000001</v>
      </c>
      <c r="E151" s="237">
        <f>D151*22%</f>
        <v>3.4320000000000004</v>
      </c>
      <c r="F151" s="195">
        <v>5.87</v>
      </c>
      <c r="G151" s="223"/>
      <c r="H151" s="195">
        <f>$H$4*D151</f>
        <v>5.7720000000000002</v>
      </c>
      <c r="I151" s="237">
        <f>D151+F151+G151+H151+E151</f>
        <v>30.674000000000007</v>
      </c>
      <c r="J151" s="195">
        <f>I151*0.3</f>
        <v>9.2022000000000013</v>
      </c>
      <c r="K151" s="196">
        <f>I151+J151</f>
        <v>39.876200000000011</v>
      </c>
    </row>
    <row r="152" spans="1:11">
      <c r="A152" s="223" t="s">
        <v>954</v>
      </c>
      <c r="B152" s="223" t="s">
        <v>955</v>
      </c>
      <c r="C152" s="223">
        <v>5</v>
      </c>
      <c r="D152" s="237">
        <f t="shared" ref="D152:D157" si="21">$D$150*C152</f>
        <v>3.9000000000000004</v>
      </c>
      <c r="E152" s="237">
        <f t="shared" ref="E152:E157" si="22">D152*22%</f>
        <v>0.8580000000000001</v>
      </c>
      <c r="F152" s="223">
        <v>5.87</v>
      </c>
      <c r="G152" s="223"/>
      <c r="H152" s="195">
        <f t="shared" ref="H152:H157" si="23">$H$4*D152</f>
        <v>1.4430000000000001</v>
      </c>
      <c r="I152" s="237">
        <f t="shared" ref="I152:I157" si="24">D152+F152+G152+H152+E152</f>
        <v>12.071</v>
      </c>
      <c r="J152" s="195">
        <f t="shared" ref="J152:J157" si="25">I152*0.3</f>
        <v>3.6212999999999997</v>
      </c>
      <c r="K152" s="196">
        <f t="shared" ref="K152:K157" si="26">I152+J152</f>
        <v>15.692299999999999</v>
      </c>
    </row>
    <row r="153" spans="1:11">
      <c r="A153" s="223" t="s">
        <v>956</v>
      </c>
      <c r="B153" s="223" t="s">
        <v>488</v>
      </c>
      <c r="C153" s="223">
        <v>20</v>
      </c>
      <c r="D153" s="237">
        <f t="shared" si="21"/>
        <v>15.600000000000001</v>
      </c>
      <c r="E153" s="237">
        <f t="shared" si="22"/>
        <v>3.4320000000000004</v>
      </c>
      <c r="F153" s="223">
        <v>5.87</v>
      </c>
      <c r="G153" s="223"/>
      <c r="H153" s="195">
        <f t="shared" si="23"/>
        <v>5.7720000000000002</v>
      </c>
      <c r="I153" s="237">
        <f t="shared" si="24"/>
        <v>30.674000000000007</v>
      </c>
      <c r="J153" s="195">
        <f t="shared" si="25"/>
        <v>9.2022000000000013</v>
      </c>
      <c r="K153" s="196">
        <f t="shared" si="26"/>
        <v>39.876200000000011</v>
      </c>
    </row>
    <row r="154" spans="1:11">
      <c r="A154" s="223" t="s">
        <v>957</v>
      </c>
      <c r="B154" s="223" t="s">
        <v>958</v>
      </c>
      <c r="C154" s="223">
        <v>20</v>
      </c>
      <c r="D154" s="237">
        <f t="shared" si="21"/>
        <v>15.600000000000001</v>
      </c>
      <c r="E154" s="237">
        <f t="shared" si="22"/>
        <v>3.4320000000000004</v>
      </c>
      <c r="F154" s="223">
        <v>11.51</v>
      </c>
      <c r="G154" s="223"/>
      <c r="H154" s="195">
        <f t="shared" si="23"/>
        <v>5.7720000000000002</v>
      </c>
      <c r="I154" s="237">
        <f t="shared" si="24"/>
        <v>36.314</v>
      </c>
      <c r="J154" s="195">
        <f t="shared" si="25"/>
        <v>10.8942</v>
      </c>
      <c r="K154" s="196">
        <f t="shared" si="26"/>
        <v>47.208199999999998</v>
      </c>
    </row>
    <row r="155" spans="1:11">
      <c r="A155" s="223" t="s">
        <v>959</v>
      </c>
      <c r="B155" s="223" t="s">
        <v>960</v>
      </c>
      <c r="C155" s="223">
        <v>20</v>
      </c>
      <c r="D155" s="237">
        <f t="shared" si="21"/>
        <v>15.600000000000001</v>
      </c>
      <c r="E155" s="237">
        <f t="shared" si="22"/>
        <v>3.4320000000000004</v>
      </c>
      <c r="F155" s="223">
        <v>14.51</v>
      </c>
      <c r="G155" s="223"/>
      <c r="H155" s="195">
        <f t="shared" si="23"/>
        <v>5.7720000000000002</v>
      </c>
      <c r="I155" s="237">
        <f t="shared" si="24"/>
        <v>39.314</v>
      </c>
      <c r="J155" s="195">
        <f t="shared" si="25"/>
        <v>11.7942</v>
      </c>
      <c r="K155" s="196">
        <f t="shared" si="26"/>
        <v>51.108199999999997</v>
      </c>
    </row>
    <row r="156" spans="1:11">
      <c r="A156" s="223" t="s">
        <v>961</v>
      </c>
      <c r="B156" s="223" t="s">
        <v>962</v>
      </c>
      <c r="C156" s="223">
        <v>10</v>
      </c>
      <c r="D156" s="237">
        <f t="shared" si="21"/>
        <v>7.8000000000000007</v>
      </c>
      <c r="E156" s="237">
        <f t="shared" si="22"/>
        <v>1.7160000000000002</v>
      </c>
      <c r="F156" s="223">
        <v>5.87</v>
      </c>
      <c r="G156" s="223"/>
      <c r="H156" s="195">
        <f t="shared" si="23"/>
        <v>2.8860000000000001</v>
      </c>
      <c r="I156" s="237">
        <f t="shared" si="24"/>
        <v>18.272000000000002</v>
      </c>
      <c r="J156" s="195">
        <f t="shared" si="25"/>
        <v>5.4816000000000003</v>
      </c>
      <c r="K156" s="196">
        <f t="shared" si="26"/>
        <v>23.753600000000002</v>
      </c>
    </row>
    <row r="157" spans="1:11">
      <c r="A157" s="223" t="s">
        <v>963</v>
      </c>
      <c r="B157" s="216" t="s">
        <v>964</v>
      </c>
      <c r="C157" s="216">
        <v>16</v>
      </c>
      <c r="D157" s="237">
        <f t="shared" si="21"/>
        <v>12.48</v>
      </c>
      <c r="E157" s="237">
        <f t="shared" si="22"/>
        <v>2.7456</v>
      </c>
      <c r="F157" s="223">
        <v>5.87</v>
      </c>
      <c r="G157" s="223"/>
      <c r="H157" s="195">
        <f t="shared" si="23"/>
        <v>4.6176000000000004</v>
      </c>
      <c r="I157" s="237">
        <f t="shared" si="24"/>
        <v>25.713200000000001</v>
      </c>
      <c r="J157" s="195">
        <f t="shared" si="25"/>
        <v>7.7139600000000002</v>
      </c>
      <c r="K157" s="196">
        <f t="shared" si="26"/>
        <v>33.427160000000001</v>
      </c>
    </row>
    <row r="158" spans="1:11">
      <c r="A158" s="235" t="s">
        <v>277</v>
      </c>
      <c r="B158" s="243" t="s">
        <v>965</v>
      </c>
      <c r="C158" s="210"/>
      <c r="D158" s="213">
        <v>0.77</v>
      </c>
      <c r="E158" s="214"/>
      <c r="F158" s="214"/>
      <c r="G158" s="216">
        <v>0.04</v>
      </c>
      <c r="H158" s="216">
        <v>0.37</v>
      </c>
      <c r="I158" s="216"/>
      <c r="J158" s="215">
        <v>0.3</v>
      </c>
      <c r="K158" s="217"/>
    </row>
    <row r="159" spans="1:11">
      <c r="A159" s="236" t="s">
        <v>966</v>
      </c>
      <c r="B159" s="223" t="s">
        <v>967</v>
      </c>
      <c r="C159" s="223">
        <v>15</v>
      </c>
      <c r="D159" s="237">
        <f>C159*D158</f>
        <v>11.55</v>
      </c>
      <c r="E159" s="237">
        <f>D159*22%</f>
        <v>2.5410000000000004</v>
      </c>
      <c r="F159" s="195">
        <v>12.35</v>
      </c>
      <c r="G159" s="223">
        <f>G158*C159</f>
        <v>0.6</v>
      </c>
      <c r="H159" s="195">
        <f>D159*H158</f>
        <v>4.2735000000000003</v>
      </c>
      <c r="I159" s="237">
        <f>D159+F159+G159+H159+E159</f>
        <v>31.314499999999999</v>
      </c>
      <c r="J159" s="195">
        <f>I159*0.3</f>
        <v>9.3943499999999993</v>
      </c>
      <c r="K159" s="196">
        <v>40</v>
      </c>
    </row>
    <row r="162" spans="2:8" ht="15.75">
      <c r="B162" s="244" t="s">
        <v>968</v>
      </c>
      <c r="C162" s="245"/>
      <c r="D162" s="245"/>
      <c r="E162" s="246" t="s">
        <v>969</v>
      </c>
      <c r="F162" s="34"/>
      <c r="G162" s="34"/>
      <c r="H162" s="34"/>
    </row>
    <row r="163" spans="2:8" ht="15.75">
      <c r="B163" s="246"/>
      <c r="C163" s="246"/>
      <c r="D163" s="246"/>
      <c r="E163" s="246"/>
      <c r="F163" s="34"/>
      <c r="G163" s="34"/>
      <c r="H163" s="34"/>
    </row>
    <row r="164" spans="2:8" ht="15.75">
      <c r="B164" s="244" t="s">
        <v>515</v>
      </c>
      <c r="C164" s="245"/>
      <c r="D164" s="245"/>
      <c r="E164" s="246" t="s">
        <v>970</v>
      </c>
      <c r="F164" s="34"/>
      <c r="G164" s="34"/>
      <c r="H164" s="34"/>
    </row>
    <row r="165" spans="2:8">
      <c r="C165" s="34"/>
      <c r="D165" s="34"/>
      <c r="E165" s="34"/>
      <c r="F165" s="34"/>
      <c r="G165" s="34"/>
      <c r="H165" s="34"/>
    </row>
  </sheetData>
  <mergeCells count="1">
    <mergeCell ref="B1:I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цмкл</vt:lpstr>
      <vt:lpstr>МКЛ 1</vt:lpstr>
      <vt:lpstr>МДКЛ</vt:lpstr>
      <vt:lpstr>МКПЦ</vt:lpstr>
      <vt:lpstr>ЦПМКДД</vt:lpstr>
      <vt:lpstr>МСП</vt:lpstr>
      <vt:lpstr>МСП дит.</vt:lpstr>
      <vt:lpstr>МДКЛ!Область_печати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Oleksii Diachok</dc:creator>
  <cp:lastModifiedBy>Користувач Windows</cp:lastModifiedBy>
  <cp:lastPrinted>2019-12-24T06:35:07Z</cp:lastPrinted>
  <dcterms:created xsi:type="dcterms:W3CDTF">2019-09-20T05:12:46Z</dcterms:created>
  <dcterms:modified xsi:type="dcterms:W3CDTF">2019-12-24T08:57:07Z</dcterms:modified>
</cp:coreProperties>
</file>